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Testimony and Exhibits/Cost_Service/Testimony Workpapers/"/>
    </mc:Choice>
  </mc:AlternateContent>
  <xr:revisionPtr revIDLastSave="0" documentId="13_ncr:1_{76FDB6B1-B1F5-4A6F-8900-11EAE81EC78B}" xr6:coauthVersionLast="36" xr6:coauthVersionMax="36" xr10:uidLastSave="{00000000-0000-0000-0000-000000000000}"/>
  <bookViews>
    <workbookView xWindow="0" yWindow="0" windowWidth="51600" windowHeight="17025" tabRatio="829" xr2:uid="{00000000-000D-0000-FFFF-FFFF00000000}"/>
  </bookViews>
  <sheets>
    <sheet name="Index" sheetId="11" r:id="rId1"/>
    <sheet name="Summary" sheetId="9" r:id="rId2"/>
    <sheet name="11200 Gas Storage Ops" sheetId="1" r:id="rId3"/>
    <sheet name="11150 Gas Acquisition" sheetId="2" r:id="rId4"/>
    <sheet name="11300 Gas Control" sheetId="5" r:id="rId5"/>
    <sheet name="11325 MAS" sheetId="10" r:id="rId6"/>
    <sheet name="11348 MAST" sheetId="7" r:id="rId7"/>
    <sheet name="13600 Account Services" sheetId="8" r:id="rId8"/>
    <sheet name="Assumptions" sheetId="4" r:id="rId9"/>
  </sheets>
  <calcPr calcId="191029" calcMode="autoNoTable" iterate="1"/>
</workbook>
</file>

<file path=xl/calcChain.xml><?xml version="1.0" encoding="utf-8"?>
<calcChain xmlns="http://schemas.openxmlformats.org/spreadsheetml/2006/main">
  <c r="K54" i="5" l="1"/>
  <c r="L54" i="5"/>
  <c r="K100" i="1"/>
  <c r="L100" i="1"/>
  <c r="G49" i="9" l="1"/>
  <c r="G48" i="9"/>
  <c r="U34" i="7"/>
  <c r="G47" i="9"/>
  <c r="G44" i="9"/>
  <c r="G43" i="9"/>
  <c r="V31" i="10"/>
  <c r="G42" i="9"/>
  <c r="G37" i="9"/>
  <c r="G36" i="9"/>
  <c r="U48" i="8"/>
  <c r="G35" i="9"/>
  <c r="G31" i="9"/>
  <c r="G30" i="9"/>
  <c r="V46" i="2"/>
  <c r="G29" i="9"/>
  <c r="G19" i="9"/>
  <c r="W42" i="5"/>
  <c r="G18" i="9"/>
  <c r="U53" i="8"/>
  <c r="J53" i="8"/>
  <c r="K53" i="8"/>
  <c r="L53" i="8"/>
  <c r="M53" i="8"/>
  <c r="N53" i="8"/>
  <c r="O53" i="8"/>
  <c r="P53" i="8"/>
  <c r="Q53" i="8"/>
  <c r="R53" i="8"/>
  <c r="G53" i="8"/>
  <c r="H53" i="8"/>
  <c r="F53" i="8"/>
  <c r="I53" i="8"/>
  <c r="H46" i="8"/>
  <c r="I46" i="8" s="1"/>
  <c r="J46" i="8" s="1"/>
  <c r="K46" i="8" s="1"/>
  <c r="L46" i="8" s="1"/>
  <c r="M46" i="8" s="1"/>
  <c r="N46" i="8" s="1"/>
  <c r="O46" i="8" s="1"/>
  <c r="P46" i="8" s="1"/>
  <c r="Q46" i="8" s="1"/>
  <c r="R46" i="8" s="1"/>
  <c r="G46" i="8"/>
  <c r="F46" i="8"/>
  <c r="F48" i="8" s="1"/>
  <c r="F44" i="8"/>
  <c r="G44" i="8"/>
  <c r="H44" i="8"/>
  <c r="F29" i="8"/>
  <c r="F34" i="8" s="1"/>
  <c r="G29" i="8"/>
  <c r="F31" i="8"/>
  <c r="G31" i="8"/>
  <c r="G34" i="8"/>
  <c r="G36" i="8"/>
  <c r="H31" i="8"/>
  <c r="H29" i="8"/>
  <c r="G48" i="8"/>
  <c r="J39" i="7"/>
  <c r="K39" i="7"/>
  <c r="L39" i="7"/>
  <c r="M39" i="7"/>
  <c r="N39" i="7"/>
  <c r="O39" i="7"/>
  <c r="P39" i="7"/>
  <c r="Q39" i="7"/>
  <c r="R39" i="7"/>
  <c r="I39" i="7"/>
  <c r="H46" i="7"/>
  <c r="I46" i="7"/>
  <c r="G32" i="7"/>
  <c r="H32" i="7" s="1"/>
  <c r="F32" i="7"/>
  <c r="F18" i="7"/>
  <c r="G18" i="7"/>
  <c r="H18" i="7"/>
  <c r="F19" i="7"/>
  <c r="G19" i="7"/>
  <c r="H19" i="7"/>
  <c r="F34" i="7"/>
  <c r="H36" i="10"/>
  <c r="I36" i="10"/>
  <c r="J36" i="10" s="1"/>
  <c r="K36" i="10" s="1"/>
  <c r="L36" i="10" s="1"/>
  <c r="M36" i="10" s="1"/>
  <c r="N36" i="10" s="1"/>
  <c r="O36" i="10" s="1"/>
  <c r="P36" i="10" s="1"/>
  <c r="Q36" i="10" s="1"/>
  <c r="R36" i="10" s="1"/>
  <c r="S36" i="10" s="1"/>
  <c r="G36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G27" i="10"/>
  <c r="J47" i="5"/>
  <c r="K47" i="5"/>
  <c r="I47" i="5"/>
  <c r="J38" i="5"/>
  <c r="K38" i="5"/>
  <c r="L38" i="5"/>
  <c r="M38" i="5"/>
  <c r="N38" i="5"/>
  <c r="O38" i="5"/>
  <c r="P38" i="5"/>
  <c r="Q38" i="5"/>
  <c r="R38" i="5"/>
  <c r="S38" i="5"/>
  <c r="T38" i="5"/>
  <c r="U38" i="5"/>
  <c r="I38" i="5"/>
  <c r="I30" i="5"/>
  <c r="I31" i="5" s="1"/>
  <c r="J30" i="5"/>
  <c r="J31" i="5" s="1"/>
  <c r="K30" i="5"/>
  <c r="K31" i="5"/>
  <c r="I32" i="5"/>
  <c r="J32" i="5"/>
  <c r="K32" i="5"/>
  <c r="H51" i="2"/>
  <c r="I51" i="2"/>
  <c r="J44" i="2"/>
  <c r="K44" i="2" s="1"/>
  <c r="L44" i="2" s="1"/>
  <c r="M44" i="2" s="1"/>
  <c r="N44" i="2" s="1"/>
  <c r="O44" i="2" s="1"/>
  <c r="P44" i="2" s="1"/>
  <c r="Q44" i="2" s="1"/>
  <c r="R44" i="2" s="1"/>
  <c r="S44" i="2" s="1"/>
  <c r="T44" i="2" s="1"/>
  <c r="I44" i="2"/>
  <c r="H44" i="2"/>
  <c r="H46" i="2" s="1"/>
  <c r="H42" i="2"/>
  <c r="H34" i="2"/>
  <c r="H36" i="2" s="1"/>
  <c r="G13" i="9"/>
  <c r="H48" i="8" l="1"/>
  <c r="H50" i="8" s="1"/>
  <c r="G50" i="8"/>
  <c r="F50" i="8"/>
  <c r="F36" i="8"/>
  <c r="H36" i="8"/>
  <c r="H34" i="8"/>
  <c r="I32" i="7"/>
  <c r="H34" i="7"/>
  <c r="G34" i="7"/>
  <c r="V36" i="10"/>
  <c r="H48" i="2"/>
  <c r="H37" i="2"/>
  <c r="L86" i="1" l="1"/>
  <c r="M86" i="1"/>
  <c r="N86" i="1"/>
  <c r="O86" i="1"/>
  <c r="P86" i="1"/>
  <c r="Q86" i="1"/>
  <c r="R86" i="1"/>
  <c r="S86" i="1"/>
  <c r="T86" i="1"/>
  <c r="U86" i="1"/>
  <c r="J86" i="1"/>
  <c r="K86" i="1"/>
  <c r="I86" i="1"/>
  <c r="I88" i="1" s="1"/>
  <c r="J78" i="1"/>
  <c r="K78" i="1"/>
  <c r="I76" i="1"/>
  <c r="I75" i="1"/>
  <c r="I78" i="1"/>
  <c r="I79" i="1" l="1"/>
  <c r="I80" i="1"/>
  <c r="D6" i="8"/>
  <c r="D5" i="8"/>
  <c r="D4" i="8"/>
  <c r="D10" i="10"/>
  <c r="D9" i="10"/>
  <c r="D8" i="10"/>
  <c r="D7" i="10"/>
  <c r="D6" i="10"/>
  <c r="D5" i="10"/>
  <c r="G23" i="2"/>
  <c r="S23" i="2" s="1"/>
  <c r="G24" i="2"/>
  <c r="S24" i="2" s="1"/>
  <c r="G11" i="2"/>
  <c r="G10" i="2"/>
  <c r="G9" i="2"/>
  <c r="G22" i="2" s="1"/>
  <c r="S22" i="2" s="1"/>
  <c r="G8" i="2"/>
  <c r="G21" i="2" s="1"/>
  <c r="S21" i="2" s="1"/>
  <c r="G7" i="2"/>
  <c r="G20" i="2" s="1"/>
  <c r="S20" i="2" s="1"/>
  <c r="G6" i="2"/>
  <c r="G19" i="2" s="1"/>
  <c r="S19" i="2" s="1"/>
  <c r="G64" i="1"/>
  <c r="G65" i="1"/>
  <c r="G63" i="1"/>
  <c r="G45" i="1"/>
  <c r="G44" i="1"/>
  <c r="G43" i="1"/>
  <c r="I84" i="1" l="1"/>
  <c r="I90" i="1" s="1"/>
  <c r="I93" i="1" s="1"/>
  <c r="L44" i="10"/>
  <c r="G10" i="10"/>
  <c r="G9" i="10"/>
  <c r="G8" i="10"/>
  <c r="G7" i="10"/>
  <c r="G6" i="10"/>
  <c r="G5" i="10"/>
  <c r="G11" i="10" l="1"/>
  <c r="G29" i="10" s="1"/>
  <c r="H29" i="10" s="1"/>
  <c r="G31" i="10" l="1"/>
  <c r="G33" i="10" s="1"/>
  <c r="H31" i="10"/>
  <c r="H33" i="10" s="1"/>
  <c r="I29" i="10"/>
  <c r="I31" i="10" l="1"/>
  <c r="I33" i="10" s="1"/>
  <c r="J29" i="10"/>
  <c r="J31" i="10" l="1"/>
  <c r="J33" i="10" s="1"/>
  <c r="K29" i="10"/>
  <c r="L29" i="10" l="1"/>
  <c r="K31" i="10"/>
  <c r="K33" i="10" s="1"/>
  <c r="M29" i="10" l="1"/>
  <c r="L31" i="10"/>
  <c r="L33" i="10" s="1"/>
  <c r="N29" i="10" l="1"/>
  <c r="M31" i="10"/>
  <c r="M33" i="10" s="1"/>
  <c r="O29" i="10" l="1"/>
  <c r="N31" i="10"/>
  <c r="N33" i="10" s="1"/>
  <c r="O31" i="10" l="1"/>
  <c r="O33" i="10" s="1"/>
  <c r="P29" i="10"/>
  <c r="P31" i="10" l="1"/>
  <c r="P33" i="10" s="1"/>
  <c r="Q29" i="10"/>
  <c r="Q31" i="10" l="1"/>
  <c r="Q33" i="10" s="1"/>
  <c r="R29" i="10"/>
  <c r="R31" i="10" l="1"/>
  <c r="R33" i="10" s="1"/>
  <c r="S29" i="10"/>
  <c r="S31" i="10" l="1"/>
  <c r="S33" i="10" s="1"/>
  <c r="F22" i="7" l="1"/>
  <c r="F24" i="7" s="1"/>
  <c r="G24" i="7" s="1"/>
  <c r="O22" i="7"/>
  <c r="J60" i="8" l="1"/>
  <c r="L46" i="7"/>
  <c r="K46" i="7"/>
  <c r="J46" i="7"/>
  <c r="H24" i="7" s="1"/>
  <c r="L58" i="2"/>
  <c r="I30" i="7" l="1"/>
  <c r="Q30" i="7"/>
  <c r="H30" i="7"/>
  <c r="H36" i="7" s="1"/>
  <c r="H39" i="7" s="1"/>
  <c r="J30" i="7"/>
  <c r="R30" i="7"/>
  <c r="K30" i="7"/>
  <c r="F30" i="7"/>
  <c r="F36" i="7" s="1"/>
  <c r="F39" i="7" s="1"/>
  <c r="L30" i="7"/>
  <c r="M30" i="7"/>
  <c r="O30" i="7"/>
  <c r="N30" i="7"/>
  <c r="G30" i="7"/>
  <c r="G36" i="7" s="1"/>
  <c r="G39" i="7" s="1"/>
  <c r="P30" i="7"/>
  <c r="U39" i="7" l="1"/>
  <c r="I25" i="8" l="1"/>
  <c r="J25" i="8"/>
  <c r="K25" i="8"/>
  <c r="L25" i="8"/>
  <c r="M25" i="8"/>
  <c r="N25" i="8"/>
  <c r="O25" i="8"/>
  <c r="P25" i="8"/>
  <c r="Q25" i="8"/>
  <c r="F26" i="8" s="1"/>
  <c r="H25" i="8"/>
  <c r="G25" i="8"/>
  <c r="F25" i="8"/>
  <c r="F20" i="8"/>
  <c r="G20" i="8" s="1"/>
  <c r="H20" i="8" s="1"/>
  <c r="I20" i="8" s="1"/>
  <c r="J20" i="8" s="1"/>
  <c r="K20" i="8" s="1"/>
  <c r="L20" i="8" s="1"/>
  <c r="M20" i="8" s="1"/>
  <c r="N20" i="8" s="1"/>
  <c r="O20" i="8" s="1"/>
  <c r="P20" i="8" s="1"/>
  <c r="Q20" i="8" s="1"/>
  <c r="F21" i="8" s="1"/>
  <c r="G21" i="8" s="1"/>
  <c r="H21" i="8" s="1"/>
  <c r="I21" i="8" s="1"/>
  <c r="J21" i="8" s="1"/>
  <c r="K21" i="8" s="1"/>
  <c r="L21" i="8" s="1"/>
  <c r="M21" i="8" s="1"/>
  <c r="N21" i="8" s="1"/>
  <c r="O21" i="8" s="1"/>
  <c r="P21" i="8" s="1"/>
  <c r="Q21" i="8" s="1"/>
  <c r="F13" i="7"/>
  <c r="G13" i="7" s="1"/>
  <c r="H13" i="7" s="1"/>
  <c r="I13" i="7" s="1"/>
  <c r="J13" i="7" s="1"/>
  <c r="K13" i="7" s="1"/>
  <c r="L13" i="7" s="1"/>
  <c r="M13" i="7" s="1"/>
  <c r="N13" i="7" s="1"/>
  <c r="O13" i="7" s="1"/>
  <c r="P13" i="7" s="1"/>
  <c r="Q13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P14" i="7" s="1"/>
  <c r="Q14" i="7" s="1"/>
  <c r="J32" i="7"/>
  <c r="J18" i="7"/>
  <c r="K18" i="7"/>
  <c r="L18" i="7"/>
  <c r="M18" i="7"/>
  <c r="N18" i="7"/>
  <c r="O18" i="7"/>
  <c r="P18" i="7"/>
  <c r="Q18" i="7"/>
  <c r="R18" i="7"/>
  <c r="J19" i="7"/>
  <c r="K19" i="7"/>
  <c r="L19" i="7"/>
  <c r="M19" i="7"/>
  <c r="N19" i="7"/>
  <c r="O19" i="7"/>
  <c r="P19" i="7"/>
  <c r="Q19" i="7"/>
  <c r="R19" i="7"/>
  <c r="I19" i="7"/>
  <c r="I18" i="7"/>
  <c r="M30" i="5"/>
  <c r="N30" i="5" s="1"/>
  <c r="L30" i="5"/>
  <c r="L32" i="5" s="1"/>
  <c r="G18" i="5"/>
  <c r="I40" i="5" s="1"/>
  <c r="M31" i="5" l="1"/>
  <c r="N31" i="5"/>
  <c r="O30" i="5"/>
  <c r="N32" i="5"/>
  <c r="I42" i="5"/>
  <c r="J40" i="5"/>
  <c r="I29" i="8"/>
  <c r="G26" i="8"/>
  <c r="R31" i="8"/>
  <c r="J31" i="8"/>
  <c r="L31" i="5"/>
  <c r="Q31" i="8"/>
  <c r="P31" i="8"/>
  <c r="O31" i="8"/>
  <c r="M31" i="8"/>
  <c r="N31" i="8"/>
  <c r="M32" i="5"/>
  <c r="I31" i="8"/>
  <c r="L31" i="8"/>
  <c r="K31" i="8"/>
  <c r="J48" i="8"/>
  <c r="I48" i="8"/>
  <c r="K32" i="7"/>
  <c r="J34" i="7"/>
  <c r="I34" i="7"/>
  <c r="I44" i="5"/>
  <c r="T23" i="2"/>
  <c r="T24" i="2"/>
  <c r="T22" i="2"/>
  <c r="T21" i="2"/>
  <c r="T20" i="2"/>
  <c r="T19" i="2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H46" i="1"/>
  <c r="J65" i="1"/>
  <c r="J63" i="1"/>
  <c r="I57" i="1"/>
  <c r="J57" i="1" s="1"/>
  <c r="K57" i="1" s="1"/>
  <c r="L57" i="1" s="1"/>
  <c r="I56" i="1"/>
  <c r="J56" i="1" s="1"/>
  <c r="K56" i="1" s="1"/>
  <c r="L56" i="1" s="1"/>
  <c r="I55" i="1"/>
  <c r="I54" i="1"/>
  <c r="J54" i="1" s="1"/>
  <c r="K54" i="1" s="1"/>
  <c r="L54" i="1" s="1"/>
  <c r="I53" i="1"/>
  <c r="I52" i="1"/>
  <c r="I51" i="1"/>
  <c r="J52" i="1"/>
  <c r="K52" i="1" s="1"/>
  <c r="L52" i="1" s="1"/>
  <c r="J53" i="1"/>
  <c r="K53" i="1" s="1"/>
  <c r="L53" i="1" s="1"/>
  <c r="J55" i="1"/>
  <c r="K55" i="1" s="1"/>
  <c r="L55" i="1" s="1"/>
  <c r="U30" i="1"/>
  <c r="V30" i="1"/>
  <c r="W30" i="1"/>
  <c r="W37" i="1" s="1"/>
  <c r="W39" i="1" s="1"/>
  <c r="X30" i="1"/>
  <c r="X37" i="1" s="1"/>
  <c r="X39" i="1" s="1"/>
  <c r="Y30" i="1"/>
  <c r="Z30" i="1"/>
  <c r="AA30" i="1"/>
  <c r="AB30" i="1"/>
  <c r="AC30" i="1"/>
  <c r="AD30" i="1"/>
  <c r="AE30" i="1"/>
  <c r="AE37" i="1" s="1"/>
  <c r="AE39" i="1" s="1"/>
  <c r="AF30" i="1"/>
  <c r="AF37" i="1" s="1"/>
  <c r="AF39" i="1" s="1"/>
  <c r="I30" i="1"/>
  <c r="J30" i="1"/>
  <c r="J37" i="1" s="1"/>
  <c r="J39" i="1" s="1"/>
  <c r="K30" i="1"/>
  <c r="L30" i="1"/>
  <c r="M30" i="1"/>
  <c r="N30" i="1"/>
  <c r="O30" i="1"/>
  <c r="O37" i="1" s="1"/>
  <c r="O39" i="1" s="1"/>
  <c r="P30" i="1"/>
  <c r="P37" i="1" s="1"/>
  <c r="P39" i="1" s="1"/>
  <c r="Q30" i="1"/>
  <c r="R30" i="1"/>
  <c r="S30" i="1"/>
  <c r="T30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V37" i="1" s="1"/>
  <c r="V39" i="1" s="1"/>
  <c r="W31" i="1"/>
  <c r="X31" i="1"/>
  <c r="Y31" i="1"/>
  <c r="Z31" i="1"/>
  <c r="AA31" i="1"/>
  <c r="AB31" i="1"/>
  <c r="AC31" i="1"/>
  <c r="AD31" i="1"/>
  <c r="AE31" i="1"/>
  <c r="AF31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I36" i="1"/>
  <c r="J36" i="1"/>
  <c r="K36" i="1"/>
  <c r="L36" i="1"/>
  <c r="M36" i="1"/>
  <c r="N36" i="1"/>
  <c r="O36" i="1"/>
  <c r="P36" i="1"/>
  <c r="Q36" i="1"/>
  <c r="R36" i="1"/>
  <c r="S36" i="1"/>
  <c r="S37" i="1" s="1"/>
  <c r="S39" i="1" s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I37" i="1"/>
  <c r="I39" i="1" s="1"/>
  <c r="K37" i="1"/>
  <c r="K39" i="1" s="1"/>
  <c r="L37" i="1"/>
  <c r="L39" i="1" s="1"/>
  <c r="M37" i="1"/>
  <c r="M39" i="1" s="1"/>
  <c r="N37" i="1"/>
  <c r="N39" i="1" s="1"/>
  <c r="Q37" i="1"/>
  <c r="Q39" i="1" s="1"/>
  <c r="R37" i="1"/>
  <c r="R39" i="1" s="1"/>
  <c r="T37" i="1"/>
  <c r="T39" i="1" s="1"/>
  <c r="U37" i="1"/>
  <c r="U39" i="1" s="1"/>
  <c r="Y37" i="1"/>
  <c r="Y39" i="1" s="1"/>
  <c r="AC37" i="1"/>
  <c r="AC39" i="1" s="1"/>
  <c r="H34" i="1"/>
  <c r="H36" i="1"/>
  <c r="H35" i="1"/>
  <c r="H33" i="1"/>
  <c r="H32" i="1"/>
  <c r="H31" i="1"/>
  <c r="H30" i="1"/>
  <c r="I36" i="7" l="1"/>
  <c r="J36" i="7"/>
  <c r="J29" i="8"/>
  <c r="H26" i="8"/>
  <c r="I36" i="8"/>
  <c r="I34" i="8"/>
  <c r="AA37" i="1"/>
  <c r="AA39" i="1" s="1"/>
  <c r="AB37" i="1"/>
  <c r="AB39" i="1" s="1"/>
  <c r="J42" i="5"/>
  <c r="K40" i="5"/>
  <c r="O31" i="5"/>
  <c r="O32" i="5"/>
  <c r="P30" i="5"/>
  <c r="K48" i="8"/>
  <c r="L32" i="7"/>
  <c r="K34" i="7"/>
  <c r="K36" i="7" s="1"/>
  <c r="AD37" i="1"/>
  <c r="AD39" i="1" s="1"/>
  <c r="Z37" i="1"/>
  <c r="Z39" i="1" s="1"/>
  <c r="H37" i="1"/>
  <c r="H39" i="1" s="1"/>
  <c r="L78" i="1"/>
  <c r="M78" i="1" s="1"/>
  <c r="N78" i="1" s="1"/>
  <c r="O78" i="1" s="1"/>
  <c r="P78" i="1" s="1"/>
  <c r="Q78" i="1" s="1"/>
  <c r="R78" i="1" s="1"/>
  <c r="S78" i="1" s="1"/>
  <c r="T78" i="1" s="1"/>
  <c r="U78" i="1" s="1"/>
  <c r="J51" i="1"/>
  <c r="K51" i="1" s="1"/>
  <c r="L51" i="1" s="1"/>
  <c r="J76" i="1" s="1"/>
  <c r="G35" i="2"/>
  <c r="K63" i="1"/>
  <c r="L63" i="1" s="1"/>
  <c r="K64" i="1"/>
  <c r="L64" i="1" s="1"/>
  <c r="K65" i="1"/>
  <c r="L65" i="1" s="1"/>
  <c r="I44" i="8" l="1"/>
  <c r="I50" i="8" s="1"/>
  <c r="J44" i="5"/>
  <c r="L47" i="5" s="1"/>
  <c r="Q30" i="5"/>
  <c r="P31" i="5"/>
  <c r="P32" i="5"/>
  <c r="I26" i="8"/>
  <c r="K29" i="8"/>
  <c r="L40" i="5"/>
  <c r="K42" i="5"/>
  <c r="K44" i="5" s="1"/>
  <c r="J34" i="8"/>
  <c r="J36" i="8"/>
  <c r="L48" i="8"/>
  <c r="L34" i="7"/>
  <c r="L36" i="7" s="1"/>
  <c r="M32" i="7"/>
  <c r="K76" i="1"/>
  <c r="L76" i="1" s="1"/>
  <c r="J75" i="1"/>
  <c r="K75" i="1" s="1"/>
  <c r="L75" i="1" s="1"/>
  <c r="M75" i="1" s="1"/>
  <c r="N75" i="1" s="1"/>
  <c r="O75" i="1" s="1"/>
  <c r="P75" i="1" s="1"/>
  <c r="Q75" i="1" s="1"/>
  <c r="R75" i="1" s="1"/>
  <c r="S75" i="1" s="1"/>
  <c r="T75" i="1" s="1"/>
  <c r="U75" i="1" s="1"/>
  <c r="M47" i="5" l="1"/>
  <c r="N47" i="5" s="1"/>
  <c r="O47" i="5" s="1"/>
  <c r="P47" i="5" s="1"/>
  <c r="Q47" i="5" s="1"/>
  <c r="R47" i="5" s="1"/>
  <c r="S47" i="5" s="1"/>
  <c r="T47" i="5" s="1"/>
  <c r="U47" i="5" s="1"/>
  <c r="J44" i="8"/>
  <c r="J50" i="8" s="1"/>
  <c r="Q31" i="5"/>
  <c r="Q32" i="5"/>
  <c r="R30" i="5"/>
  <c r="K36" i="8"/>
  <c r="K34" i="8"/>
  <c r="L42" i="5"/>
  <c r="L44" i="5" s="1"/>
  <c r="M40" i="5"/>
  <c r="L29" i="8"/>
  <c r="J26" i="8"/>
  <c r="M48" i="8"/>
  <c r="M34" i="7"/>
  <c r="M36" i="7" s="1"/>
  <c r="N32" i="7"/>
  <c r="J79" i="1"/>
  <c r="K79" i="1"/>
  <c r="K80" i="1"/>
  <c r="J80" i="1"/>
  <c r="M76" i="1"/>
  <c r="L80" i="1"/>
  <c r="L79" i="1"/>
  <c r="U24" i="2"/>
  <c r="V24" i="2" s="1"/>
  <c r="U23" i="2"/>
  <c r="V23" i="2" s="1"/>
  <c r="U22" i="2"/>
  <c r="V22" i="2" s="1"/>
  <c r="U21" i="2"/>
  <c r="V21" i="2" s="1"/>
  <c r="U20" i="2"/>
  <c r="V20" i="2" s="1"/>
  <c r="U19" i="2"/>
  <c r="V19" i="2" s="1"/>
  <c r="W47" i="5" l="1"/>
  <c r="K44" i="8"/>
  <c r="K50" i="8" s="1"/>
  <c r="N40" i="5"/>
  <c r="M42" i="5"/>
  <c r="M44" i="5" s="1"/>
  <c r="R31" i="5"/>
  <c r="R32" i="5"/>
  <c r="S30" i="5"/>
  <c r="M29" i="8"/>
  <c r="K26" i="8"/>
  <c r="L34" i="8"/>
  <c r="L36" i="8"/>
  <c r="N48" i="8"/>
  <c r="O32" i="7"/>
  <c r="N34" i="7"/>
  <c r="N36" i="7" s="1"/>
  <c r="I34" i="2"/>
  <c r="I36" i="2" s="1"/>
  <c r="N76" i="1"/>
  <c r="M80" i="1"/>
  <c r="M79" i="1"/>
  <c r="L44" i="8" l="1"/>
  <c r="L50" i="8" s="1"/>
  <c r="S32" i="5"/>
  <c r="S31" i="5"/>
  <c r="T30" i="5"/>
  <c r="J88" i="1"/>
  <c r="W88" i="1" s="1"/>
  <c r="G14" i="9" s="1"/>
  <c r="M34" i="8"/>
  <c r="M36" i="8"/>
  <c r="N29" i="8"/>
  <c r="L26" i="8"/>
  <c r="N42" i="5"/>
  <c r="N44" i="5" s="1"/>
  <c r="O40" i="5"/>
  <c r="O48" i="8"/>
  <c r="P32" i="7"/>
  <c r="O34" i="7"/>
  <c r="O36" i="7" s="1"/>
  <c r="O76" i="1"/>
  <c r="N80" i="1"/>
  <c r="N79" i="1"/>
  <c r="J46" i="2"/>
  <c r="K46" i="2"/>
  <c r="L46" i="2"/>
  <c r="N46" i="2"/>
  <c r="O46" i="2"/>
  <c r="P46" i="2"/>
  <c r="Q46" i="2"/>
  <c r="R46" i="2"/>
  <c r="S46" i="2"/>
  <c r="T46" i="2"/>
  <c r="M46" i="2"/>
  <c r="I46" i="2"/>
  <c r="H78" i="1"/>
  <c r="H77" i="1"/>
  <c r="M44" i="8" l="1"/>
  <c r="M50" i="8" s="1"/>
  <c r="K88" i="1"/>
  <c r="O42" i="5"/>
  <c r="O44" i="5" s="1"/>
  <c r="P40" i="5"/>
  <c r="T32" i="5"/>
  <c r="T31" i="5"/>
  <c r="U30" i="5"/>
  <c r="O29" i="8"/>
  <c r="M26" i="8"/>
  <c r="N34" i="8"/>
  <c r="N36" i="8"/>
  <c r="P48" i="8"/>
  <c r="P34" i="7"/>
  <c r="P36" i="7" s="1"/>
  <c r="Q32" i="7"/>
  <c r="P76" i="1"/>
  <c r="O80" i="1"/>
  <c r="O79" i="1"/>
  <c r="H75" i="1"/>
  <c r="J84" i="1"/>
  <c r="J90" i="1" s="1"/>
  <c r="J93" i="1" s="1"/>
  <c r="N84" i="1"/>
  <c r="M84" i="1"/>
  <c r="L84" i="1"/>
  <c r="P42" i="5" l="1"/>
  <c r="P44" i="5" s="1"/>
  <c r="Q40" i="5"/>
  <c r="N44" i="8"/>
  <c r="N50" i="8" s="1"/>
  <c r="N26" i="8"/>
  <c r="P29" i="8"/>
  <c r="O36" i="8"/>
  <c r="O34" i="8"/>
  <c r="O44" i="8" s="1"/>
  <c r="O50" i="8" s="1"/>
  <c r="L88" i="1"/>
  <c r="L90" i="1" s="1"/>
  <c r="L93" i="1" s="1"/>
  <c r="U32" i="5"/>
  <c r="U31" i="5"/>
  <c r="Q48" i="8"/>
  <c r="R32" i="7"/>
  <c r="Q34" i="7"/>
  <c r="Q36" i="7" s="1"/>
  <c r="Q76" i="1"/>
  <c r="P80" i="1"/>
  <c r="P79" i="1"/>
  <c r="O84" i="1"/>
  <c r="K84" i="1"/>
  <c r="K90" i="1" s="1"/>
  <c r="K93" i="1" l="1"/>
  <c r="Q42" i="5"/>
  <c r="Q44" i="5" s="1"/>
  <c r="R40" i="5"/>
  <c r="P36" i="8"/>
  <c r="P34" i="8"/>
  <c r="M88" i="1"/>
  <c r="M90" i="1" s="1"/>
  <c r="M93" i="1" s="1"/>
  <c r="O26" i="8"/>
  <c r="Q29" i="8"/>
  <c r="R48" i="8"/>
  <c r="R34" i="7"/>
  <c r="R36" i="7" s="1"/>
  <c r="P84" i="1"/>
  <c r="R76" i="1"/>
  <c r="Q80" i="1"/>
  <c r="Q79" i="1"/>
  <c r="J34" i="2"/>
  <c r="I37" i="2"/>
  <c r="P44" i="8" l="1"/>
  <c r="P50" i="8" s="1"/>
  <c r="Q36" i="8"/>
  <c r="Q34" i="8"/>
  <c r="P26" i="8"/>
  <c r="R29" i="8"/>
  <c r="N88" i="1"/>
  <c r="N90" i="1" s="1"/>
  <c r="S40" i="5"/>
  <c r="R42" i="5"/>
  <c r="R44" i="5" s="1"/>
  <c r="I42" i="2"/>
  <c r="I48" i="2" s="1"/>
  <c r="S76" i="1"/>
  <c r="R80" i="1"/>
  <c r="R79" i="1"/>
  <c r="Q84" i="1"/>
  <c r="J36" i="2"/>
  <c r="K34" i="2"/>
  <c r="J37" i="2"/>
  <c r="N93" i="1" l="1"/>
  <c r="T40" i="5"/>
  <c r="S42" i="5"/>
  <c r="S44" i="5" s="1"/>
  <c r="R34" i="8"/>
  <c r="R36" i="8"/>
  <c r="Q26" i="8"/>
  <c r="O88" i="1"/>
  <c r="O90" i="1" s="1"/>
  <c r="O93" i="1" s="1"/>
  <c r="Q44" i="8"/>
  <c r="Q50" i="8" s="1"/>
  <c r="J42" i="2"/>
  <c r="J48" i="2" s="1"/>
  <c r="J51" i="2" s="1"/>
  <c r="K51" i="2" s="1"/>
  <c r="T76" i="1"/>
  <c r="S80" i="1"/>
  <c r="S79" i="1"/>
  <c r="R84" i="1"/>
  <c r="K36" i="2"/>
  <c r="L34" i="2"/>
  <c r="M34" i="2" s="1"/>
  <c r="K37" i="2"/>
  <c r="L51" i="2" l="1"/>
  <c r="T42" i="5"/>
  <c r="T44" i="5" s="1"/>
  <c r="U40" i="5"/>
  <c r="R44" i="8"/>
  <c r="R50" i="8" s="1"/>
  <c r="P88" i="1"/>
  <c r="P90" i="1" s="1"/>
  <c r="P93" i="1" s="1"/>
  <c r="K42" i="2"/>
  <c r="K48" i="2" s="1"/>
  <c r="S84" i="1"/>
  <c r="U76" i="1"/>
  <c r="T80" i="1"/>
  <c r="T79" i="1"/>
  <c r="L36" i="2"/>
  <c r="L37" i="2"/>
  <c r="U42" i="5" l="1"/>
  <c r="U44" i="5" s="1"/>
  <c r="H76" i="1"/>
  <c r="Q88" i="1"/>
  <c r="Q90" i="1" s="1"/>
  <c r="Q93" i="1" s="1"/>
  <c r="L42" i="2"/>
  <c r="L48" i="2" s="1"/>
  <c r="T84" i="1"/>
  <c r="U80" i="1"/>
  <c r="H80" i="1" s="1"/>
  <c r="U79" i="1"/>
  <c r="H79" i="1" s="1"/>
  <c r="N34" i="2"/>
  <c r="M36" i="2"/>
  <c r="M37" i="2"/>
  <c r="R88" i="1" l="1"/>
  <c r="R90" i="1" s="1"/>
  <c r="R93" i="1" s="1"/>
  <c r="M42" i="2"/>
  <c r="M48" i="2" s="1"/>
  <c r="M51" i="2" s="1"/>
  <c r="N51" i="2" s="1"/>
  <c r="U84" i="1"/>
  <c r="O34" i="2"/>
  <c r="N36" i="2"/>
  <c r="N37" i="2"/>
  <c r="O51" i="2" l="1"/>
  <c r="P51" i="2" s="1"/>
  <c r="Q51" i="2" s="1"/>
  <c r="R51" i="2" s="1"/>
  <c r="S51" i="2" s="1"/>
  <c r="T51" i="2" s="1"/>
  <c r="S88" i="1"/>
  <c r="S90" i="1" s="1"/>
  <c r="N42" i="2"/>
  <c r="N48" i="2" s="1"/>
  <c r="P34" i="2"/>
  <c r="O36" i="2"/>
  <c r="O37" i="2"/>
  <c r="V51" i="2" l="1"/>
  <c r="S93" i="1"/>
  <c r="G32" i="9"/>
  <c r="T88" i="1"/>
  <c r="T90" i="1" s="1"/>
  <c r="O42" i="2"/>
  <c r="O48" i="2" s="1"/>
  <c r="Q34" i="2"/>
  <c r="P36" i="2"/>
  <c r="P37" i="2"/>
  <c r="T93" i="1" l="1"/>
  <c r="W90" i="1"/>
  <c r="U88" i="1"/>
  <c r="U90" i="1" s="1"/>
  <c r="P42" i="2"/>
  <c r="P48" i="2" s="1"/>
  <c r="R34" i="2"/>
  <c r="Q36" i="2"/>
  <c r="Q37" i="2"/>
  <c r="W93" i="1" l="1"/>
  <c r="G15" i="9" s="1"/>
  <c r="U93" i="1"/>
  <c r="Q42" i="2"/>
  <c r="Q48" i="2" s="1"/>
  <c r="S34" i="2"/>
  <c r="R36" i="2"/>
  <c r="R37" i="2"/>
  <c r="R42" i="2" l="1"/>
  <c r="R48" i="2" s="1"/>
  <c r="T34" i="2"/>
  <c r="S36" i="2"/>
  <c r="S37" i="2"/>
  <c r="G34" i="2" l="1"/>
  <c r="S42" i="2"/>
  <c r="S48" i="2" s="1"/>
  <c r="T36" i="2"/>
  <c r="G36" i="2" s="1"/>
  <c r="T37" i="2"/>
  <c r="G37" i="2" s="1"/>
  <c r="G52" i="9" l="1"/>
  <c r="T42" i="2"/>
  <c r="T48" i="2" s="1"/>
  <c r="G23" i="9" l="1"/>
  <c r="G53" i="9" l="1"/>
  <c r="G24" i="9"/>
  <c r="G16" i="9"/>
  <c r="G20" i="9" l="1"/>
  <c r="G25" i="9" s="1"/>
  <c r="G21" i="9" l="1"/>
  <c r="G45" i="9"/>
  <c r="G50" i="9"/>
  <c r="G54" i="9" l="1"/>
  <c r="G38" i="9"/>
</calcChain>
</file>

<file path=xl/sharedStrings.xml><?xml version="1.0" encoding="utf-8"?>
<sst xmlns="http://schemas.openxmlformats.org/spreadsheetml/2006/main" count="975" uniqueCount="193">
  <si>
    <t>G/L Account</t>
  </si>
  <si>
    <t>Pay Scale Group</t>
  </si>
  <si>
    <t>Actual FTE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</si>
  <si>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</si>
  <si>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</si>
  <si>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</si>
  <si>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</si>
  <si>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</si>
  <si>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</si>
  <si>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</si>
  <si>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</si>
  <si>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</si>
  <si>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</si>
  <si>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</si>
  <si>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</si>
  <si>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500305</t>
  </si>
  <si>
    <t>135</t>
  </si>
  <si>
    <t/>
  </si>
  <si>
    <t>155</t>
  </si>
  <si>
    <t>155A</t>
  </si>
  <si>
    <t>165</t>
  </si>
  <si>
    <t>170</t>
  </si>
  <si>
    <t>500400</t>
  </si>
  <si>
    <t>Overall Result</t>
  </si>
  <si>
    <t>Pay Grade</t>
  </si>
  <si>
    <t>Employee #</t>
  </si>
  <si>
    <t>500100</t>
  </si>
  <si>
    <t>SALARY PAYROLL</t>
  </si>
  <si>
    <t>21</t>
  </si>
  <si>
    <t>24</t>
  </si>
  <si>
    <t>Result</t>
  </si>
  <si>
    <t>BU Allocations</t>
  </si>
  <si>
    <t>O&amp;M %</t>
  </si>
  <si>
    <t>HOURLY REGULAR  PAY</t>
  </si>
  <si>
    <t>P/T HOURLY PAYROLL</t>
  </si>
  <si>
    <t>NBU Allocations</t>
  </si>
  <si>
    <t>Cost Center</t>
  </si>
  <si>
    <t>10001000</t>
  </si>
  <si>
    <t>NW NATURAL</t>
  </si>
  <si>
    <t>Fiscal year/period</t>
  </si>
  <si>
    <t>500</t>
  </si>
  <si>
    <t>$</t>
  </si>
  <si>
    <t>500306</t>
  </si>
  <si>
    <t>HOURLY OVERTIME PAY</t>
  </si>
  <si>
    <t>500900</t>
  </si>
  <si>
    <t>VACATION, SICK &amp; HOL</t>
  </si>
  <si>
    <t>501000</t>
  </si>
  <si>
    <t>PAYROLL OVERHEAD</t>
  </si>
  <si>
    <t>VSH Rate</t>
  </si>
  <si>
    <t>Payroll OH Rate</t>
  </si>
  <si>
    <t>15</t>
  </si>
  <si>
    <t>22</t>
  </si>
  <si>
    <t>26</t>
  </si>
  <si>
    <t>COH %</t>
  </si>
  <si>
    <t>Capital %</t>
  </si>
  <si>
    <t>Clearing %</t>
  </si>
  <si>
    <t>Other Exp %</t>
  </si>
  <si>
    <t>Merchandise %</t>
  </si>
  <si>
    <t>Other Cost Center %</t>
  </si>
  <si>
    <t>Total %</t>
  </si>
  <si>
    <t>500500</t>
  </si>
  <si>
    <t>SALARY BONUS PAYROLL</t>
  </si>
  <si>
    <t>Estimated O&amp;M Labor Expense</t>
  </si>
  <si>
    <t># of FTES</t>
  </si>
  <si>
    <t>Hours in Month</t>
  </si>
  <si>
    <t>Monthly Hours</t>
  </si>
  <si>
    <t>Average Rate Per Hour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</si>
  <si>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</si>
  <si>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</si>
  <si>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</si>
  <si>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</si>
  <si>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</si>
  <si>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</si>
  <si>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</si>
  <si>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</si>
  <si>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</si>
  <si>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OCT 2019</t>
  </si>
  <si>
    <t>NOV 2019</t>
  </si>
  <si>
    <t>DEC 2019</t>
  </si>
  <si>
    <t>Current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</si>
  <si>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</si>
  <si>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</si>
  <si>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</si>
  <si>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</si>
  <si>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</si>
  <si>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</si>
  <si>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</si>
  <si>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</si>
  <si>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</si>
  <si>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</si>
  <si>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</si>
  <si>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</si>
  <si>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165A</t>
  </si>
  <si>
    <t>Total</t>
  </si>
  <si>
    <t>Nov 2019</t>
  </si>
  <si>
    <t>Dec 2019</t>
  </si>
  <si>
    <t>O&amp;M</t>
  </si>
  <si>
    <t>125</t>
  </si>
  <si>
    <t>145</t>
  </si>
  <si>
    <t>VS&amp;H - NBU/ BU OFFC</t>
  </si>
  <si>
    <t>500905</t>
  </si>
  <si>
    <t>150</t>
  </si>
  <si>
    <t>BU - OFC REGULAR</t>
  </si>
  <si>
    <t>500205</t>
  </si>
  <si>
    <t>SALARY P/T PAYROLL</t>
  </si>
  <si>
    <t>500800</t>
  </si>
  <si>
    <t>PAYROLL OH - OFFICER</t>
  </si>
  <si>
    <t>501005</t>
  </si>
  <si>
    <t>20</t>
  </si>
  <si>
    <t>Utility Price and Wage Indicators</t>
  </si>
  <si>
    <t>Table A30</t>
  </si>
  <si>
    <t>(TREND 192)</t>
  </si>
  <si>
    <t xml:space="preserve">US, Avg Hourly Earnings,
Utilities, Units: $/Hr: CEU4422000008 
Percent Change </t>
  </si>
  <si>
    <t xml:space="preserve">36.2 
2.5 </t>
  </si>
  <si>
    <t xml:space="preserve">36.8 
1.5 </t>
  </si>
  <si>
    <t xml:space="preserve">37.3 
1.5 </t>
  </si>
  <si>
    <t xml:space="preserve">38.8 
3.9 </t>
  </si>
  <si>
    <t xml:space="preserve">40.0 
3.2 </t>
  </si>
  <si>
    <t xml:space="preserve">41.3 
3.0 </t>
  </si>
  <si>
    <t xml:space="preserve">42.5 
2.9 </t>
  </si>
  <si>
    <t xml:space="preserve">43.7 
2.8 </t>
  </si>
  <si>
    <t xml:space="preserve">44.9 
2.9 </t>
  </si>
  <si>
    <t xml:space="preserve">46.2 
2.9 </t>
  </si>
  <si>
    <t xml:space="preserve">47.6 
3.0 </t>
  </si>
  <si>
    <t xml:space="preserve">49.0 
3.0 </t>
  </si>
  <si>
    <t>Source: IHS Markit Power Planner Q2 2019, Table A30.</t>
  </si>
  <si>
    <t>Gas Management (Scheduling)</t>
  </si>
  <si>
    <t>Gas Storage Operations</t>
  </si>
  <si>
    <t>Annual Hours</t>
  </si>
  <si>
    <t>Labor Cost</t>
  </si>
  <si>
    <t>Gas Control</t>
  </si>
  <si>
    <t>Period End FTEs</t>
  </si>
  <si>
    <t>Major Account Service Team</t>
  </si>
  <si>
    <t>Total FTEs</t>
  </si>
  <si>
    <t>Total Hours</t>
  </si>
  <si>
    <t>Weighted Labor Cost</t>
  </si>
  <si>
    <t>Test Year Summaries:</t>
  </si>
  <si>
    <t>--&gt; as of Dec '16</t>
  </si>
  <si>
    <t>Dec '17</t>
  </si>
  <si>
    <t>Dec '18</t>
  </si>
  <si>
    <t>Dec '19</t>
  </si>
  <si>
    <t>Gas Management (Planning)</t>
  </si>
  <si>
    <t>Account Services</t>
  </si>
  <si>
    <t>588105</t>
  </si>
  <si>
    <t>SALARY PAYROLL ZTFSO</t>
  </si>
  <si>
    <t>MAS</t>
  </si>
  <si>
    <t>MAST</t>
  </si>
  <si>
    <t>NW Natural</t>
  </si>
  <si>
    <t>FTEs and Labor Rate for Cost Center: 11200 Gas Storage Ops</t>
  </si>
  <si>
    <t>FTEs and Labor Rate for Cost Center: 11150 Gas Acquisition</t>
  </si>
  <si>
    <t>FTEs and Labor Rate for Cost Center: 11300 Gas Control</t>
  </si>
  <si>
    <t>EMPLOYEE11300-1</t>
  </si>
  <si>
    <t>EMPLOYEE11300-2</t>
  </si>
  <si>
    <t>EMPLOYEE11300-3</t>
  </si>
  <si>
    <t>EMPLOYEE11300-4</t>
  </si>
  <si>
    <t>EMPLOYEE11300-5</t>
  </si>
  <si>
    <t>EMPLOYEE11300-6</t>
  </si>
  <si>
    <t>EMPLOYEE11300-7</t>
  </si>
  <si>
    <t>EMPLOYEE11300-8</t>
  </si>
  <si>
    <t>EMPLOYEE11300-9</t>
  </si>
  <si>
    <t>EMPLOYEE11300-10</t>
  </si>
  <si>
    <t>EMPLOYEE11300-11</t>
  </si>
  <si>
    <t>EMPLOYEE11300-12</t>
  </si>
  <si>
    <t>EMPLOYEE11300-13</t>
  </si>
  <si>
    <t>EMPLOYEE11300-14</t>
  </si>
  <si>
    <t>FTEs and Labor Rate for Cost Center: 11325 Major Account Services</t>
  </si>
  <si>
    <t>FTEs and Labor Rate for Cost Center: 11348 Major Account Services (Billers)</t>
  </si>
  <si>
    <t>FTEs and Labor Rate for Cost Center: 13600 Account Services</t>
  </si>
  <si>
    <t>Global Assumptions for Vacation-Sick Time and Payroll Overhead Rates</t>
  </si>
  <si>
    <t>Note: Employee-specific data have been anonymized.</t>
  </si>
  <si>
    <t>10000999</t>
  </si>
  <si>
    <t>499</t>
  </si>
  <si>
    <t>Oct 2019</t>
  </si>
  <si>
    <t>10000997</t>
  </si>
  <si>
    <t>10000998</t>
  </si>
  <si>
    <t>497</t>
  </si>
  <si>
    <t>498</t>
  </si>
  <si>
    <t>TY AVG LABOR RATE</t>
  </si>
  <si>
    <t>Washington Jurisdiction Rate Case</t>
  </si>
  <si>
    <t>Test Year Based on Twelve Months Ended September 30, 2020</t>
  </si>
  <si>
    <r>
      <rPr>
        <b/>
        <u/>
        <sz val="10"/>
        <rFont val="Tahoma"/>
        <family val="2"/>
      </rPr>
      <t>NOTE</t>
    </r>
    <r>
      <rPr>
        <b/>
        <sz val="10"/>
        <rFont val="Tahoma"/>
        <family val="2"/>
      </rPr>
      <t>:</t>
    </r>
  </si>
  <si>
    <t>This file works from the right-most tabs, moving leftward.</t>
  </si>
  <si>
    <t>in the tab highlighted in green.</t>
  </si>
  <si>
    <t>This file contains inputs from the following workpaper(s)*:</t>
  </si>
  <si>
    <t>&lt;  None  &gt;</t>
  </si>
  <si>
    <t>* Workpaper connections are described in individual tabs.</t>
  </si>
  <si>
    <t>Individual cost center labor data are found in the right-most tabs,</t>
  </si>
  <si>
    <t>The Labor Cost Summary Table is found</t>
  </si>
  <si>
    <t>This file provides inputs to the following workpaper(s):</t>
  </si>
  <si>
    <t>Workpaper: Development of Account Services Costs by Cost Center for Direct Allocation for EmCOSS</t>
  </si>
  <si>
    <t>"20XXXX-NWN-Exh-RJW-2-Wyman-WP4-12-18-2020"</t>
  </si>
  <si>
    <t>"20XXXX-NWN-Exh-RJW-2-Wyman-WP6-12-18-2020."</t>
  </si>
  <si>
    <t>Direct Allocation of Account Services Costs Development for EmCOSS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</si>
</sst>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;#,##0.00;@"/>
    <numFmt numFmtId="165" formatCode="0.0%"/>
    <numFmt numFmtId="166" formatCode="#,##0.000"/>
    <numFmt numFmtId="167" formatCode="#,##0.0;\-#,##0.0;#,##0.0;@"/>
    <numFmt numFmtId="168" formatCode="#,##0;\-#,##0;#,##0;@"/>
    <numFmt numFmtId="169" formatCode="_(* #,##0_);_(* \(#,##0\);_(* &quot;-&quot;??_);_(@_)"/>
    <numFmt numFmtId="170" formatCode="\$\ #,##0"/>
    <numFmt numFmtId="171" formatCode="0.000%"/>
    <numFmt numFmtId="172" formatCode="_(&quot;$&quot;* #,##0_);_(&quot;$&quot;* \(#,##0\);_(&quot;$&quot;* &quot;-&quot;??_);_(@_)"/>
  </numFmts>
  <fonts count="114"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 Narrow"/>
      <family val="2"/>
    </font>
    <font>
      <b/>
      <sz val="13"/>
      <color theme="3"/>
      <name val="Arial Narrow"/>
      <family val="2"/>
    </font>
    <font>
      <b/>
      <sz val="11"/>
      <color theme="3"/>
      <name val="Arial Narrow"/>
      <family val="2"/>
    </font>
    <font>
      <sz val="10"/>
      <color rgb="FF006100"/>
      <name val="Arial Narrow"/>
      <family val="2"/>
    </font>
    <font>
      <sz val="10"/>
      <color rgb="FF9C0006"/>
      <name val="Arial Narrow"/>
      <family val="2"/>
    </font>
    <font>
      <sz val="10"/>
      <color rgb="FF9C6500"/>
      <name val="Arial Narrow"/>
      <family val="2"/>
    </font>
    <font>
      <sz val="10"/>
      <color rgb="FF3F3F76"/>
      <name val="Arial Narrow"/>
      <family val="2"/>
    </font>
    <font>
      <b/>
      <sz val="10"/>
      <color rgb="FF3F3F3F"/>
      <name val="Arial Narrow"/>
      <family val="2"/>
    </font>
    <font>
      <b/>
      <sz val="10"/>
      <color rgb="FFFA7D00"/>
      <name val="Arial Narrow"/>
      <family val="2"/>
    </font>
    <font>
      <sz val="10"/>
      <color rgb="FFFA7D00"/>
      <name val="Arial Narrow"/>
      <family val="2"/>
    </font>
    <font>
      <b/>
      <sz val="10"/>
      <color theme="0"/>
      <name val="Arial Narrow"/>
      <family val="2"/>
    </font>
    <font>
      <sz val="10"/>
      <color rgb="FFFF0000"/>
      <name val="Arial Narrow"/>
      <family val="2"/>
    </font>
    <font>
      <i/>
      <sz val="10"/>
      <color rgb="FF7F7F7F"/>
      <name val="Arial Narrow"/>
      <family val="2"/>
    </font>
    <font>
      <b/>
      <sz val="10"/>
      <color theme="1"/>
      <name val="Arial Narrow"/>
      <family val="2"/>
    </font>
    <font>
      <sz val="10"/>
      <color theme="0"/>
      <name val="Arial Narrow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 Unicode MS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sz val="11"/>
      <color rgb="FF006100"/>
      <name val="Verdana"/>
      <family val="2"/>
    </font>
    <font>
      <sz val="11"/>
      <color rgb="FF9C0006"/>
      <name val="Verdana"/>
      <family val="2"/>
    </font>
    <font>
      <sz val="11"/>
      <color rgb="FF9C6500"/>
      <name val="Verdana"/>
      <family val="2"/>
    </font>
    <font>
      <sz val="11"/>
      <color rgb="FF3F3F76"/>
      <name val="Verdana"/>
      <family val="2"/>
    </font>
    <font>
      <b/>
      <sz val="11"/>
      <color rgb="FF3F3F3F"/>
      <name val="Verdana"/>
      <family val="2"/>
    </font>
    <font>
      <b/>
      <sz val="11"/>
      <color rgb="FFFA7D00"/>
      <name val="Verdana"/>
      <family val="2"/>
    </font>
    <font>
      <sz val="11"/>
      <color rgb="FFFA7D00"/>
      <name val="Verdana"/>
      <family val="2"/>
    </font>
    <font>
      <b/>
      <sz val="11"/>
      <color theme="0"/>
      <name val="Verdana"/>
      <family val="2"/>
    </font>
    <font>
      <sz val="11"/>
      <color rgb="FFFF0000"/>
      <name val="Verdana"/>
      <family val="2"/>
    </font>
    <font>
      <i/>
      <sz val="11"/>
      <color rgb="FF7F7F7F"/>
      <name val="Verdana"/>
      <family val="2"/>
    </font>
    <font>
      <b/>
      <sz val="11"/>
      <color theme="1"/>
      <name val="Verdana"/>
      <family val="2"/>
    </font>
    <font>
      <sz val="11"/>
      <color theme="0"/>
      <name val="Verdana"/>
      <family val="2"/>
    </font>
    <font>
      <sz val="10"/>
      <color rgb="FF006100"/>
      <name val="Verdana"/>
      <family val="2"/>
    </font>
    <font>
      <sz val="10"/>
      <color rgb="FF9C0006"/>
      <name val="Verdana"/>
      <family val="2"/>
    </font>
    <font>
      <sz val="10"/>
      <color rgb="FF9C6500"/>
      <name val="Verdana"/>
      <family val="2"/>
    </font>
    <font>
      <sz val="10"/>
      <color rgb="FF3F3F76"/>
      <name val="Verdana"/>
      <family val="2"/>
    </font>
    <font>
      <b/>
      <sz val="10"/>
      <color rgb="FF3F3F3F"/>
      <name val="Verdana"/>
      <family val="2"/>
    </font>
    <font>
      <b/>
      <sz val="10"/>
      <color rgb="FFFA7D00"/>
      <name val="Verdana"/>
      <family val="2"/>
    </font>
    <font>
      <sz val="10"/>
      <color rgb="FFFA7D00"/>
      <name val="Verdana"/>
      <family val="2"/>
    </font>
    <font>
      <b/>
      <sz val="10"/>
      <color theme="0"/>
      <name val="Verdana"/>
      <family val="2"/>
    </font>
    <font>
      <sz val="10"/>
      <color rgb="FFFF0000"/>
      <name val="Verdana"/>
      <family val="2"/>
    </font>
    <font>
      <i/>
      <sz val="10"/>
      <color rgb="FF7F7F7F"/>
      <name val="Verdana"/>
      <family val="2"/>
    </font>
    <font>
      <b/>
      <sz val="10"/>
      <color theme="1"/>
      <name val="Verdana"/>
      <family val="2"/>
    </font>
    <font>
      <sz val="10"/>
      <color theme="0"/>
      <name val="Verdana"/>
      <family val="2"/>
    </font>
    <font>
      <u/>
      <sz val="10"/>
      <color indexed="12"/>
      <name val="Arial"/>
      <family val="2"/>
    </font>
    <font>
      <b/>
      <sz val="9"/>
      <name val="Arial-BoldMT"/>
    </font>
    <font>
      <sz val="7"/>
      <color rgb="FF707C8A"/>
      <name val="ArialMT"/>
    </font>
    <font>
      <b/>
      <sz val="7"/>
      <color rgb="FF242021"/>
      <name val="RobotoCondensed-Bold"/>
    </font>
    <font>
      <sz val="7"/>
      <color rgb="FF242021"/>
      <name val="RobotoCondensed-Regular"/>
    </font>
    <font>
      <b/>
      <u/>
      <sz val="10"/>
      <color theme="1"/>
      <name val="Arial Narrow"/>
      <family val="2"/>
    </font>
    <font>
      <sz val="8"/>
      <color indexed="8"/>
      <name val="Arial"/>
      <family val="2"/>
    </font>
    <font>
      <b/>
      <sz val="10"/>
      <name val="Tahoma"/>
      <family val="2"/>
    </font>
    <font>
      <sz val="8"/>
      <name val="Tahoma"/>
      <family val="2"/>
    </font>
    <font>
      <b/>
      <u/>
      <sz val="10"/>
      <name val="Tahoma"/>
      <family val="2"/>
    </font>
    <font>
      <sz val="9"/>
      <name val="Tahoma"/>
      <family val="2"/>
    </font>
    <font>
      <sz val="10"/>
      <name val="Tahoma"/>
      <family val="2"/>
    </font>
    <font>
      <i/>
      <sz val="9"/>
      <color theme="1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C4C4"/>
        <bgColor indexed="64"/>
      </patternFill>
    </fill>
    <fill>
      <patternFill patternType="solid">
        <fgColor rgb="FFB7CFE8"/>
        <bgColor indexed="64"/>
      </patternFill>
    </fill>
    <fill>
      <patternFill patternType="solid">
        <fgColor rgb="FFE9EEF4"/>
        <bgColor indexed="64"/>
      </patternFill>
    </fill>
    <fill>
      <patternFill patternType="solid">
        <fgColor rgb="FFD5E3F2"/>
        <bgColor indexed="6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15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/>
      <diagonal/>
    </border>
    <border>
      <left style="medium">
        <color rgb="FFAEAEAE"/>
      </left>
      <right style="medium">
        <color rgb="FFAEAEAE"/>
      </right>
      <top/>
      <bottom/>
      <diagonal/>
    </border>
    <border>
      <left style="medium">
        <color rgb="FFAEAEAE"/>
      </left>
      <right style="medium">
        <color rgb="FFAEAEAE"/>
      </right>
      <top/>
      <bottom style="medium">
        <color rgb="FFAEAEA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AEAEAE"/>
      </left>
      <right/>
      <top style="medium">
        <color rgb="FFAEAEAE"/>
      </top>
      <bottom/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 style="thin">
        <color indexed="48"/>
      </left>
      <right/>
      <top style="thin">
        <color indexed="48"/>
      </top>
      <bottom/>
      <diagonal/>
    </border>
  </borders>
  <cellStyleXfs count="434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4" fontId="21" fillId="33" borderId="0" applyNumberFormat="0" applyProtection="0">
      <alignment horizontal="left" vertical="center" indent="1"/>
    </xf>
    <xf numFmtId="4" fontId="22" fillId="33" borderId="10" applyNumberFormat="0" applyProtection="0">
      <alignment horizontal="left" vertical="center" indent="1"/>
    </xf>
    <xf numFmtId="4" fontId="22" fillId="34" borderId="10" applyNumberFormat="0" applyProtection="0">
      <alignment horizontal="right" vertical="center"/>
    </xf>
    <xf numFmtId="0" fontId="23" fillId="35" borderId="11" applyNumberFormat="0">
      <protection locked="0"/>
    </xf>
    <xf numFmtId="4" fontId="21" fillId="36" borderId="10" applyNumberFormat="0" applyProtection="0">
      <alignment horizontal="left" vertical="center" indent="1"/>
    </xf>
    <xf numFmtId="4" fontId="21" fillId="36" borderId="10" applyNumberFormat="0" applyProtection="0">
      <alignment vertical="center"/>
    </xf>
    <xf numFmtId="9" fontId="27" fillId="0" borderId="0" applyFont="0" applyFill="0" applyBorder="0" applyAlignment="0" applyProtection="0"/>
    <xf numFmtId="0" fontId="29" fillId="0" borderId="2" applyNumberFormat="0" applyFill="0" applyAlignment="0" applyProtection="0"/>
    <xf numFmtId="0" fontId="35" fillId="6" borderId="5" applyNumberFormat="0" applyAlignment="0" applyProtection="0"/>
    <xf numFmtId="0" fontId="36" fillId="6" borderId="4" applyNumberFormat="0" applyAlignment="0" applyProtection="0"/>
    <xf numFmtId="0" fontId="32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5" borderId="4" applyNumberFormat="0" applyAlignment="0" applyProtection="0"/>
    <xf numFmtId="0" fontId="30" fillId="0" borderId="0" applyNumberFormat="0" applyFill="0" applyBorder="0" applyAlignment="0" applyProtection="0"/>
    <xf numFmtId="0" fontId="42" fillId="9" borderId="0" applyNumberFormat="0" applyBorder="0" applyAlignment="0" applyProtection="0"/>
    <xf numFmtId="0" fontId="27" fillId="23" borderId="0" applyNumberFormat="0" applyBorder="0" applyAlignment="0" applyProtection="0"/>
    <xf numFmtId="0" fontId="42" fillId="12" borderId="0" applyNumberFormat="0" applyBorder="0" applyAlignment="0" applyProtection="0"/>
    <xf numFmtId="0" fontId="39" fillId="0" borderId="0" applyNumberFormat="0" applyFill="0" applyBorder="0" applyAlignment="0" applyProtection="0"/>
    <xf numFmtId="0" fontId="42" fillId="16" borderId="0" applyNumberFormat="0" applyBorder="0" applyAlignment="0" applyProtection="0"/>
    <xf numFmtId="0" fontId="42" fillId="29" borderId="0" applyNumberFormat="0" applyBorder="0" applyAlignment="0" applyProtection="0"/>
    <xf numFmtId="43" fontId="27" fillId="0" borderId="0" applyFont="0" applyFill="0" applyBorder="0" applyAlignment="0" applyProtection="0"/>
    <xf numFmtId="0" fontId="27" fillId="22" borderId="0" applyNumberFormat="0" applyBorder="0" applyAlignment="0" applyProtection="0"/>
    <xf numFmtId="0" fontId="27" fillId="11" borderId="0" applyNumberFormat="0" applyBorder="0" applyAlignment="0" applyProtection="0"/>
    <xf numFmtId="0" fontId="37" fillId="0" borderId="6" applyNumberFormat="0" applyFill="0" applyAlignment="0" applyProtection="0"/>
    <xf numFmtId="0" fontId="31" fillId="2" borderId="0" applyNumberFormat="0" applyBorder="0" applyAlignment="0" applyProtection="0"/>
    <xf numFmtId="0" fontId="42" fillId="28" borderId="0" applyNumberFormat="0" applyBorder="0" applyAlignment="0" applyProtection="0"/>
    <xf numFmtId="0" fontId="27" fillId="18" borderId="0" applyNumberFormat="0" applyBorder="0" applyAlignment="0" applyProtection="0"/>
    <xf numFmtId="0" fontId="28" fillId="0" borderId="1" applyNumberFormat="0" applyFill="0" applyAlignment="0" applyProtection="0"/>
    <xf numFmtId="0" fontId="30" fillId="0" borderId="3" applyNumberFormat="0" applyFill="0" applyAlignment="0" applyProtection="0"/>
    <xf numFmtId="0" fontId="27" fillId="10" borderId="0" applyNumberFormat="0" applyBorder="0" applyAlignment="0" applyProtection="0"/>
    <xf numFmtId="0" fontId="42" fillId="24" borderId="0" applyNumberFormat="0" applyBorder="0" applyAlignment="0" applyProtection="0"/>
    <xf numFmtId="0" fontId="27" fillId="0" borderId="0"/>
    <xf numFmtId="0" fontId="27" fillId="8" borderId="8" applyNumberFormat="0" applyFont="0" applyAlignment="0" applyProtection="0"/>
    <xf numFmtId="0" fontId="42" fillId="17" borderId="0" applyNumberFormat="0" applyBorder="0" applyAlignment="0" applyProtection="0"/>
    <xf numFmtId="0" fontId="27" fillId="30" borderId="0" applyNumberFormat="0" applyBorder="0" applyAlignment="0" applyProtection="0"/>
    <xf numFmtId="0" fontId="38" fillId="7" borderId="7" applyNumberFormat="0" applyAlignment="0" applyProtection="0"/>
    <xf numFmtId="0" fontId="27" fillId="27" borderId="0" applyNumberFormat="0" applyBorder="0" applyAlignment="0" applyProtection="0"/>
    <xf numFmtId="0" fontId="42" fillId="21" borderId="0" applyNumberFormat="0" applyBorder="0" applyAlignment="0" applyProtection="0"/>
    <xf numFmtId="0" fontId="27" fillId="15" borderId="0" applyNumberFormat="0" applyBorder="0" applyAlignment="0" applyProtection="0"/>
    <xf numFmtId="0" fontId="41" fillId="0" borderId="9" applyNumberFormat="0" applyFill="0" applyAlignment="0" applyProtection="0"/>
    <xf numFmtId="0" fontId="27" fillId="26" borderId="0" applyNumberFormat="0" applyBorder="0" applyAlignment="0" applyProtection="0"/>
    <xf numFmtId="0" fontId="42" fillId="20" borderId="0" applyNumberFormat="0" applyBorder="0" applyAlignment="0" applyProtection="0"/>
    <xf numFmtId="0" fontId="27" fillId="14" borderId="0" applyNumberFormat="0" applyBorder="0" applyAlignment="0" applyProtection="0"/>
    <xf numFmtId="0" fontId="40" fillId="0" borderId="0" applyNumberFormat="0" applyFill="0" applyBorder="0" applyAlignment="0" applyProtection="0"/>
    <xf numFmtId="0" fontId="42" fillId="25" borderId="0" applyNumberFormat="0" applyBorder="0" applyAlignment="0" applyProtection="0"/>
    <xf numFmtId="0" fontId="27" fillId="19" borderId="0" applyNumberFormat="0" applyBorder="0" applyAlignment="0" applyProtection="0"/>
    <xf numFmtId="0" fontId="42" fillId="13" borderId="0" applyNumberFormat="0" applyBorder="0" applyAlignment="0" applyProtection="0"/>
    <xf numFmtId="0" fontId="27" fillId="31" borderId="0" applyNumberFormat="0" applyBorder="0" applyAlignment="0" applyProtection="0"/>
    <xf numFmtId="0" fontId="42" fillId="32" borderId="0" applyNumberFormat="0" applyBorder="0" applyAlignment="0" applyProtection="0"/>
    <xf numFmtId="0" fontId="23" fillId="0" borderId="0"/>
    <xf numFmtId="0" fontId="43" fillId="49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3" fillId="52" borderId="0" applyNumberFormat="0" applyBorder="0" applyAlignment="0" applyProtection="0"/>
    <xf numFmtId="0" fontId="43" fillId="53" borderId="0" applyNumberFormat="0" applyBorder="0" applyAlignment="0" applyProtection="0"/>
    <xf numFmtId="0" fontId="44" fillId="54" borderId="0" applyNumberFormat="0" applyBorder="0" applyAlignment="0" applyProtection="0"/>
    <xf numFmtId="0" fontId="44" fillId="55" borderId="0" applyNumberFormat="0" applyBorder="0" applyAlignment="0" applyProtection="0"/>
    <xf numFmtId="0" fontId="43" fillId="56" borderId="0" applyNumberFormat="0" applyBorder="0" applyAlignment="0" applyProtection="0"/>
    <xf numFmtId="0" fontId="43" fillId="56" borderId="0" applyNumberFormat="0" applyBorder="0" applyAlignment="0" applyProtection="0"/>
    <xf numFmtId="0" fontId="44" fillId="57" borderId="0" applyNumberFormat="0" applyBorder="0" applyAlignment="0" applyProtection="0"/>
    <xf numFmtId="0" fontId="44" fillId="58" borderId="0" applyNumberFormat="0" applyBorder="0" applyAlignment="0" applyProtection="0"/>
    <xf numFmtId="0" fontId="43" fillId="59" borderId="0" applyNumberFormat="0" applyBorder="0" applyAlignment="0" applyProtection="0"/>
    <xf numFmtId="0" fontId="43" fillId="60" borderId="0" applyNumberFormat="0" applyBorder="0" applyAlignment="0" applyProtection="0"/>
    <xf numFmtId="0" fontId="44" fillId="58" borderId="0" applyNumberFormat="0" applyBorder="0" applyAlignment="0" applyProtection="0"/>
    <xf numFmtId="0" fontId="44" fillId="59" borderId="0" applyNumberFormat="0" applyBorder="0" applyAlignment="0" applyProtection="0"/>
    <xf numFmtId="0" fontId="43" fillId="59" borderId="0" applyNumberFormat="0" applyBorder="0" applyAlignment="0" applyProtection="0"/>
    <xf numFmtId="0" fontId="43" fillId="61" borderId="0" applyNumberFormat="0" applyBorder="0" applyAlignment="0" applyProtection="0"/>
    <xf numFmtId="0" fontId="44" fillId="50" borderId="0" applyNumberFormat="0" applyBorder="0" applyAlignment="0" applyProtection="0"/>
    <xf numFmtId="0" fontId="44" fillId="51" borderId="0" applyNumberFormat="0" applyBorder="0" applyAlignment="0" applyProtection="0"/>
    <xf numFmtId="0" fontId="43" fillId="51" borderId="0" applyNumberFormat="0" applyBorder="0" applyAlignment="0" applyProtection="0"/>
    <xf numFmtId="0" fontId="43" fillId="62" borderId="0" applyNumberFormat="0" applyBorder="0" applyAlignment="0" applyProtection="0"/>
    <xf numFmtId="0" fontId="44" fillId="63" borderId="0" applyNumberFormat="0" applyBorder="0" applyAlignment="0" applyProtection="0"/>
    <xf numFmtId="0" fontId="44" fillId="55" borderId="0" applyNumberFormat="0" applyBorder="0" applyAlignment="0" applyProtection="0"/>
    <xf numFmtId="0" fontId="43" fillId="64" borderId="0" applyNumberFormat="0" applyBorder="0" applyAlignment="0" applyProtection="0"/>
    <xf numFmtId="0" fontId="45" fillId="55" borderId="0" applyNumberFormat="0" applyBorder="0" applyAlignment="0" applyProtection="0"/>
    <xf numFmtId="0" fontId="46" fillId="65" borderId="16" applyNumberFormat="0" applyAlignment="0" applyProtection="0"/>
    <xf numFmtId="0" fontId="47" fillId="56" borderId="17" applyNumberFormat="0" applyAlignment="0" applyProtection="0"/>
    <xf numFmtId="0" fontId="48" fillId="66" borderId="0" applyNumberFormat="0" applyBorder="0" applyAlignment="0" applyProtection="0"/>
    <xf numFmtId="0" fontId="48" fillId="67" borderId="0" applyNumberFormat="0" applyBorder="0" applyAlignment="0" applyProtection="0"/>
    <xf numFmtId="0" fontId="48" fillId="68" borderId="0" applyNumberFormat="0" applyBorder="0" applyAlignment="0" applyProtection="0"/>
    <xf numFmtId="0" fontId="49" fillId="69" borderId="0" applyNumberFormat="0" applyBorder="0" applyAlignment="0" applyProtection="0"/>
    <xf numFmtId="0" fontId="50" fillId="0" borderId="18" applyNumberFormat="0" applyFill="0" applyAlignment="0" applyProtection="0"/>
    <xf numFmtId="0" fontId="51" fillId="0" borderId="19" applyNumberFormat="0" applyFill="0" applyAlignment="0" applyProtection="0"/>
    <xf numFmtId="0" fontId="52" fillId="0" borderId="20" applyNumberFormat="0" applyFill="0" applyAlignment="0" applyProtection="0"/>
    <xf numFmtId="0" fontId="52" fillId="0" borderId="0" applyNumberFormat="0" applyFill="0" applyBorder="0" applyAlignment="0" applyProtection="0"/>
    <xf numFmtId="0" fontId="53" fillId="64" borderId="16" applyNumberFormat="0" applyAlignment="0" applyProtection="0"/>
    <xf numFmtId="0" fontId="54" fillId="0" borderId="21" applyNumberFormat="0" applyFill="0" applyAlignment="0" applyProtection="0"/>
    <xf numFmtId="0" fontId="55" fillId="64" borderId="0" applyNumberFormat="0" applyBorder="0" applyAlignment="0" applyProtection="0"/>
    <xf numFmtId="0" fontId="23" fillId="63" borderId="22" applyNumberFormat="0" applyFont="0" applyAlignment="0" applyProtection="0"/>
    <xf numFmtId="0" fontId="56" fillId="65" borderId="23" applyNumberFormat="0" applyAlignment="0" applyProtection="0"/>
    <xf numFmtId="4" fontId="57" fillId="36" borderId="10" applyNumberFormat="0" applyProtection="0">
      <alignment vertical="center"/>
    </xf>
    <xf numFmtId="0" fontId="21" fillId="36" borderId="10" applyNumberFormat="0" applyProtection="0">
      <alignment horizontal="left" vertical="top" indent="1"/>
    </xf>
    <xf numFmtId="4" fontId="22" fillId="46" borderId="10" applyNumberFormat="0" applyProtection="0">
      <alignment horizontal="right" vertical="center"/>
    </xf>
    <xf numFmtId="4" fontId="22" fillId="43" borderId="10" applyNumberFormat="0" applyProtection="0">
      <alignment horizontal="right" vertical="center"/>
    </xf>
    <xf numFmtId="4" fontId="22" fillId="70" borderId="10" applyNumberFormat="0" applyProtection="0">
      <alignment horizontal="right" vertical="center"/>
    </xf>
    <xf numFmtId="4" fontId="22" fillId="71" borderId="10" applyNumberFormat="0" applyProtection="0">
      <alignment horizontal="right" vertical="center"/>
    </xf>
    <xf numFmtId="4" fontId="22" fillId="72" borderId="10" applyNumberFormat="0" applyProtection="0">
      <alignment horizontal="right" vertical="center"/>
    </xf>
    <xf numFmtId="4" fontId="22" fillId="73" borderId="10" applyNumberFormat="0" applyProtection="0">
      <alignment horizontal="right" vertical="center"/>
    </xf>
    <xf numFmtId="4" fontId="22" fillId="48" borderId="10" applyNumberFormat="0" applyProtection="0">
      <alignment horizontal="right" vertical="center"/>
    </xf>
    <xf numFmtId="4" fontId="22" fillId="74" borderId="10" applyNumberFormat="0" applyProtection="0">
      <alignment horizontal="right" vertical="center"/>
    </xf>
    <xf numFmtId="4" fontId="22" fillId="75" borderId="10" applyNumberFormat="0" applyProtection="0">
      <alignment horizontal="right" vertical="center"/>
    </xf>
    <xf numFmtId="4" fontId="21" fillId="76" borderId="24" applyNumberFormat="0" applyProtection="0">
      <alignment horizontal="left" vertical="center" indent="1"/>
    </xf>
    <xf numFmtId="4" fontId="22" fillId="34" borderId="0" applyNumberFormat="0" applyProtection="0">
      <alignment horizontal="left" vertical="center" indent="1"/>
    </xf>
    <xf numFmtId="4" fontId="58" fillId="47" borderId="0" applyNumberFormat="0" applyProtection="0">
      <alignment horizontal="left" vertical="center" indent="1"/>
    </xf>
    <xf numFmtId="4" fontId="22" fillId="33" borderId="10" applyNumberFormat="0" applyProtection="0">
      <alignment horizontal="right" vertical="center"/>
    </xf>
    <xf numFmtId="4" fontId="59" fillId="34" borderId="0" applyNumberFormat="0" applyProtection="0">
      <alignment horizontal="left" vertical="center" indent="1"/>
    </xf>
    <xf numFmtId="4" fontId="59" fillId="33" borderId="0" applyNumberFormat="0" applyProtection="0">
      <alignment horizontal="left" vertical="center" indent="1"/>
    </xf>
    <xf numFmtId="0" fontId="23" fillId="47" borderId="10" applyNumberFormat="0" applyProtection="0">
      <alignment horizontal="left" vertical="center" indent="1"/>
    </xf>
    <xf numFmtId="0" fontId="23" fillId="47" borderId="10" applyNumberFormat="0" applyProtection="0">
      <alignment horizontal="left" vertical="top" indent="1"/>
    </xf>
    <xf numFmtId="0" fontId="23" fillId="33" borderId="10" applyNumberFormat="0" applyProtection="0">
      <alignment horizontal="left" vertical="center" indent="1"/>
    </xf>
    <xf numFmtId="0" fontId="23" fillId="33" borderId="10" applyNumberFormat="0" applyProtection="0">
      <alignment horizontal="left" vertical="top" indent="1"/>
    </xf>
    <xf numFmtId="0" fontId="23" fillId="45" borderId="10" applyNumberFormat="0" applyProtection="0">
      <alignment horizontal="left" vertical="center" indent="1"/>
    </xf>
    <xf numFmtId="0" fontId="23" fillId="45" borderId="10" applyNumberFormat="0" applyProtection="0">
      <alignment horizontal="left" vertical="top" indent="1"/>
    </xf>
    <xf numFmtId="0" fontId="23" fillId="34" borderId="10" applyNumberFormat="0" applyProtection="0">
      <alignment horizontal="left" vertical="center" indent="1"/>
    </xf>
    <xf numFmtId="0" fontId="23" fillId="34" borderId="10" applyNumberFormat="0" applyProtection="0">
      <alignment horizontal="left" vertical="top" indent="1"/>
    </xf>
    <xf numFmtId="4" fontId="22" fillId="44" borderId="10" applyNumberFormat="0" applyProtection="0">
      <alignment vertical="center"/>
    </xf>
    <xf numFmtId="4" fontId="60" fillId="44" borderId="10" applyNumberFormat="0" applyProtection="0">
      <alignment vertical="center"/>
    </xf>
    <xf numFmtId="4" fontId="22" fillId="44" borderId="10" applyNumberFormat="0" applyProtection="0">
      <alignment horizontal="left" vertical="center" indent="1"/>
    </xf>
    <xf numFmtId="0" fontId="22" fillId="44" borderId="10" applyNumberFormat="0" applyProtection="0">
      <alignment horizontal="left" vertical="top" indent="1"/>
    </xf>
    <xf numFmtId="4" fontId="60" fillId="34" borderId="10" applyNumberFormat="0" applyProtection="0">
      <alignment horizontal="right" vertical="center"/>
    </xf>
    <xf numFmtId="0" fontId="22" fillId="33" borderId="10" applyNumberFormat="0" applyProtection="0">
      <alignment horizontal="left" vertical="top" indent="1"/>
    </xf>
    <xf numFmtId="4" fontId="61" fillId="77" borderId="0" applyNumberFormat="0" applyProtection="0">
      <alignment horizontal="left" vertical="center" indent="1"/>
    </xf>
    <xf numFmtId="4" fontId="62" fillId="34" borderId="10" applyNumberFormat="0" applyProtection="0">
      <alignment horizontal="right" vertical="center"/>
    </xf>
    <xf numFmtId="0" fontId="63" fillId="0" borderId="0" applyNumberFormat="0" applyFill="0" applyBorder="0" applyAlignment="0" applyProtection="0"/>
    <xf numFmtId="0" fontId="48" fillId="0" borderId="25" applyNumberFormat="0" applyFill="0" applyAlignment="0" applyProtection="0"/>
    <xf numFmtId="0" fontId="64" fillId="0" borderId="0" applyNumberFormat="0" applyFill="0" applyBorder="0" applyAlignment="0" applyProtection="0"/>
    <xf numFmtId="0" fontId="43" fillId="49" borderId="0" applyNumberFormat="0" applyBorder="0" applyAlignment="0" applyProtection="0"/>
    <xf numFmtId="0" fontId="43" fillId="56" borderId="0" applyNumberFormat="0" applyBorder="0" applyAlignment="0" applyProtection="0"/>
    <xf numFmtId="0" fontId="43" fillId="53" borderId="0" applyNumberFormat="0" applyBorder="0" applyAlignment="0" applyProtection="0"/>
    <xf numFmtId="0" fontId="43" fillId="56" borderId="0" applyNumberFormat="0" applyBorder="0" applyAlignment="0" applyProtection="0"/>
    <xf numFmtId="0" fontId="43" fillId="60" borderId="0" applyNumberFormat="0" applyBorder="0" applyAlignment="0" applyProtection="0"/>
    <xf numFmtId="0" fontId="43" fillId="56" borderId="0" applyNumberFormat="0" applyBorder="0" applyAlignment="0" applyProtection="0"/>
    <xf numFmtId="0" fontId="43" fillId="60" borderId="0" applyNumberFormat="0" applyBorder="0" applyAlignment="0" applyProtection="0"/>
    <xf numFmtId="0" fontId="43" fillId="60" borderId="0" applyNumberFormat="0" applyBorder="0" applyAlignment="0" applyProtection="0"/>
    <xf numFmtId="0" fontId="43" fillId="61" borderId="0" applyNumberFormat="0" applyBorder="0" applyAlignment="0" applyProtection="0"/>
    <xf numFmtId="0" fontId="43" fillId="61" borderId="0" applyNumberFormat="0" applyBorder="0" applyAlignment="0" applyProtection="0"/>
    <xf numFmtId="0" fontId="43" fillId="61" borderId="0" applyNumberFormat="0" applyBorder="0" applyAlignment="0" applyProtection="0"/>
    <xf numFmtId="0" fontId="43" fillId="62" borderId="0" applyNumberFormat="0" applyBorder="0" applyAlignment="0" applyProtection="0"/>
    <xf numFmtId="0" fontId="43" fillId="62" borderId="0" applyNumberFormat="0" applyBorder="0" applyAlignment="0" applyProtection="0"/>
    <xf numFmtId="0" fontId="43" fillId="62" borderId="0" applyNumberFormat="0" applyBorder="0" applyAlignment="0" applyProtection="0"/>
    <xf numFmtId="0" fontId="43" fillId="62" borderId="0" applyNumberFormat="0" applyBorder="0" applyAlignment="0" applyProtection="0"/>
    <xf numFmtId="0" fontId="43" fillId="62" borderId="0" applyNumberFormat="0" applyBorder="0" applyAlignment="0" applyProtection="0"/>
    <xf numFmtId="0" fontId="43" fillId="61" borderId="0" applyNumberFormat="0" applyBorder="0" applyAlignment="0" applyProtection="0"/>
    <xf numFmtId="0" fontId="43" fillId="61" borderId="0" applyNumberFormat="0" applyBorder="0" applyAlignment="0" applyProtection="0"/>
    <xf numFmtId="0" fontId="43" fillId="60" borderId="0" applyNumberFormat="0" applyBorder="0" applyAlignment="0" applyProtection="0"/>
    <xf numFmtId="0" fontId="43" fillId="60" borderId="0" applyNumberFormat="0" applyBorder="0" applyAlignment="0" applyProtection="0"/>
    <xf numFmtId="0" fontId="43" fillId="56" borderId="0" applyNumberFormat="0" applyBorder="0" applyAlignment="0" applyProtection="0"/>
    <xf numFmtId="0" fontId="43" fillId="56" borderId="0" applyNumberFormat="0" applyBorder="0" applyAlignment="0" applyProtection="0"/>
    <xf numFmtId="0" fontId="43" fillId="53" borderId="0" applyNumberFormat="0" applyBorder="0" applyAlignment="0" applyProtection="0"/>
    <xf numFmtId="0" fontId="43" fillId="49" borderId="0" applyNumberFormat="0" applyBorder="0" applyAlignment="0" applyProtection="0"/>
    <xf numFmtId="0" fontId="43" fillId="53" borderId="0" applyNumberFormat="0" applyBorder="0" applyAlignment="0" applyProtection="0"/>
    <xf numFmtId="0" fontId="43" fillId="49" borderId="0" applyNumberFormat="0" applyBorder="0" applyAlignment="0" applyProtection="0"/>
    <xf numFmtId="0" fontId="43" fillId="53" borderId="0" applyNumberFormat="0" applyBorder="0" applyAlignment="0" applyProtection="0"/>
    <xf numFmtId="0" fontId="43" fillId="49" borderId="0" applyNumberFormat="0" applyBorder="0" applyAlignment="0" applyProtection="0"/>
    <xf numFmtId="0" fontId="43" fillId="53" borderId="0" applyNumberFormat="0" applyBorder="0" applyAlignment="0" applyProtection="0"/>
    <xf numFmtId="0" fontId="43" fillId="49" borderId="0" applyNumberFormat="0" applyBorder="0" applyAlignment="0" applyProtection="0"/>
    <xf numFmtId="0" fontId="66" fillId="0" borderId="0"/>
    <xf numFmtId="0" fontId="43" fillId="49" borderId="0" applyNumberFormat="0" applyBorder="0" applyAlignment="0" applyProtection="0"/>
    <xf numFmtId="0" fontId="43" fillId="62" borderId="0" applyNumberFormat="0" applyBorder="0" applyAlignment="0" applyProtection="0"/>
    <xf numFmtId="0" fontId="43" fillId="53" borderId="0" applyNumberFormat="0" applyBorder="0" applyAlignment="0" applyProtection="0"/>
    <xf numFmtId="0" fontId="43" fillId="56" borderId="0" applyNumberFormat="0" applyBorder="0" applyAlignment="0" applyProtection="0"/>
    <xf numFmtId="0" fontId="43" fillId="60" borderId="0" applyNumberFormat="0" applyBorder="0" applyAlignment="0" applyProtection="0"/>
    <xf numFmtId="0" fontId="43" fillId="61" borderId="0" applyNumberFormat="0" applyBorder="0" applyAlignment="0" applyProtection="0"/>
    <xf numFmtId="0" fontId="43" fillId="62" borderId="0" applyNumberFormat="0" applyBorder="0" applyAlignment="0" applyProtection="0"/>
    <xf numFmtId="0" fontId="66" fillId="63" borderId="22" applyNumberFormat="0" applyFont="0" applyAlignment="0" applyProtection="0"/>
    <xf numFmtId="0" fontId="43" fillId="62" borderId="0" applyNumberFormat="0" applyBorder="0" applyAlignment="0" applyProtection="0"/>
    <xf numFmtId="0" fontId="43" fillId="62" borderId="0" applyNumberFormat="0" applyBorder="0" applyAlignment="0" applyProtection="0"/>
    <xf numFmtId="0" fontId="43" fillId="61" borderId="0" applyNumberFormat="0" applyBorder="0" applyAlignment="0" applyProtection="0"/>
    <xf numFmtId="0" fontId="43" fillId="61" borderId="0" applyNumberFormat="0" applyBorder="0" applyAlignment="0" applyProtection="0"/>
    <xf numFmtId="0" fontId="43" fillId="60" borderId="0" applyNumberFormat="0" applyBorder="0" applyAlignment="0" applyProtection="0"/>
    <xf numFmtId="4" fontId="67" fillId="47" borderId="0" applyNumberFormat="0" applyProtection="0">
      <alignment horizontal="left" vertical="center" indent="1"/>
    </xf>
    <xf numFmtId="4" fontId="22" fillId="34" borderId="0" applyNumberFormat="0" applyProtection="0">
      <alignment horizontal="left" vertical="center" indent="1"/>
    </xf>
    <xf numFmtId="4" fontId="22" fillId="33" borderId="0" applyNumberFormat="0" applyProtection="0">
      <alignment horizontal="left" vertical="center" indent="1"/>
    </xf>
    <xf numFmtId="0" fontId="66" fillId="47" borderId="10" applyNumberFormat="0" applyProtection="0">
      <alignment horizontal="left" vertical="center" indent="1"/>
    </xf>
    <xf numFmtId="0" fontId="66" fillId="47" borderId="10" applyNumberFormat="0" applyProtection="0">
      <alignment horizontal="left" vertical="top" indent="1"/>
    </xf>
    <xf numFmtId="0" fontId="66" fillId="33" borderId="10" applyNumberFormat="0" applyProtection="0">
      <alignment horizontal="left" vertical="center" indent="1"/>
    </xf>
    <xf numFmtId="0" fontId="66" fillId="33" borderId="10" applyNumberFormat="0" applyProtection="0">
      <alignment horizontal="left" vertical="top" indent="1"/>
    </xf>
    <xf numFmtId="0" fontId="66" fillId="45" borderId="10" applyNumberFormat="0" applyProtection="0">
      <alignment horizontal="left" vertical="center" indent="1"/>
    </xf>
    <xf numFmtId="0" fontId="66" fillId="45" borderId="10" applyNumberFormat="0" applyProtection="0">
      <alignment horizontal="left" vertical="top" indent="1"/>
    </xf>
    <xf numFmtId="0" fontId="66" fillId="34" borderId="10" applyNumberFormat="0" applyProtection="0">
      <alignment horizontal="left" vertical="center" indent="1"/>
    </xf>
    <xf numFmtId="0" fontId="66" fillId="34" borderId="10" applyNumberFormat="0" applyProtection="0">
      <alignment horizontal="left" vertical="top" indent="1"/>
    </xf>
    <xf numFmtId="0" fontId="66" fillId="35" borderId="11" applyNumberFormat="0">
      <protection locked="0"/>
    </xf>
    <xf numFmtId="0" fontId="43" fillId="60" borderId="0" applyNumberFormat="0" applyBorder="0" applyAlignment="0" applyProtection="0"/>
    <xf numFmtId="0" fontId="43" fillId="56" borderId="0" applyNumberFormat="0" applyBorder="0" applyAlignment="0" applyProtection="0"/>
    <xf numFmtId="0" fontId="43" fillId="56" borderId="0" applyNumberFormat="0" applyBorder="0" applyAlignment="0" applyProtection="0"/>
    <xf numFmtId="0" fontId="43" fillId="53" borderId="0" applyNumberFormat="0" applyBorder="0" applyAlignment="0" applyProtection="0"/>
    <xf numFmtId="4" fontId="68" fillId="77" borderId="0" applyNumberFormat="0" applyProtection="0">
      <alignment horizontal="left" vertical="center" indent="1"/>
    </xf>
    <xf numFmtId="0" fontId="43" fillId="49" borderId="0" applyNumberFormat="0" applyBorder="0" applyAlignment="0" applyProtection="0"/>
    <xf numFmtId="0" fontId="43" fillId="61" borderId="0" applyNumberFormat="0" applyBorder="0" applyAlignment="0" applyProtection="0"/>
    <xf numFmtId="0" fontId="43" fillId="60" borderId="0" applyNumberFormat="0" applyBorder="0" applyAlignment="0" applyProtection="0"/>
    <xf numFmtId="0" fontId="43" fillId="56" borderId="0" applyNumberFormat="0" applyBorder="0" applyAlignment="0" applyProtection="0"/>
    <xf numFmtId="0" fontId="43" fillId="53" borderId="0" applyNumberFormat="0" applyBorder="0" applyAlignment="0" applyProtection="0"/>
    <xf numFmtId="0" fontId="43" fillId="49" borderId="0" applyNumberFormat="0" applyBorder="0" applyAlignment="0" applyProtection="0"/>
    <xf numFmtId="0" fontId="43" fillId="53" borderId="0" applyNumberFormat="0" applyBorder="0" applyAlignment="0" applyProtection="0"/>
    <xf numFmtId="0" fontId="43" fillId="49" borderId="0" applyNumberFormat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9" fillId="0" borderId="0"/>
    <xf numFmtId="0" fontId="43" fillId="49" borderId="0" applyNumberFormat="0" applyBorder="0" applyAlignment="0" applyProtection="0"/>
    <xf numFmtId="0" fontId="43" fillId="62" borderId="0" applyNumberFormat="0" applyBorder="0" applyAlignment="0" applyProtection="0"/>
    <xf numFmtId="0" fontId="43" fillId="53" borderId="0" applyNumberFormat="0" applyBorder="0" applyAlignment="0" applyProtection="0"/>
    <xf numFmtId="0" fontId="43" fillId="56" borderId="0" applyNumberFormat="0" applyBorder="0" applyAlignment="0" applyProtection="0"/>
    <xf numFmtId="0" fontId="43" fillId="60" borderId="0" applyNumberFormat="0" applyBorder="0" applyAlignment="0" applyProtection="0"/>
    <xf numFmtId="0" fontId="43" fillId="61" borderId="0" applyNumberFormat="0" applyBorder="0" applyAlignment="0" applyProtection="0"/>
    <xf numFmtId="0" fontId="43" fillId="62" borderId="0" applyNumberFormat="0" applyBorder="0" applyAlignment="0" applyProtection="0"/>
    <xf numFmtId="0" fontId="3" fillId="30" borderId="0" applyNumberFormat="0" applyBorder="0" applyAlignment="0" applyProtection="0"/>
    <xf numFmtId="0" fontId="88" fillId="28" borderId="0" applyNumberFormat="0" applyBorder="0" applyAlignment="0" applyProtection="0"/>
    <xf numFmtId="0" fontId="3" fillId="27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88" fillId="21" borderId="0" applyNumberFormat="0" applyBorder="0" applyAlignment="0" applyProtection="0"/>
    <xf numFmtId="0" fontId="88" fillId="20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88" fillId="17" borderId="0" applyNumberFormat="0" applyBorder="0" applyAlignment="0" applyProtection="0"/>
    <xf numFmtId="0" fontId="88" fillId="16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88" fillId="13" borderId="0" applyNumberFormat="0" applyBorder="0" applyAlignment="0" applyProtection="0"/>
    <xf numFmtId="0" fontId="88" fillId="12" borderId="0" applyNumberFormat="0" applyBorder="0" applyAlignment="0" applyProtection="0"/>
    <xf numFmtId="0" fontId="69" fillId="63" borderId="22" applyNumberFormat="0" applyFont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88" fillId="9" borderId="0" applyNumberFormat="0" applyBorder="0" applyAlignment="0" applyProtection="0"/>
    <xf numFmtId="0" fontId="87" fillId="0" borderId="9" applyNumberFormat="0" applyFill="0" applyAlignment="0" applyProtection="0"/>
    <xf numFmtId="0" fontId="43" fillId="62" borderId="0" applyNumberFormat="0" applyBorder="0" applyAlignment="0" applyProtection="0"/>
    <xf numFmtId="0" fontId="43" fillId="62" borderId="0" applyNumberFormat="0" applyBorder="0" applyAlignment="0" applyProtection="0"/>
    <xf numFmtId="0" fontId="8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43" fillId="62" borderId="0" applyNumberFormat="0" applyBorder="0" applyAlignment="0" applyProtection="0"/>
    <xf numFmtId="0" fontId="85" fillId="0" borderId="0" applyNumberFormat="0" applyFill="0" applyBorder="0" applyAlignment="0" applyProtection="0"/>
    <xf numFmtId="0" fontId="43" fillId="61" borderId="0" applyNumberFormat="0" applyBorder="0" applyAlignment="0" applyProtection="0"/>
    <xf numFmtId="0" fontId="43" fillId="61" borderId="0" applyNumberFormat="0" applyBorder="0" applyAlignment="0" applyProtection="0"/>
    <xf numFmtId="0" fontId="43" fillId="61" borderId="0" applyNumberFormat="0" applyBorder="0" applyAlignment="0" applyProtection="0"/>
    <xf numFmtId="0" fontId="84" fillId="7" borderId="7" applyNumberFormat="0" applyAlignment="0" applyProtection="0"/>
    <xf numFmtId="0" fontId="83" fillId="0" borderId="6" applyNumberFormat="0" applyFill="0" applyAlignment="0" applyProtection="0"/>
    <xf numFmtId="0" fontId="43" fillId="60" borderId="0" applyNumberFormat="0" applyBorder="0" applyAlignment="0" applyProtection="0"/>
    <xf numFmtId="0" fontId="43" fillId="60" borderId="0" applyNumberFormat="0" applyBorder="0" applyAlignment="0" applyProtection="0"/>
    <xf numFmtId="4" fontId="70" fillId="47" borderId="0" applyNumberFormat="0" applyProtection="0">
      <alignment horizontal="left" vertical="center" indent="1"/>
    </xf>
    <xf numFmtId="0" fontId="82" fillId="6" borderId="4" applyNumberFormat="0" applyAlignment="0" applyProtection="0"/>
    <xf numFmtId="4" fontId="71" fillId="34" borderId="0" applyNumberFormat="0" applyProtection="0">
      <alignment horizontal="left" vertical="center" indent="1"/>
    </xf>
    <xf numFmtId="4" fontId="71" fillId="33" borderId="0" applyNumberFormat="0" applyProtection="0">
      <alignment horizontal="left" vertical="center" indent="1"/>
    </xf>
    <xf numFmtId="0" fontId="69" fillId="47" borderId="10" applyNumberFormat="0" applyProtection="0">
      <alignment horizontal="left" vertical="center" indent="1"/>
    </xf>
    <xf numFmtId="0" fontId="69" fillId="47" borderId="10" applyNumberFormat="0" applyProtection="0">
      <alignment horizontal="left" vertical="top" indent="1"/>
    </xf>
    <xf numFmtId="0" fontId="69" fillId="33" borderId="10" applyNumberFormat="0" applyProtection="0">
      <alignment horizontal="left" vertical="center" indent="1"/>
    </xf>
    <xf numFmtId="0" fontId="69" fillId="33" borderId="10" applyNumberFormat="0" applyProtection="0">
      <alignment horizontal="left" vertical="top" indent="1"/>
    </xf>
    <xf numFmtId="0" fontId="69" fillId="45" borderId="10" applyNumberFormat="0" applyProtection="0">
      <alignment horizontal="left" vertical="center" indent="1"/>
    </xf>
    <xf numFmtId="0" fontId="69" fillId="45" borderId="10" applyNumberFormat="0" applyProtection="0">
      <alignment horizontal="left" vertical="top" indent="1"/>
    </xf>
    <xf numFmtId="0" fontId="69" fillId="34" borderId="10" applyNumberFormat="0" applyProtection="0">
      <alignment horizontal="left" vertical="center" indent="1"/>
    </xf>
    <xf numFmtId="0" fontId="69" fillId="34" borderId="10" applyNumberFormat="0" applyProtection="0">
      <alignment horizontal="left" vertical="top" indent="1"/>
    </xf>
    <xf numFmtId="0" fontId="69" fillId="35" borderId="11" applyNumberFormat="0">
      <protection locked="0"/>
    </xf>
    <xf numFmtId="0" fontId="43" fillId="60" borderId="0" applyNumberFormat="0" applyBorder="0" applyAlignment="0" applyProtection="0"/>
    <xf numFmtId="0" fontId="81" fillId="6" borderId="5" applyNumberFormat="0" applyAlignment="0" applyProtection="0"/>
    <xf numFmtId="0" fontId="43" fillId="56" borderId="0" applyNumberFormat="0" applyBorder="0" applyAlignment="0" applyProtection="0"/>
    <xf numFmtId="0" fontId="43" fillId="56" borderId="0" applyNumberFormat="0" applyBorder="0" applyAlignment="0" applyProtection="0"/>
    <xf numFmtId="0" fontId="80" fillId="5" borderId="4" applyNumberFormat="0" applyAlignment="0" applyProtection="0"/>
    <xf numFmtId="0" fontId="79" fillId="4" borderId="0" applyNumberFormat="0" applyBorder="0" applyAlignment="0" applyProtection="0"/>
    <xf numFmtId="0" fontId="43" fillId="53" borderId="0" applyNumberFormat="0" applyBorder="0" applyAlignment="0" applyProtection="0"/>
    <xf numFmtId="0" fontId="43" fillId="56" borderId="0" applyNumberFormat="0" applyBorder="0" applyAlignment="0" applyProtection="0"/>
    <xf numFmtId="4" fontId="72" fillId="77" borderId="0" applyNumberFormat="0" applyProtection="0">
      <alignment horizontal="left" vertical="center" indent="1"/>
    </xf>
    <xf numFmtId="0" fontId="43" fillId="53" borderId="0" applyNumberFormat="0" applyBorder="0" applyAlignment="0" applyProtection="0"/>
    <xf numFmtId="0" fontId="78" fillId="3" borderId="0" applyNumberFormat="0" applyBorder="0" applyAlignment="0" applyProtection="0"/>
    <xf numFmtId="0" fontId="43" fillId="49" borderId="0" applyNumberFormat="0" applyBorder="0" applyAlignment="0" applyProtection="0"/>
    <xf numFmtId="0" fontId="3" fillId="22" borderId="0" applyNumberFormat="0" applyBorder="0" applyAlignment="0" applyProtection="0"/>
    <xf numFmtId="0" fontId="43" fillId="62" borderId="0" applyNumberFormat="0" applyBorder="0" applyAlignment="0" applyProtection="0"/>
    <xf numFmtId="0" fontId="43" fillId="62" borderId="0" applyNumberFormat="0" applyBorder="0" applyAlignment="0" applyProtection="0"/>
    <xf numFmtId="0" fontId="43" fillId="61" borderId="0" applyNumberFormat="0" applyBorder="0" applyAlignment="0" applyProtection="0"/>
    <xf numFmtId="0" fontId="43" fillId="61" borderId="0" applyNumberFormat="0" applyBorder="0" applyAlignment="0" applyProtection="0"/>
    <xf numFmtId="0" fontId="43" fillId="61" borderId="0" applyNumberFormat="0" applyBorder="0" applyAlignment="0" applyProtection="0"/>
    <xf numFmtId="0" fontId="43" fillId="60" borderId="0" applyNumberFormat="0" applyBorder="0" applyAlignment="0" applyProtection="0"/>
    <xf numFmtId="0" fontId="43" fillId="60" borderId="0" applyNumberFormat="0" applyBorder="0" applyAlignment="0" applyProtection="0"/>
    <xf numFmtId="0" fontId="43" fillId="56" borderId="0" applyNumberFormat="0" applyBorder="0" applyAlignment="0" applyProtection="0"/>
    <xf numFmtId="0" fontId="43" fillId="60" borderId="0" applyNumberFormat="0" applyBorder="0" applyAlignment="0" applyProtection="0"/>
    <xf numFmtId="0" fontId="43" fillId="53" borderId="0" applyNumberFormat="0" applyBorder="0" applyAlignment="0" applyProtection="0"/>
    <xf numFmtId="0" fontId="43" fillId="56" borderId="0" applyNumberFormat="0" applyBorder="0" applyAlignment="0" applyProtection="0"/>
    <xf numFmtId="0" fontId="43" fillId="49" borderId="0" applyNumberFormat="0" applyBorder="0" applyAlignment="0" applyProtection="0"/>
    <xf numFmtId="0" fontId="88" fillId="29" borderId="0" applyNumberFormat="0" applyBorder="0" applyAlignment="0" applyProtection="0"/>
    <xf numFmtId="0" fontId="77" fillId="2" borderId="0" applyNumberFormat="0" applyBorder="0" applyAlignment="0" applyProtection="0"/>
    <xf numFmtId="0" fontId="76" fillId="0" borderId="0" applyNumberFormat="0" applyFill="0" applyBorder="0" applyAlignment="0" applyProtection="0"/>
    <xf numFmtId="0" fontId="43" fillId="49" borderId="0" applyNumberFormat="0" applyBorder="0" applyAlignment="0" applyProtection="0"/>
    <xf numFmtId="0" fontId="88" fillId="24" borderId="0" applyNumberFormat="0" applyBorder="0" applyAlignment="0" applyProtection="0"/>
    <xf numFmtId="0" fontId="43" fillId="56" borderId="0" applyNumberFormat="0" applyBorder="0" applyAlignment="0" applyProtection="0"/>
    <xf numFmtId="0" fontId="43" fillId="53" borderId="0" applyNumberFormat="0" applyBorder="0" applyAlignment="0" applyProtection="0"/>
    <xf numFmtId="0" fontId="43" fillId="49" borderId="0" applyNumberFormat="0" applyBorder="0" applyAlignment="0" applyProtection="0"/>
    <xf numFmtId="0" fontId="88" fillId="32" borderId="0" applyNumberFormat="0" applyBorder="0" applyAlignment="0" applyProtection="0"/>
    <xf numFmtId="0" fontId="43" fillId="53" borderId="0" applyNumberFormat="0" applyBorder="0" applyAlignment="0" applyProtection="0"/>
    <xf numFmtId="0" fontId="76" fillId="0" borderId="3" applyNumberFormat="0" applyFill="0" applyAlignment="0" applyProtection="0"/>
    <xf numFmtId="0" fontId="75" fillId="0" borderId="2" applyNumberFormat="0" applyFill="0" applyAlignment="0" applyProtection="0"/>
    <xf numFmtId="0" fontId="74" fillId="0" borderId="1" applyNumberFormat="0" applyFill="0" applyAlignment="0" applyProtection="0"/>
    <xf numFmtId="0" fontId="43" fillId="49" borderId="0" applyNumberFormat="0" applyBorder="0" applyAlignment="0" applyProtection="0"/>
    <xf numFmtId="0" fontId="88" fillId="25" borderId="0" applyNumberFormat="0" applyBorder="0" applyAlignment="0" applyProtection="0"/>
    <xf numFmtId="0" fontId="43" fillId="53" borderId="0" applyNumberFormat="0" applyBorder="0" applyAlignment="0" applyProtection="0"/>
    <xf numFmtId="0" fontId="43" fillId="49" borderId="0" applyNumberFormat="0" applyBorder="0" applyAlignment="0" applyProtection="0"/>
    <xf numFmtId="0" fontId="3" fillId="31" borderId="0" applyNumberFormat="0" applyBorder="0" applyAlignment="0" applyProtection="0"/>
    <xf numFmtId="0" fontId="73" fillId="0" borderId="0" applyNumberFormat="0" applyFill="0" applyBorder="0" applyAlignment="0" applyProtection="0"/>
    <xf numFmtId="0" fontId="3" fillId="0" borderId="0"/>
    <xf numFmtId="0" fontId="43" fillId="49" borderId="0" applyNumberFormat="0" applyBorder="0" applyAlignment="0" applyProtection="0"/>
    <xf numFmtId="0" fontId="43" fillId="60" borderId="0" applyNumberFormat="0" applyBorder="0" applyAlignment="0" applyProtection="0"/>
    <xf numFmtId="0" fontId="43" fillId="53" borderId="0" applyNumberFormat="0" applyBorder="0" applyAlignment="0" applyProtection="0"/>
    <xf numFmtId="0" fontId="43" fillId="56" borderId="0" applyNumberFormat="0" applyBorder="0" applyAlignment="0" applyProtection="0"/>
    <xf numFmtId="0" fontId="43" fillId="53" borderId="0" applyNumberFormat="0" applyBorder="0" applyAlignment="0" applyProtection="0"/>
    <xf numFmtId="0" fontId="43" fillId="56" borderId="0" applyNumberFormat="0" applyBorder="0" applyAlignment="0" applyProtection="0"/>
    <xf numFmtId="0" fontId="43" fillId="56" borderId="0" applyNumberFormat="0" applyBorder="0" applyAlignment="0" applyProtection="0"/>
    <xf numFmtId="0" fontId="43" fillId="49" borderId="0" applyNumberFormat="0" applyBorder="0" applyAlignment="0" applyProtection="0"/>
    <xf numFmtId="0" fontId="43" fillId="60" borderId="0" applyNumberFormat="0" applyBorder="0" applyAlignment="0" applyProtection="0"/>
    <xf numFmtId="0" fontId="43" fillId="60" borderId="0" applyNumberFormat="0" applyBorder="0" applyAlignment="0" applyProtection="0"/>
    <xf numFmtId="0" fontId="43" fillId="61" borderId="0" applyNumberFormat="0" applyBorder="0" applyAlignment="0" applyProtection="0"/>
    <xf numFmtId="0" fontId="43" fillId="61" borderId="0" applyNumberFormat="0" applyBorder="0" applyAlignment="0" applyProtection="0"/>
    <xf numFmtId="0" fontId="43" fillId="62" borderId="0" applyNumberFormat="0" applyBorder="0" applyAlignment="0" applyProtection="0"/>
    <xf numFmtId="0" fontId="43" fillId="62" borderId="0" applyNumberFormat="0" applyBorder="0" applyAlignment="0" applyProtection="0"/>
    <xf numFmtId="0" fontId="100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100" fillId="29" borderId="0" applyNumberFormat="0" applyBorder="0" applyAlignment="0" applyProtection="0"/>
    <xf numFmtId="0" fontId="2" fillId="27" borderId="0" applyNumberFormat="0" applyBorder="0" applyAlignment="0" applyProtection="0"/>
    <xf numFmtId="0" fontId="2" fillId="26" borderId="0" applyNumberFormat="0" applyBorder="0" applyAlignment="0" applyProtection="0"/>
    <xf numFmtId="0" fontId="100" fillId="25" borderId="0" applyNumberFormat="0" applyBorder="0" applyAlignment="0" applyProtection="0"/>
    <xf numFmtId="0" fontId="100" fillId="24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100" fillId="21" borderId="0" applyNumberFormat="0" applyBorder="0" applyAlignment="0" applyProtection="0"/>
    <xf numFmtId="0" fontId="100" fillId="2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100" fillId="17" borderId="0" applyNumberFormat="0" applyBorder="0" applyAlignment="0" applyProtection="0"/>
    <xf numFmtId="0" fontId="100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100" fillId="13" borderId="0" applyNumberFormat="0" applyBorder="0" applyAlignment="0" applyProtection="0"/>
    <xf numFmtId="0" fontId="100" fillId="12" borderId="0" applyNumberFormat="0" applyBorder="0" applyAlignment="0" applyProtection="0"/>
    <xf numFmtId="0" fontId="2" fillId="11" borderId="0" applyNumberFormat="0" applyBorder="0" applyAlignment="0" applyProtection="0"/>
    <xf numFmtId="0" fontId="43" fillId="62" borderId="0" applyNumberFormat="0" applyBorder="0" applyAlignment="0" applyProtection="0"/>
    <xf numFmtId="0" fontId="2" fillId="10" borderId="0" applyNumberFormat="0" applyBorder="0" applyAlignment="0" applyProtection="0"/>
    <xf numFmtId="0" fontId="100" fillId="9" borderId="0" applyNumberFormat="0" applyBorder="0" applyAlignment="0" applyProtection="0"/>
    <xf numFmtId="0" fontId="99" fillId="0" borderId="9" applyNumberFormat="0" applyFill="0" applyAlignment="0" applyProtection="0"/>
    <xf numFmtId="0" fontId="43" fillId="61" borderId="0" applyNumberFormat="0" applyBorder="0" applyAlignment="0" applyProtection="0"/>
    <xf numFmtId="0" fontId="98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97" fillId="0" borderId="0" applyNumberFormat="0" applyFill="0" applyBorder="0" applyAlignment="0" applyProtection="0"/>
    <xf numFmtId="0" fontId="43" fillId="60" borderId="0" applyNumberFormat="0" applyBorder="0" applyAlignment="0" applyProtection="0"/>
    <xf numFmtId="0" fontId="96" fillId="7" borderId="7" applyNumberFormat="0" applyAlignment="0" applyProtection="0"/>
    <xf numFmtId="0" fontId="95" fillId="0" borderId="6" applyNumberFormat="0" applyFill="0" applyAlignment="0" applyProtection="0"/>
    <xf numFmtId="0" fontId="94" fillId="6" borderId="4" applyNumberFormat="0" applyAlignment="0" applyProtection="0"/>
    <xf numFmtId="0" fontId="43" fillId="56" borderId="0" applyNumberFormat="0" applyBorder="0" applyAlignment="0" applyProtection="0"/>
    <xf numFmtId="0" fontId="93" fillId="6" borderId="5" applyNumberFormat="0" applyAlignment="0" applyProtection="0"/>
    <xf numFmtId="0" fontId="92" fillId="5" borderId="4" applyNumberFormat="0" applyAlignment="0" applyProtection="0"/>
    <xf numFmtId="0" fontId="91" fillId="4" borderId="0" applyNumberFormat="0" applyBorder="0" applyAlignment="0" applyProtection="0"/>
    <xf numFmtId="0" fontId="43" fillId="53" borderId="0" applyNumberFormat="0" applyBorder="0" applyAlignment="0" applyProtection="0"/>
    <xf numFmtId="0" fontId="90" fillId="3" borderId="0" applyNumberFormat="0" applyBorder="0" applyAlignment="0" applyProtection="0"/>
    <xf numFmtId="0" fontId="89" fillId="2" borderId="0" applyNumberFormat="0" applyBorder="0" applyAlignment="0" applyProtection="0"/>
    <xf numFmtId="0" fontId="43" fillId="49" borderId="0" applyNumberFormat="0" applyBorder="0" applyAlignment="0" applyProtection="0"/>
    <xf numFmtId="0" fontId="100" fillId="28" borderId="0" applyNumberFormat="0" applyBorder="0" applyAlignment="0" applyProtection="0"/>
    <xf numFmtId="0" fontId="43" fillId="53" borderId="0" applyNumberFormat="0" applyBorder="0" applyAlignment="0" applyProtection="0"/>
    <xf numFmtId="0" fontId="43" fillId="56" borderId="0" applyNumberFormat="0" applyBorder="0" applyAlignment="0" applyProtection="0"/>
    <xf numFmtId="0" fontId="43" fillId="49" borderId="0" applyNumberFormat="0" applyBorder="0" applyAlignment="0" applyProtection="0"/>
    <xf numFmtId="0" fontId="2" fillId="0" borderId="0"/>
    <xf numFmtId="0" fontId="43" fillId="60" borderId="0" applyNumberFormat="0" applyBorder="0" applyAlignment="0" applyProtection="0"/>
    <xf numFmtId="0" fontId="43" fillId="61" borderId="0" applyNumberFormat="0" applyBorder="0" applyAlignment="0" applyProtection="0"/>
    <xf numFmtId="0" fontId="43" fillId="60" borderId="0" applyNumberFormat="0" applyBorder="0" applyAlignment="0" applyProtection="0"/>
    <xf numFmtId="0" fontId="43" fillId="61" borderId="0" applyNumberFormat="0" applyBorder="0" applyAlignment="0" applyProtection="0"/>
    <xf numFmtId="0" fontId="43" fillId="61" borderId="0" applyNumberFormat="0" applyBorder="0" applyAlignment="0" applyProtection="0"/>
    <xf numFmtId="0" fontId="43" fillId="62" borderId="0" applyNumberFormat="0" applyBorder="0" applyAlignment="0" applyProtection="0"/>
    <xf numFmtId="0" fontId="43" fillId="62" borderId="0" applyNumberFormat="0" applyBorder="0" applyAlignment="0" applyProtection="0"/>
    <xf numFmtId="0" fontId="43" fillId="62" borderId="0" applyNumberFormat="0" applyBorder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0" fontId="43" fillId="62" borderId="0" applyNumberFormat="0" applyBorder="0" applyAlignment="0" applyProtection="0"/>
    <xf numFmtId="0" fontId="43" fillId="62" borderId="0" applyNumberFormat="0" applyBorder="0" applyAlignment="0" applyProtection="0"/>
    <xf numFmtId="0" fontId="43" fillId="62" borderId="0" applyNumberFormat="0" applyBorder="0" applyAlignment="0" applyProtection="0"/>
    <xf numFmtId="0" fontId="43" fillId="61" borderId="0" applyNumberFormat="0" applyBorder="0" applyAlignment="0" applyProtection="0"/>
    <xf numFmtId="0" fontId="43" fillId="61" borderId="0" applyNumberFormat="0" applyBorder="0" applyAlignment="0" applyProtection="0"/>
    <xf numFmtId="0" fontId="43" fillId="61" borderId="0" applyNumberFormat="0" applyBorder="0" applyAlignment="0" applyProtection="0"/>
    <xf numFmtId="0" fontId="43" fillId="60" borderId="0" applyNumberFormat="0" applyBorder="0" applyAlignment="0" applyProtection="0"/>
    <xf numFmtId="0" fontId="43" fillId="60" borderId="0" applyNumberFormat="0" applyBorder="0" applyAlignment="0" applyProtection="0"/>
    <xf numFmtId="0" fontId="43" fillId="56" borderId="0" applyNumberFormat="0" applyBorder="0" applyAlignment="0" applyProtection="0"/>
    <xf numFmtId="0" fontId="43" fillId="60" borderId="0" applyNumberFormat="0" applyBorder="0" applyAlignment="0" applyProtection="0"/>
    <xf numFmtId="0" fontId="43" fillId="56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49" borderId="0" applyNumberFormat="0" applyBorder="0" applyAlignment="0" applyProtection="0"/>
    <xf numFmtId="0" fontId="43" fillId="53" borderId="0" applyNumberFormat="0" applyBorder="0" applyAlignment="0" applyProtection="0"/>
    <xf numFmtId="0" fontId="43" fillId="56" borderId="0" applyNumberFormat="0" applyBorder="0" applyAlignment="0" applyProtection="0"/>
    <xf numFmtId="0" fontId="43" fillId="49" borderId="0" applyNumberFormat="0" applyBorder="0" applyAlignment="0" applyProtection="0"/>
    <xf numFmtId="0" fontId="43" fillId="56" borderId="0" applyNumberFormat="0" applyBorder="0" applyAlignment="0" applyProtection="0"/>
    <xf numFmtId="0" fontId="43" fillId="49" borderId="0" applyNumberFormat="0" applyBorder="0" applyAlignment="0" applyProtection="0"/>
    <xf numFmtId="0" fontId="43" fillId="53" borderId="0" applyNumberFormat="0" applyBorder="0" applyAlignment="0" applyProtection="0"/>
    <xf numFmtId="0" fontId="43" fillId="49" borderId="0" applyNumberFormat="0" applyBorder="0" applyAlignment="0" applyProtection="0"/>
    <xf numFmtId="0" fontId="43" fillId="53" borderId="0" applyNumberFormat="0" applyBorder="0" applyAlignment="0" applyProtection="0"/>
    <xf numFmtId="0" fontId="43" fillId="49" borderId="0" applyNumberFormat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1" fillId="0" borderId="0"/>
    <xf numFmtId="0" fontId="23" fillId="0" borderId="0"/>
  </cellStyleXfs>
  <cellXfs count="276">
    <xf numFmtId="0" fontId="0" fillId="0" borderId="0" xfId="0"/>
    <xf numFmtId="0" fontId="21" fillId="33" borderId="0" xfId="42" quotePrefix="1" applyNumberFormat="1" applyAlignment="1">
      <alignment horizontal="left" vertical="center" indent="1"/>
    </xf>
    <xf numFmtId="0" fontId="22" fillId="33" borderId="10" xfId="43" quotePrefix="1" applyNumberFormat="1">
      <alignment horizontal="left" vertical="center" indent="1"/>
    </xf>
    <xf numFmtId="4" fontId="22" fillId="34" borderId="10" xfId="44" applyNumberFormat="1">
      <alignment horizontal="right" vertical="center"/>
    </xf>
    <xf numFmtId="4" fontId="23" fillId="35" borderId="11" xfId="45" applyNumberFormat="1">
      <protection locked="0"/>
    </xf>
    <xf numFmtId="0" fontId="21" fillId="36" borderId="10" xfId="46" quotePrefix="1" applyNumberFormat="1">
      <alignment horizontal="left" vertical="center" indent="1"/>
    </xf>
    <xf numFmtId="4" fontId="21" fillId="36" borderId="10" xfId="47" applyNumberFormat="1">
      <alignment vertical="center"/>
    </xf>
    <xf numFmtId="49" fontId="23" fillId="35" borderId="11" xfId="45" applyNumberFormat="1">
      <protection locked="0"/>
    </xf>
    <xf numFmtId="0" fontId="22" fillId="34" borderId="10" xfId="44" applyNumberFormat="1" applyProtection="1">
      <alignment horizontal="right" vertical="center"/>
      <protection locked="0"/>
    </xf>
    <xf numFmtId="0" fontId="23" fillId="35" borderId="11" xfId="45">
      <protection locked="0"/>
    </xf>
    <xf numFmtId="0" fontId="24" fillId="37" borderId="0" xfId="0" applyFont="1" applyFill="1" applyAlignment="1">
      <alignment horizontal="left"/>
    </xf>
    <xf numFmtId="166" fontId="22" fillId="34" borderId="10" xfId="44" applyNumberFormat="1">
      <alignment horizontal="right" vertical="center"/>
    </xf>
    <xf numFmtId="49" fontId="22" fillId="33" borderId="10" xfId="43" applyNumberFormat="1" applyProtection="1">
      <alignment horizontal="left" vertical="center" indent="1"/>
      <protection locked="0"/>
    </xf>
    <xf numFmtId="10" fontId="0" fillId="0" borderId="11" xfId="0" applyNumberFormat="1" applyBorder="1"/>
    <xf numFmtId="165" fontId="0" fillId="0" borderId="11" xfId="0" applyNumberFormat="1" applyBorder="1"/>
    <xf numFmtId="0" fontId="0" fillId="0" borderId="0" xfId="0"/>
    <xf numFmtId="49" fontId="26" fillId="40" borderId="12" xfId="0" applyNumberFormat="1" applyFont="1" applyFill="1" applyBorder="1" applyAlignment="1">
      <alignment horizontal="left" vertical="top" wrapText="1"/>
    </xf>
    <xf numFmtId="49" fontId="26" fillId="40" borderId="12" xfId="0" applyNumberFormat="1" applyFont="1" applyFill="1" applyBorder="1" applyAlignment="1">
      <alignment horizontal="left" vertical="center" wrapText="1"/>
    </xf>
    <xf numFmtId="49" fontId="0" fillId="39" borderId="12" xfId="0" applyNumberFormat="1" applyFill="1" applyBorder="1" applyAlignment="1">
      <alignment horizontal="right" vertical="center" wrapText="1"/>
    </xf>
    <xf numFmtId="49" fontId="26" fillId="39" borderId="12" xfId="0" applyNumberFormat="1" applyFont="1" applyFill="1" applyBorder="1" applyAlignment="1">
      <alignment horizontal="right" vertical="center" wrapText="1"/>
    </xf>
    <xf numFmtId="49" fontId="26" fillId="39" borderId="12" xfId="0" applyNumberFormat="1" applyFont="1" applyFill="1" applyBorder="1" applyAlignment="1">
      <alignment horizontal="left" vertical="center" wrapText="1"/>
    </xf>
    <xf numFmtId="164" fontId="26" fillId="38" borderId="12" xfId="0" applyNumberFormat="1" applyFont="1" applyFill="1" applyBorder="1" applyAlignment="1">
      <alignment horizontal="right" vertical="center" wrapText="1"/>
    </xf>
    <xf numFmtId="164" fontId="26" fillId="41" borderId="12" xfId="0" applyNumberFormat="1" applyFont="1" applyFill="1" applyBorder="1" applyAlignment="1">
      <alignment horizontal="right" vertical="center" wrapText="1"/>
    </xf>
    <xf numFmtId="49" fontId="26" fillId="42" borderId="12" xfId="0" applyNumberFormat="1" applyFont="1" applyFill="1" applyBorder="1" applyAlignment="1">
      <alignment horizontal="left" vertical="center" wrapText="1" indent="2"/>
    </xf>
    <xf numFmtId="49" fontId="26" fillId="42" borderId="12" xfId="0" applyNumberFormat="1" applyFont="1" applyFill="1" applyBorder="1" applyAlignment="1">
      <alignment horizontal="left" vertical="center" wrapText="1"/>
    </xf>
    <xf numFmtId="49" fontId="0" fillId="39" borderId="13" xfId="0" applyNumberFormat="1" applyFill="1" applyBorder="1" applyAlignment="1">
      <alignment horizontal="left" vertical="center" wrapText="1"/>
    </xf>
    <xf numFmtId="49" fontId="0" fillId="39" borderId="14" xfId="0" applyNumberFormat="1" applyFill="1" applyBorder="1" applyAlignment="1">
      <alignment horizontal="left" vertical="center" wrapText="1"/>
    </xf>
    <xf numFmtId="49" fontId="0" fillId="39" borderId="15" xfId="0" applyNumberFormat="1" applyFill="1" applyBorder="1" applyAlignment="1">
      <alignment horizontal="left" vertical="center" wrapText="1"/>
    </xf>
    <xf numFmtId="49" fontId="26" fillId="39" borderId="13" xfId="0" applyNumberFormat="1" applyFont="1" applyFill="1" applyBorder="1" applyAlignment="1">
      <alignment horizontal="right" vertical="top" wrapText="1"/>
    </xf>
    <xf numFmtId="49" fontId="26" fillId="39" borderId="15" xfId="0" applyNumberFormat="1" applyFont="1" applyFill="1" applyBorder="1" applyAlignment="1">
      <alignment horizontal="right" vertical="top" wrapText="1"/>
    </xf>
    <xf numFmtId="0" fontId="0" fillId="0" borderId="0" xfId="0"/>
    <xf numFmtId="0" fontId="25" fillId="0" borderId="0" xfId="0" applyFont="1" applyAlignment="1">
      <alignment wrapText="1"/>
    </xf>
    <xf numFmtId="49" fontId="26" fillId="40" borderId="12" xfId="0" applyNumberFormat="1" applyFont="1" applyFill="1" applyBorder="1" applyAlignment="1">
      <alignment horizontal="left" vertical="top" wrapText="1"/>
    </xf>
    <xf numFmtId="49" fontId="26" fillId="40" borderId="12" xfId="0" applyNumberFormat="1" applyFont="1" applyFill="1" applyBorder="1" applyAlignment="1">
      <alignment horizontal="left" vertical="center" wrapText="1"/>
    </xf>
    <xf numFmtId="49" fontId="0" fillId="39" borderId="12" xfId="0" applyNumberFormat="1" applyFill="1" applyBorder="1" applyAlignment="1">
      <alignment horizontal="right" vertical="center" wrapText="1"/>
    </xf>
    <xf numFmtId="49" fontId="26" fillId="39" borderId="12" xfId="0" applyNumberFormat="1" applyFont="1" applyFill="1" applyBorder="1" applyAlignment="1">
      <alignment horizontal="right" vertical="center" wrapText="1"/>
    </xf>
    <xf numFmtId="49" fontId="26" fillId="39" borderId="12" xfId="0" applyNumberFormat="1" applyFont="1" applyFill="1" applyBorder="1" applyAlignment="1">
      <alignment horizontal="left" vertical="center" wrapText="1"/>
    </xf>
    <xf numFmtId="164" fontId="26" fillId="38" borderId="12" xfId="0" applyNumberFormat="1" applyFont="1" applyFill="1" applyBorder="1" applyAlignment="1">
      <alignment horizontal="right" vertical="center" wrapText="1"/>
    </xf>
    <xf numFmtId="164" fontId="26" fillId="41" borderId="12" xfId="0" applyNumberFormat="1" applyFont="1" applyFill="1" applyBorder="1" applyAlignment="1">
      <alignment horizontal="right" vertical="center" wrapText="1"/>
    </xf>
    <xf numFmtId="49" fontId="26" fillId="42" borderId="12" xfId="0" applyNumberFormat="1" applyFont="1" applyFill="1" applyBorder="1" applyAlignment="1">
      <alignment horizontal="left" vertical="center" wrapText="1" indent="2"/>
    </xf>
    <xf numFmtId="49" fontId="26" fillId="42" borderId="12" xfId="0" applyNumberFormat="1" applyFont="1" applyFill="1" applyBorder="1" applyAlignment="1">
      <alignment horizontal="left" vertical="center" wrapText="1"/>
    </xf>
    <xf numFmtId="49" fontId="26" fillId="39" borderId="13" xfId="0" applyNumberFormat="1" applyFont="1" applyFill="1" applyBorder="1" applyAlignment="1">
      <alignment horizontal="right" vertical="top" wrapText="1"/>
    </xf>
    <xf numFmtId="49" fontId="26" fillId="39" borderId="15" xfId="0" applyNumberFormat="1" applyFont="1" applyFill="1" applyBorder="1" applyAlignment="1">
      <alignment horizontal="right" vertical="top" wrapText="1"/>
    </xf>
    <xf numFmtId="0" fontId="27" fillId="0" borderId="0" xfId="73"/>
    <xf numFmtId="49" fontId="26" fillId="42" borderId="0" xfId="73" applyNumberFormat="1" applyFont="1" applyFill="1" applyBorder="1" applyAlignment="1">
      <alignment horizontal="left" vertical="center" wrapText="1"/>
    </xf>
    <xf numFmtId="0" fontId="65" fillId="0" borderId="0" xfId="73" applyFont="1"/>
    <xf numFmtId="167" fontId="26" fillId="41" borderId="12" xfId="73" applyNumberFormat="1" applyFont="1" applyFill="1" applyBorder="1" applyAlignment="1">
      <alignment horizontal="right" vertical="center" wrapText="1"/>
    </xf>
    <xf numFmtId="168" fontId="26" fillId="41" borderId="12" xfId="73" applyNumberFormat="1" applyFont="1" applyFill="1" applyBorder="1" applyAlignment="1">
      <alignment horizontal="right" vertical="center" wrapText="1"/>
    </xf>
    <xf numFmtId="164" fontId="26" fillId="41" borderId="12" xfId="73" applyNumberFormat="1" applyFont="1" applyFill="1" applyBorder="1" applyAlignment="1">
      <alignment horizontal="right" vertical="center" wrapText="1"/>
    </xf>
    <xf numFmtId="165" fontId="0" fillId="0" borderId="0" xfId="238" applyNumberFormat="1" applyFont="1"/>
    <xf numFmtId="169" fontId="0" fillId="0" borderId="0" xfId="237" applyNumberFormat="1" applyFont="1"/>
    <xf numFmtId="17" fontId="0" fillId="0" borderId="0" xfId="0" applyNumberFormat="1"/>
    <xf numFmtId="16" fontId="0" fillId="0" borderId="0" xfId="0" applyNumberFormat="1"/>
    <xf numFmtId="0" fontId="22" fillId="33" borderId="10" xfId="43" quotePrefix="1" applyNumberFormat="1">
      <alignment horizontal="left" vertical="center" indent="1"/>
    </xf>
    <xf numFmtId="0" fontId="21" fillId="36" borderId="10" xfId="46" quotePrefix="1" applyNumberFormat="1">
      <alignment horizontal="left" vertical="center" indent="1"/>
    </xf>
    <xf numFmtId="4" fontId="22" fillId="34" borderId="10" xfId="44" applyNumberFormat="1">
      <alignment horizontal="right" vertical="center"/>
    </xf>
    <xf numFmtId="4" fontId="21" fillId="36" borderId="10" xfId="47" applyNumberFormat="1">
      <alignment vertical="center"/>
    </xf>
    <xf numFmtId="0" fontId="21" fillId="33" borderId="0" xfId="42" quotePrefix="1" applyNumberFormat="1" applyAlignment="1">
      <alignment horizontal="left" vertical="center" indent="1"/>
    </xf>
    <xf numFmtId="164" fontId="26" fillId="38" borderId="12" xfId="337" applyNumberFormat="1" applyFont="1" applyFill="1" applyBorder="1" applyAlignment="1">
      <alignment horizontal="right" vertical="center" wrapText="1"/>
    </xf>
    <xf numFmtId="0" fontId="22" fillId="33" borderId="10" xfId="43" quotePrefix="1" applyNumberFormat="1">
      <alignment horizontal="left" vertical="center" indent="1"/>
    </xf>
    <xf numFmtId="0" fontId="21" fillId="36" borderId="10" xfId="46" quotePrefix="1" applyNumberFormat="1">
      <alignment horizontal="left" vertical="center" indent="1"/>
    </xf>
    <xf numFmtId="4" fontId="22" fillId="34" borderId="10" xfId="44" applyNumberFormat="1">
      <alignment horizontal="right" vertical="center"/>
    </xf>
    <xf numFmtId="4" fontId="21" fillId="36" borderId="10" xfId="47" applyNumberFormat="1">
      <alignment vertical="center"/>
    </xf>
    <xf numFmtId="0" fontId="21" fillId="33" borderId="0" xfId="42" quotePrefix="1" applyNumberFormat="1" applyAlignment="1">
      <alignment horizontal="left" vertical="center" indent="1"/>
    </xf>
    <xf numFmtId="4" fontId="17" fillId="0" borderId="0" xfId="0" applyNumberFormat="1" applyFont="1"/>
    <xf numFmtId="0" fontId="22" fillId="33" borderId="10" xfId="43" quotePrefix="1" applyNumberFormat="1">
      <alignment horizontal="left" vertical="center" indent="1"/>
    </xf>
    <xf numFmtId="0" fontId="21" fillId="36" borderId="10" xfId="46" quotePrefix="1" applyNumberFormat="1">
      <alignment horizontal="left" vertical="center" indent="1"/>
    </xf>
    <xf numFmtId="3" fontId="22" fillId="34" borderId="10" xfId="44" applyNumberFormat="1">
      <alignment horizontal="right" vertical="center"/>
    </xf>
    <xf numFmtId="4" fontId="22" fillId="34" borderId="10" xfId="44" applyNumberFormat="1">
      <alignment horizontal="right" vertical="center"/>
    </xf>
    <xf numFmtId="4" fontId="21" fillId="36" borderId="10" xfId="47" applyNumberFormat="1">
      <alignment vertical="center"/>
    </xf>
    <xf numFmtId="0" fontId="21" fillId="33" borderId="0" xfId="42" quotePrefix="1" applyNumberFormat="1" applyAlignment="1">
      <alignment horizontal="left" vertical="center" indent="1"/>
    </xf>
    <xf numFmtId="0" fontId="22" fillId="33" borderId="10" xfId="43" quotePrefix="1" applyNumberFormat="1">
      <alignment horizontal="left" vertical="center" indent="1"/>
    </xf>
    <xf numFmtId="4" fontId="22" fillId="34" borderId="10" xfId="44" applyNumberFormat="1">
      <alignment horizontal="right" vertical="center"/>
    </xf>
    <xf numFmtId="0" fontId="22" fillId="33" borderId="10" xfId="43" quotePrefix="1" applyNumberFormat="1">
      <alignment horizontal="left" vertical="center" indent="1"/>
    </xf>
    <xf numFmtId="4" fontId="22" fillId="34" borderId="10" xfId="44" applyNumberFormat="1">
      <alignment horizontal="right" vertical="center"/>
    </xf>
    <xf numFmtId="17" fontId="26" fillId="39" borderId="12" xfId="0" applyNumberFormat="1" applyFont="1" applyFill="1" applyBorder="1" applyAlignment="1">
      <alignment horizontal="left" vertical="center" wrapText="1"/>
    </xf>
    <xf numFmtId="0" fontId="22" fillId="33" borderId="10" xfId="43" quotePrefix="1" applyNumberFormat="1">
      <alignment horizontal="left" vertical="center" indent="1"/>
    </xf>
    <xf numFmtId="4" fontId="22" fillId="34" borderId="10" xfId="44" applyNumberFormat="1">
      <alignment horizontal="right" vertic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2" fillId="33" borderId="10" xfId="43" quotePrefix="1" applyNumberFormat="1">
      <alignment horizontal="left" vertical="center" indent="1"/>
    </xf>
    <xf numFmtId="0" fontId="21" fillId="36" borderId="10" xfId="46" quotePrefix="1" applyNumberFormat="1">
      <alignment horizontal="left" vertical="center" indent="1"/>
    </xf>
    <xf numFmtId="4" fontId="22" fillId="34" borderId="10" xfId="44" applyNumberFormat="1">
      <alignment horizontal="right" vertical="center"/>
    </xf>
    <xf numFmtId="4" fontId="21" fillId="36" borderId="10" xfId="47" applyNumberFormat="1">
      <alignment vertical="center"/>
    </xf>
    <xf numFmtId="4" fontId="0" fillId="0" borderId="0" xfId="0" applyNumberFormat="1"/>
    <xf numFmtId="164" fontId="26" fillId="38" borderId="12" xfId="397" applyNumberFormat="1" applyFont="1" applyFill="1" applyBorder="1" applyAlignment="1">
      <alignment horizontal="right" vertical="center" wrapText="1"/>
    </xf>
    <xf numFmtId="49" fontId="26" fillId="39" borderId="12" xfId="397" applyNumberFormat="1" applyFont="1" applyFill="1" applyBorder="1" applyAlignment="1">
      <alignment horizontal="left" vertical="center" wrapText="1"/>
    </xf>
    <xf numFmtId="49" fontId="26" fillId="39" borderId="12" xfId="397" applyNumberFormat="1" applyFont="1" applyFill="1" applyBorder="1" applyAlignment="1">
      <alignment horizontal="right" vertical="center" wrapText="1"/>
    </xf>
    <xf numFmtId="49" fontId="2" fillId="39" borderId="12" xfId="397" applyNumberFormat="1" applyFill="1" applyBorder="1" applyAlignment="1">
      <alignment horizontal="right" vertical="center" wrapText="1"/>
    </xf>
    <xf numFmtId="49" fontId="26" fillId="40" borderId="12" xfId="397" applyNumberFormat="1" applyFont="1" applyFill="1" applyBorder="1" applyAlignment="1">
      <alignment horizontal="left" vertical="center" wrapText="1"/>
    </xf>
    <xf numFmtId="49" fontId="26" fillId="40" borderId="12" xfId="397" applyNumberFormat="1" applyFont="1" applyFill="1" applyBorder="1" applyAlignment="1">
      <alignment horizontal="left" vertical="top" wrapText="1"/>
    </xf>
    <xf numFmtId="0" fontId="22" fillId="33" borderId="10" xfId="43" quotePrefix="1" applyNumberFormat="1">
      <alignment horizontal="left" vertical="center" indent="1"/>
    </xf>
    <xf numFmtId="4" fontId="69" fillId="35" borderId="11" xfId="292" applyNumberFormat="1">
      <protection locked="0"/>
    </xf>
    <xf numFmtId="9" fontId="0" fillId="0" borderId="0" xfId="0" applyNumberFormat="1"/>
    <xf numFmtId="0" fontId="22" fillId="33" borderId="10" xfId="43" quotePrefix="1" applyNumberFormat="1">
      <alignment horizontal="left" vertical="center" indent="1"/>
    </xf>
    <xf numFmtId="0" fontId="22" fillId="33" borderId="10" xfId="43" quotePrefix="1" applyNumberFormat="1">
      <alignment horizontal="left" vertical="center" indent="1"/>
    </xf>
    <xf numFmtId="0" fontId="21" fillId="36" borderId="10" xfId="46" quotePrefix="1" applyNumberFormat="1">
      <alignment horizontal="left" vertical="center" indent="1"/>
    </xf>
    <xf numFmtId="4" fontId="22" fillId="34" borderId="10" xfId="44" applyNumberFormat="1">
      <alignment horizontal="right" vertical="center"/>
    </xf>
    <xf numFmtId="4" fontId="21" fillId="36" borderId="10" xfId="47" applyNumberFormat="1">
      <alignment vertical="center"/>
    </xf>
    <xf numFmtId="0" fontId="21" fillId="33" borderId="0" xfId="42" quotePrefix="1" applyNumberFormat="1" applyAlignment="1">
      <alignment horizontal="left" vertical="center" indent="1"/>
    </xf>
    <xf numFmtId="4" fontId="69" fillId="35" borderId="11" xfId="292" applyNumberFormat="1">
      <protection locked="0"/>
    </xf>
    <xf numFmtId="0" fontId="22" fillId="33" borderId="10" xfId="43" quotePrefix="1" applyNumberFormat="1">
      <alignment horizontal="left" vertical="center" indent="1"/>
    </xf>
    <xf numFmtId="170" fontId="22" fillId="34" borderId="10" xfId="44" applyNumberFormat="1">
      <alignment horizontal="right" vertical="center"/>
    </xf>
    <xf numFmtId="10" fontId="0" fillId="0" borderId="0" xfId="0" applyNumberFormat="1"/>
    <xf numFmtId="0" fontId="22" fillId="33" borderId="10" xfId="43" quotePrefix="1" applyNumberFormat="1">
      <alignment horizontal="left" vertical="center" indent="1"/>
    </xf>
    <xf numFmtId="170" fontId="22" fillId="34" borderId="10" xfId="44" applyNumberFormat="1">
      <alignment horizontal="right" vertical="center"/>
    </xf>
    <xf numFmtId="0" fontId="22" fillId="33" borderId="10" xfId="43" quotePrefix="1" applyNumberFormat="1">
      <alignment horizontal="left" vertical="center" indent="1"/>
    </xf>
    <xf numFmtId="0" fontId="21" fillId="36" borderId="10" xfId="46" quotePrefix="1" applyNumberFormat="1">
      <alignment horizontal="left" vertical="center" indent="1"/>
    </xf>
    <xf numFmtId="4" fontId="22" fillId="34" borderId="10" xfId="44" applyNumberFormat="1">
      <alignment horizontal="right" vertical="center"/>
    </xf>
    <xf numFmtId="4" fontId="21" fillId="36" borderId="10" xfId="47" applyNumberFormat="1">
      <alignment vertical="center"/>
    </xf>
    <xf numFmtId="0" fontId="21" fillId="33" borderId="0" xfId="42" quotePrefix="1" applyNumberFormat="1" applyAlignment="1">
      <alignment horizontal="left" vertical="center" indent="1"/>
    </xf>
    <xf numFmtId="4" fontId="23" fillId="35" borderId="11" xfId="45" applyNumberFormat="1">
      <protection locked="0"/>
    </xf>
    <xf numFmtId="0" fontId="22" fillId="33" borderId="10" xfId="43" quotePrefix="1" applyNumberFormat="1">
      <alignment horizontal="left" vertical="center" indent="1"/>
    </xf>
    <xf numFmtId="0" fontId="21" fillId="36" borderId="10" xfId="46" quotePrefix="1" applyNumberFormat="1">
      <alignment horizontal="left" vertical="center" indent="1"/>
    </xf>
    <xf numFmtId="3" fontId="22" fillId="34" borderId="10" xfId="44" applyNumberFormat="1">
      <alignment horizontal="right" vertical="center"/>
    </xf>
    <xf numFmtId="170" fontId="22" fillId="34" borderId="10" xfId="44" applyNumberFormat="1">
      <alignment horizontal="right" vertical="center"/>
    </xf>
    <xf numFmtId="170" fontId="0" fillId="0" borderId="0" xfId="0" applyNumberFormat="1"/>
    <xf numFmtId="0" fontId="22" fillId="33" borderId="10" xfId="43" quotePrefix="1" applyNumberFormat="1">
      <alignment horizontal="left" vertical="center" indent="1"/>
    </xf>
    <xf numFmtId="4" fontId="22" fillId="34" borderId="10" xfId="44" applyNumberFormat="1">
      <alignment horizontal="right" vertical="center"/>
    </xf>
    <xf numFmtId="4" fontId="23" fillId="35" borderId="11" xfId="45" applyNumberFormat="1">
      <protection locked="0"/>
    </xf>
    <xf numFmtId="170" fontId="22" fillId="34" borderId="10" xfId="44" applyNumberFormat="1">
      <alignment horizontal="right" vertical="center"/>
    </xf>
    <xf numFmtId="167" fontId="26" fillId="41" borderId="13" xfId="73" applyNumberFormat="1" applyFont="1" applyFill="1" applyBorder="1" applyAlignment="1">
      <alignment horizontal="right" vertical="center" wrapText="1"/>
    </xf>
    <xf numFmtId="167" fontId="0" fillId="0" borderId="0" xfId="0" applyNumberFormat="1"/>
    <xf numFmtId="0" fontId="27" fillId="0" borderId="26" xfId="73" applyBorder="1"/>
    <xf numFmtId="0" fontId="27" fillId="0" borderId="27" xfId="73" applyBorder="1"/>
    <xf numFmtId="0" fontId="27" fillId="0" borderId="28" xfId="73" applyBorder="1"/>
    <xf numFmtId="164" fontId="0" fillId="0" borderId="0" xfId="0" applyNumberFormat="1"/>
    <xf numFmtId="0" fontId="0" fillId="0" borderId="29" xfId="0" applyBorder="1"/>
    <xf numFmtId="0" fontId="0" fillId="0" borderId="30" xfId="0" applyBorder="1"/>
    <xf numFmtId="0" fontId="0" fillId="0" borderId="0" xfId="0" applyBorder="1"/>
    <xf numFmtId="44" fontId="0" fillId="0" borderId="0" xfId="430" applyFont="1"/>
    <xf numFmtId="44" fontId="0" fillId="78" borderId="0" xfId="430" applyFont="1" applyFill="1"/>
    <xf numFmtId="0" fontId="102" fillId="0" borderId="0" xfId="0" applyFont="1"/>
    <xf numFmtId="0" fontId="103" fillId="0" borderId="0" xfId="0" applyFont="1"/>
    <xf numFmtId="0" fontId="104" fillId="0" borderId="0" xfId="0" applyFont="1"/>
    <xf numFmtId="0" fontId="105" fillId="0" borderId="11" xfId="0" applyFont="1" applyBorder="1" applyAlignment="1">
      <alignment vertical="center" wrapText="1"/>
    </xf>
    <xf numFmtId="0" fontId="65" fillId="0" borderId="0" xfId="0" applyFont="1"/>
    <xf numFmtId="171" fontId="0" fillId="0" borderId="0" xfId="238" applyNumberFormat="1" applyFont="1"/>
    <xf numFmtId="164" fontId="26" fillId="41" borderId="32" xfId="73" applyNumberFormat="1" applyFont="1" applyFill="1" applyBorder="1" applyAlignment="1">
      <alignment horizontal="right" vertical="center" wrapText="1"/>
    </xf>
    <xf numFmtId="44" fontId="0" fillId="0" borderId="0" xfId="430" applyFont="1" applyBorder="1"/>
    <xf numFmtId="0" fontId="22" fillId="33" borderId="35" xfId="43" quotePrefix="1" applyNumberFormat="1" applyBorder="1">
      <alignment horizontal="left" vertical="center" indent="1"/>
    </xf>
    <xf numFmtId="170" fontId="22" fillId="34" borderId="35" xfId="44" applyNumberFormat="1" applyBorder="1">
      <alignment horizontal="right" vertical="center"/>
    </xf>
    <xf numFmtId="0" fontId="22" fillId="0" borderId="0" xfId="43" quotePrefix="1" applyNumberFormat="1" applyFill="1" applyBorder="1">
      <alignment horizontal="left" vertical="center" indent="1"/>
    </xf>
    <xf numFmtId="170" fontId="22" fillId="0" borderId="0" xfId="44" applyNumberFormat="1" applyFill="1" applyBorder="1">
      <alignment horizontal="right" vertical="center"/>
    </xf>
    <xf numFmtId="0" fontId="0" fillId="0" borderId="0" xfId="0" applyFill="1" applyBorder="1"/>
    <xf numFmtId="0" fontId="102" fillId="0" borderId="0" xfId="0" applyFont="1" applyAlignment="1">
      <alignment horizontal="center"/>
    </xf>
    <xf numFmtId="0" fontId="103" fillId="0" borderId="0" xfId="0" applyFont="1" applyAlignment="1">
      <alignment horizontal="center"/>
    </xf>
    <xf numFmtId="0" fontId="104" fillId="0" borderId="0" xfId="0" applyFont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44" fontId="0" fillId="0" borderId="33" xfId="430" applyFont="1" applyBorder="1"/>
    <xf numFmtId="44" fontId="0" fillId="0" borderId="34" xfId="430" applyFont="1" applyBorder="1"/>
    <xf numFmtId="44" fontId="0" fillId="0" borderId="30" xfId="430" applyFont="1" applyBorder="1"/>
    <xf numFmtId="0" fontId="0" fillId="0" borderId="0" xfId="0" applyFill="1"/>
    <xf numFmtId="0" fontId="21" fillId="0" borderId="0" xfId="46" quotePrefix="1" applyNumberFormat="1" applyFill="1" applyBorder="1">
      <alignment horizontal="left" vertical="center" indent="1"/>
    </xf>
    <xf numFmtId="170" fontId="21" fillId="0" borderId="0" xfId="47" applyNumberFormat="1" applyFill="1" applyBorder="1">
      <alignment vertical="center"/>
    </xf>
    <xf numFmtId="0" fontId="0" fillId="0" borderId="0" xfId="0" applyAlignment="1">
      <alignment horizontal="left" indent="1"/>
    </xf>
    <xf numFmtId="44" fontId="0" fillId="0" borderId="0" xfId="0" applyNumberFormat="1"/>
    <xf numFmtId="0" fontId="19" fillId="0" borderId="0" xfId="0" applyFont="1" applyAlignment="1">
      <alignment horizontal="left"/>
    </xf>
    <xf numFmtId="0" fontId="19" fillId="0" borderId="0" xfId="0" applyFont="1"/>
    <xf numFmtId="172" fontId="0" fillId="0" borderId="0" xfId="0" applyNumberFormat="1"/>
    <xf numFmtId="0" fontId="0" fillId="0" borderId="36" xfId="0" applyBorder="1"/>
    <xf numFmtId="0" fontId="0" fillId="0" borderId="37" xfId="0" applyBorder="1" applyAlignment="1">
      <alignment horizontal="left" indent="1"/>
    </xf>
    <xf numFmtId="0" fontId="0" fillId="0" borderId="37" xfId="0" applyBorder="1"/>
    <xf numFmtId="172" fontId="0" fillId="0" borderId="37" xfId="0" applyNumberFormat="1" applyBorder="1"/>
    <xf numFmtId="0" fontId="0" fillId="0" borderId="38" xfId="0" applyBorder="1"/>
    <xf numFmtId="0" fontId="0" fillId="0" borderId="39" xfId="0" applyBorder="1"/>
    <xf numFmtId="0" fontId="0" fillId="0" borderId="0" xfId="0" applyBorder="1" applyAlignment="1">
      <alignment horizontal="left"/>
    </xf>
    <xf numFmtId="0" fontId="0" fillId="0" borderId="40" xfId="0" applyBorder="1"/>
    <xf numFmtId="169" fontId="0" fillId="0" borderId="0" xfId="0" applyNumberFormat="1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106" fillId="0" borderId="0" xfId="0" applyFont="1"/>
    <xf numFmtId="9" fontId="22" fillId="0" borderId="0" xfId="238" applyFont="1" applyFill="1" applyBorder="1" applyAlignment="1">
      <alignment horizontal="right" vertical="center"/>
    </xf>
    <xf numFmtId="170" fontId="107" fillId="34" borderId="35" xfId="44" quotePrefix="1" applyNumberFormat="1" applyFont="1" applyBorder="1" applyAlignment="1">
      <alignment horizontal="right" vertical="center"/>
    </xf>
    <xf numFmtId="9" fontId="22" fillId="34" borderId="35" xfId="238" applyFont="1" applyFill="1" applyBorder="1" applyAlignment="1">
      <alignment horizontal="right" vertical="center"/>
    </xf>
    <xf numFmtId="170" fontId="22" fillId="0" borderId="0" xfId="44" applyNumberFormat="1" applyFill="1" applyBorder="1" applyAlignment="1">
      <alignment horizontal="center" vertical="center"/>
    </xf>
    <xf numFmtId="43" fontId="22" fillId="34" borderId="10" xfId="237" applyFont="1" applyFill="1" applyBorder="1" applyAlignment="1">
      <alignment horizontal="right" vertical="center"/>
    </xf>
    <xf numFmtId="164" fontId="26" fillId="38" borderId="12" xfId="431" applyNumberFormat="1" applyFont="1" applyFill="1" applyBorder="1" applyAlignment="1">
      <alignment horizontal="right" vertical="center" wrapText="1"/>
    </xf>
    <xf numFmtId="164" fontId="26" fillId="41" borderId="12" xfId="431" applyNumberFormat="1" applyFont="1" applyFill="1" applyBorder="1" applyAlignment="1">
      <alignment horizontal="right" vertical="center" wrapText="1"/>
    </xf>
    <xf numFmtId="49" fontId="26" fillId="39" borderId="12" xfId="431" applyNumberFormat="1" applyFont="1" applyFill="1" applyBorder="1" applyAlignment="1">
      <alignment horizontal="left" vertical="center" wrapText="1"/>
    </xf>
    <xf numFmtId="49" fontId="26" fillId="42" borderId="0" xfId="432" applyNumberFormat="1" applyFont="1" applyFill="1" applyBorder="1" applyAlignment="1">
      <alignment horizontal="left" vertical="center" wrapText="1"/>
    </xf>
    <xf numFmtId="168" fontId="26" fillId="41" borderId="12" xfId="432" applyNumberFormat="1" applyFont="1" applyFill="1" applyBorder="1" applyAlignment="1">
      <alignment horizontal="right" vertical="center" wrapText="1"/>
    </xf>
    <xf numFmtId="0" fontId="65" fillId="0" borderId="0" xfId="432" applyFont="1"/>
    <xf numFmtId="0" fontId="1" fillId="0" borderId="0" xfId="432"/>
    <xf numFmtId="164" fontId="26" fillId="41" borderId="12" xfId="432" applyNumberFormat="1" applyFont="1" applyFill="1" applyBorder="1" applyAlignment="1">
      <alignment horizontal="right" vertical="center" wrapText="1"/>
    </xf>
    <xf numFmtId="167" fontId="26" fillId="41" borderId="12" xfId="432" applyNumberFormat="1" applyFont="1" applyFill="1" applyBorder="1" applyAlignment="1">
      <alignment horizontal="right" vertical="center" wrapText="1"/>
    </xf>
    <xf numFmtId="0" fontId="102" fillId="0" borderId="0" xfId="0" applyFont="1" applyAlignment="1">
      <alignment horizontal="left"/>
    </xf>
    <xf numFmtId="0" fontId="103" fillId="0" borderId="0" xfId="0" applyFont="1" applyAlignment="1">
      <alignment horizontal="left"/>
    </xf>
    <xf numFmtId="0" fontId="104" fillId="0" borderId="0" xfId="0" applyFont="1" applyAlignment="1">
      <alignment horizontal="left"/>
    </xf>
    <xf numFmtId="0" fontId="105" fillId="0" borderId="11" xfId="0" applyFont="1" applyBorder="1" applyAlignment="1">
      <alignment horizontal="left" vertical="center"/>
    </xf>
    <xf numFmtId="0" fontId="0" fillId="0" borderId="0" xfId="0" applyAlignment="1">
      <alignment horizontal="right"/>
    </xf>
    <xf numFmtId="49" fontId="26" fillId="39" borderId="12" xfId="0" quotePrefix="1" applyNumberFormat="1" applyFont="1" applyFill="1" applyBorder="1" applyAlignment="1">
      <alignment horizontal="left" vertical="center" wrapText="1"/>
    </xf>
    <xf numFmtId="0" fontId="105" fillId="0" borderId="44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105" fillId="0" borderId="0" xfId="0" applyFont="1" applyBorder="1" applyAlignment="1">
      <alignment vertical="center" wrapText="1"/>
    </xf>
    <xf numFmtId="0" fontId="105" fillId="0" borderId="46" xfId="0" applyFont="1" applyBorder="1" applyAlignment="1">
      <alignment vertical="center" wrapText="1"/>
    </xf>
    <xf numFmtId="49" fontId="26" fillId="40" borderId="32" xfId="0" applyNumberFormat="1" applyFont="1" applyFill="1" applyBorder="1" applyAlignment="1">
      <alignment horizontal="left" vertical="top" wrapText="1"/>
    </xf>
    <xf numFmtId="49" fontId="26" fillId="40" borderId="32" xfId="0" applyNumberFormat="1" applyFont="1" applyFill="1" applyBorder="1" applyAlignment="1">
      <alignment horizontal="left" vertical="center" wrapText="1"/>
    </xf>
    <xf numFmtId="17" fontId="26" fillId="39" borderId="32" xfId="0" applyNumberFormat="1" applyFont="1" applyFill="1" applyBorder="1" applyAlignment="1">
      <alignment horizontal="left" vertical="center" wrapText="1"/>
    </xf>
    <xf numFmtId="49" fontId="26" fillId="39" borderId="32" xfId="0" applyNumberFormat="1" applyFont="1" applyFill="1" applyBorder="1" applyAlignment="1">
      <alignment horizontal="left" vertical="center" wrapText="1"/>
    </xf>
    <xf numFmtId="49" fontId="26" fillId="39" borderId="32" xfId="0" applyNumberFormat="1" applyFont="1" applyFill="1" applyBorder="1" applyAlignment="1">
      <alignment horizontal="right" vertical="center" wrapText="1"/>
    </xf>
    <xf numFmtId="164" fontId="26" fillId="38" borderId="32" xfId="0" applyNumberFormat="1" applyFont="1" applyFill="1" applyBorder="1" applyAlignment="1">
      <alignment horizontal="right" vertical="center" wrapText="1"/>
    </xf>
    <xf numFmtId="164" fontId="26" fillId="41" borderId="32" xfId="0" applyNumberFormat="1" applyFont="1" applyFill="1" applyBorder="1" applyAlignment="1">
      <alignment horizontal="right" vertical="center" wrapText="1"/>
    </xf>
    <xf numFmtId="164" fontId="26" fillId="38" borderId="32" xfId="337" applyNumberFormat="1" applyFont="1" applyFill="1" applyBorder="1" applyAlignment="1">
      <alignment horizontal="right" vertical="center" wrapText="1"/>
    </xf>
    <xf numFmtId="168" fontId="26" fillId="41" borderId="32" xfId="73" applyNumberFormat="1" applyFont="1" applyFill="1" applyBorder="1" applyAlignment="1">
      <alignment horizontal="right" vertical="center" wrapText="1"/>
    </xf>
    <xf numFmtId="167" fontId="26" fillId="41" borderId="32" xfId="73" applyNumberFormat="1" applyFont="1" applyFill="1" applyBorder="1" applyAlignment="1">
      <alignment horizontal="right" vertical="center" wrapText="1"/>
    </xf>
    <xf numFmtId="0" fontId="27" fillId="0" borderId="0" xfId="73" applyBorder="1"/>
    <xf numFmtId="164" fontId="26" fillId="41" borderId="0" xfId="73" applyNumberFormat="1" applyFont="1" applyFill="1" applyBorder="1" applyAlignment="1">
      <alignment horizontal="right" vertical="center" wrapText="1"/>
    </xf>
    <xf numFmtId="49" fontId="26" fillId="0" borderId="0" xfId="0" applyNumberFormat="1" applyFont="1" applyFill="1" applyBorder="1" applyAlignment="1">
      <alignment horizontal="left" vertical="top" wrapText="1"/>
    </xf>
    <xf numFmtId="49" fontId="26" fillId="0" borderId="0" xfId="0" applyNumberFormat="1" applyFont="1" applyFill="1" applyBorder="1" applyAlignment="1">
      <alignment horizontal="left" vertical="center" wrapText="1"/>
    </xf>
    <xf numFmtId="17" fontId="26" fillId="0" borderId="0" xfId="0" applyNumberFormat="1" applyFont="1" applyFill="1" applyBorder="1" applyAlignment="1">
      <alignment horizontal="left" vertical="center" wrapText="1"/>
    </xf>
    <xf numFmtId="49" fontId="26" fillId="0" borderId="0" xfId="0" applyNumberFormat="1" applyFont="1" applyFill="1" applyBorder="1" applyAlignment="1">
      <alignment horizontal="right" vertical="center" wrapText="1"/>
    </xf>
    <xf numFmtId="164" fontId="26" fillId="0" borderId="0" xfId="0" applyNumberFormat="1" applyFont="1" applyFill="1" applyBorder="1" applyAlignment="1">
      <alignment horizontal="right" vertical="center" wrapText="1"/>
    </xf>
    <xf numFmtId="164" fontId="26" fillId="0" borderId="0" xfId="337" applyNumberFormat="1" applyFont="1" applyFill="1" applyBorder="1" applyAlignment="1">
      <alignment horizontal="right" vertical="center" wrapText="1"/>
    </xf>
    <xf numFmtId="168" fontId="26" fillId="0" borderId="0" xfId="73" applyNumberFormat="1" applyFont="1" applyFill="1" applyBorder="1" applyAlignment="1">
      <alignment horizontal="right" vertical="center" wrapText="1"/>
    </xf>
    <xf numFmtId="0" fontId="27" fillId="0" borderId="0" xfId="73" applyFill="1" applyBorder="1"/>
    <xf numFmtId="164" fontId="26" fillId="0" borderId="0" xfId="73" applyNumberFormat="1" applyFont="1" applyFill="1" applyBorder="1" applyAlignment="1">
      <alignment horizontal="right" vertical="center" wrapText="1"/>
    </xf>
    <xf numFmtId="167" fontId="26" fillId="0" borderId="0" xfId="73" applyNumberFormat="1" applyFont="1" applyFill="1" applyBorder="1" applyAlignment="1">
      <alignment horizontal="right" vertical="center" wrapText="1"/>
    </xf>
    <xf numFmtId="44" fontId="0" fillId="0" borderId="0" xfId="430" applyFont="1" applyFill="1" applyBorder="1"/>
    <xf numFmtId="167" fontId="26" fillId="41" borderId="47" xfId="73" applyNumberFormat="1" applyFont="1" applyFill="1" applyBorder="1" applyAlignment="1">
      <alignment horizontal="right" vertical="center" wrapText="1"/>
    </xf>
    <xf numFmtId="0" fontId="0" fillId="0" borderId="33" xfId="0" applyBorder="1"/>
    <xf numFmtId="0" fontId="0" fillId="0" borderId="34" xfId="0" applyBorder="1"/>
    <xf numFmtId="44" fontId="0" fillId="0" borderId="31" xfId="430" applyFont="1" applyBorder="1"/>
    <xf numFmtId="0" fontId="105" fillId="0" borderId="0" xfId="0" applyFont="1" applyBorder="1" applyAlignment="1">
      <alignment horizontal="left" vertical="center"/>
    </xf>
    <xf numFmtId="164" fontId="26" fillId="41" borderId="33" xfId="73" applyNumberFormat="1" applyFont="1" applyFill="1" applyBorder="1" applyAlignment="1">
      <alignment horizontal="right" vertical="center" wrapText="1"/>
    </xf>
    <xf numFmtId="164" fontId="26" fillId="41" borderId="34" xfId="73" applyNumberFormat="1" applyFont="1" applyFill="1" applyBorder="1" applyAlignment="1">
      <alignment horizontal="right" vertical="center" wrapText="1"/>
    </xf>
    <xf numFmtId="0" fontId="0" fillId="0" borderId="29" xfId="0" applyFill="1" applyBorder="1"/>
    <xf numFmtId="0" fontId="0" fillId="0" borderId="0" xfId="0" applyFill="1" applyBorder="1" applyAlignment="1">
      <alignment horizontal="center"/>
    </xf>
    <xf numFmtId="0" fontId="105" fillId="0" borderId="0" xfId="0" applyFont="1" applyFill="1" applyBorder="1" applyAlignment="1">
      <alignment vertical="center" wrapText="1"/>
    </xf>
    <xf numFmtId="49" fontId="26" fillId="40" borderId="32" xfId="397" applyNumberFormat="1" applyFont="1" applyFill="1" applyBorder="1" applyAlignment="1">
      <alignment horizontal="left" vertical="top" wrapText="1"/>
    </xf>
    <xf numFmtId="49" fontId="26" fillId="40" borderId="32" xfId="397" applyNumberFormat="1" applyFont="1" applyFill="1" applyBorder="1" applyAlignment="1">
      <alignment horizontal="left" vertical="center" wrapText="1"/>
    </xf>
    <xf numFmtId="49" fontId="26" fillId="39" borderId="32" xfId="397" applyNumberFormat="1" applyFont="1" applyFill="1" applyBorder="1" applyAlignment="1">
      <alignment horizontal="left" vertical="center" wrapText="1"/>
    </xf>
    <xf numFmtId="49" fontId="26" fillId="39" borderId="32" xfId="397" applyNumberFormat="1" applyFont="1" applyFill="1" applyBorder="1" applyAlignment="1">
      <alignment horizontal="right" vertical="center" wrapText="1"/>
    </xf>
    <xf numFmtId="164" fontId="26" fillId="38" borderId="32" xfId="397" applyNumberFormat="1" applyFont="1" applyFill="1" applyBorder="1" applyAlignment="1">
      <alignment horizontal="right" vertical="center" wrapText="1"/>
    </xf>
    <xf numFmtId="49" fontId="26" fillId="0" borderId="0" xfId="397" applyNumberFormat="1" applyFont="1" applyFill="1" applyBorder="1" applyAlignment="1">
      <alignment horizontal="left" vertical="top" wrapText="1"/>
    </xf>
    <xf numFmtId="49" fontId="26" fillId="0" borderId="0" xfId="397" applyNumberFormat="1" applyFont="1" applyFill="1" applyBorder="1" applyAlignment="1">
      <alignment horizontal="left" vertical="center" wrapText="1"/>
    </xf>
    <xf numFmtId="49" fontId="26" fillId="0" borderId="0" xfId="397" applyNumberFormat="1" applyFont="1" applyFill="1" applyBorder="1" applyAlignment="1">
      <alignment horizontal="right" vertical="center" wrapText="1"/>
    </xf>
    <xf numFmtId="164" fontId="26" fillId="0" borderId="0" xfId="397" applyNumberFormat="1" applyFont="1" applyFill="1" applyBorder="1" applyAlignment="1">
      <alignment horizontal="right" vertical="center" wrapText="1"/>
    </xf>
    <xf numFmtId="0" fontId="105" fillId="0" borderId="45" xfId="0" applyFont="1" applyBorder="1" applyAlignment="1">
      <alignment horizontal="left" vertical="center"/>
    </xf>
    <xf numFmtId="171" fontId="0" fillId="0" borderId="0" xfId="238" applyNumberFormat="1" applyFont="1" applyBorder="1"/>
    <xf numFmtId="164" fontId="26" fillId="38" borderId="32" xfId="431" applyNumberFormat="1" applyFont="1" applyFill="1" applyBorder="1" applyAlignment="1">
      <alignment horizontal="right" vertical="center" wrapText="1"/>
    </xf>
    <xf numFmtId="164" fontId="26" fillId="41" borderId="32" xfId="431" applyNumberFormat="1" applyFont="1" applyFill="1" applyBorder="1" applyAlignment="1">
      <alignment horizontal="right" vertical="center" wrapText="1"/>
    </xf>
    <xf numFmtId="168" fontId="26" fillId="41" borderId="32" xfId="432" applyNumberFormat="1" applyFont="1" applyFill="1" applyBorder="1" applyAlignment="1">
      <alignment horizontal="right" vertical="center" wrapText="1"/>
    </xf>
    <xf numFmtId="164" fontId="26" fillId="41" borderId="32" xfId="432" applyNumberFormat="1" applyFont="1" applyFill="1" applyBorder="1" applyAlignment="1">
      <alignment horizontal="right" vertical="center" wrapText="1"/>
    </xf>
    <xf numFmtId="167" fontId="26" fillId="41" borderId="32" xfId="432" applyNumberFormat="1" applyFont="1" applyFill="1" applyBorder="1" applyAlignment="1">
      <alignment horizontal="right" vertical="center" wrapText="1"/>
    </xf>
    <xf numFmtId="164" fontId="26" fillId="0" borderId="0" xfId="431" applyNumberFormat="1" applyFont="1" applyFill="1" applyBorder="1" applyAlignment="1">
      <alignment horizontal="right" vertical="center" wrapText="1"/>
    </xf>
    <xf numFmtId="168" fontId="26" fillId="0" borderId="0" xfId="432" applyNumberFormat="1" applyFont="1" applyFill="1" applyBorder="1" applyAlignment="1">
      <alignment horizontal="right" vertical="center" wrapText="1"/>
    </xf>
    <xf numFmtId="0" fontId="1" fillId="0" borderId="0" xfId="432" applyFill="1" applyBorder="1"/>
    <xf numFmtId="164" fontId="26" fillId="0" borderId="0" xfId="432" applyNumberFormat="1" applyFont="1" applyFill="1" applyBorder="1" applyAlignment="1">
      <alignment horizontal="right" vertical="center" wrapText="1"/>
    </xf>
    <xf numFmtId="167" fontId="26" fillId="0" borderId="0" xfId="432" applyNumberFormat="1" applyFont="1" applyFill="1" applyBorder="1" applyAlignment="1">
      <alignment horizontal="right" vertical="center" wrapText="1"/>
    </xf>
    <xf numFmtId="164" fontId="26" fillId="41" borderId="13" xfId="432" applyNumberFormat="1" applyFont="1" applyFill="1" applyBorder="1" applyAlignment="1">
      <alignment horizontal="right" vertical="center" wrapText="1"/>
    </xf>
    <xf numFmtId="164" fontId="26" fillId="41" borderId="47" xfId="432" applyNumberFormat="1" applyFont="1" applyFill="1" applyBorder="1" applyAlignment="1">
      <alignment horizontal="right" vertical="center" wrapText="1"/>
    </xf>
    <xf numFmtId="44" fontId="0" fillId="0" borderId="30" xfId="430" applyFont="1" applyFill="1" applyBorder="1"/>
    <xf numFmtId="170" fontId="22" fillId="34" borderId="48" xfId="44" applyNumberFormat="1" applyBorder="1">
      <alignment horizontal="right" vertical="center"/>
    </xf>
    <xf numFmtId="170" fontId="22" fillId="34" borderId="49" xfId="44" applyNumberFormat="1" applyBorder="1">
      <alignment horizontal="right" vertical="center"/>
    </xf>
    <xf numFmtId="3" fontId="22" fillId="34" borderId="48" xfId="44" applyNumberFormat="1" applyBorder="1">
      <alignment horizontal="right" vertical="center"/>
    </xf>
    <xf numFmtId="3" fontId="22" fillId="0" borderId="0" xfId="44" applyNumberFormat="1" applyFill="1" applyBorder="1">
      <alignment horizontal="right" vertical="center"/>
    </xf>
    <xf numFmtId="169" fontId="0" fillId="78" borderId="0" xfId="237" applyNumberFormat="1" applyFont="1" applyFill="1"/>
    <xf numFmtId="3" fontId="108" fillId="0" borderId="0" xfId="0" applyNumberFormat="1" applyFont="1" applyFill="1" applyBorder="1" applyAlignment="1">
      <alignment vertical="center"/>
    </xf>
    <xf numFmtId="3" fontId="108" fillId="0" borderId="0" xfId="433" applyNumberFormat="1" applyFont="1" applyAlignment="1">
      <alignment vertical="center"/>
    </xf>
    <xf numFmtId="3" fontId="109" fillId="0" borderId="0" xfId="433" applyNumberFormat="1" applyFont="1" applyAlignment="1">
      <alignment vertical="center"/>
    </xf>
    <xf numFmtId="3" fontId="111" fillId="0" borderId="0" xfId="0" applyNumberFormat="1" applyFont="1" applyFill="1" applyBorder="1" applyAlignment="1">
      <alignment vertical="center"/>
    </xf>
    <xf numFmtId="3" fontId="112" fillId="0" borderId="0" xfId="239" applyNumberFormat="1" applyFont="1" applyFill="1" applyBorder="1" applyAlignment="1"/>
    <xf numFmtId="0" fontId="113" fillId="0" borderId="0" xfId="0" applyFont="1" applyAlignment="1">
      <alignment vertical="center"/>
    </xf>
    <xf numFmtId="3" fontId="112" fillId="0" borderId="0" xfId="239" applyNumberFormat="1" applyFont="1" applyFill="1" applyBorder="1" applyAlignment="1">
      <alignment vertical="center"/>
    </xf>
    <xf numFmtId="49" fontId="0" fillId="39" borderId="13" xfId="0" applyNumberFormat="1" applyFill="1" applyBorder="1" applyAlignment="1">
      <alignment horizontal="left" vertical="center" wrapText="1"/>
    </xf>
    <xf numFmtId="49" fontId="0" fillId="39" borderId="14" xfId="0" applyNumberFormat="1" applyFill="1" applyBorder="1" applyAlignment="1">
      <alignment horizontal="left" vertical="center" wrapText="1"/>
    </xf>
    <xf numFmtId="49" fontId="0" fillId="39" borderId="15" xfId="0" applyNumberFormat="1" applyFill="1" applyBorder="1" applyAlignment="1">
      <alignment horizontal="left" vertical="center" wrapText="1"/>
    </xf>
    <xf numFmtId="49" fontId="2" fillId="39" borderId="13" xfId="397" applyNumberFormat="1" applyFill="1" applyBorder="1" applyAlignment="1">
      <alignment horizontal="left" vertical="center" wrapText="1"/>
    </xf>
    <xf numFmtId="49" fontId="2" fillId="39" borderId="14" xfId="397" applyNumberFormat="1" applyFill="1" applyBorder="1" applyAlignment="1">
      <alignment horizontal="left" vertical="center" wrapText="1"/>
    </xf>
    <xf numFmtId="49" fontId="2" fillId="39" borderId="15" xfId="397" applyNumberFormat="1" applyFill="1" applyBorder="1" applyAlignment="1">
      <alignment horizontal="left" vertical="center" wrapText="1"/>
    </xf>
    <xf numFmtId="49" fontId="26" fillId="39" borderId="13" xfId="397" applyNumberFormat="1" applyFont="1" applyFill="1" applyBorder="1" applyAlignment="1">
      <alignment horizontal="right" vertical="top" wrapText="1"/>
    </xf>
    <xf numFmtId="49" fontId="26" fillId="39" borderId="15" xfId="397" applyNumberFormat="1" applyFont="1" applyFill="1" applyBorder="1" applyAlignment="1">
      <alignment horizontal="right" vertical="top" wrapText="1"/>
    </xf>
  </cellXfs>
  <cellStyles count="434">
    <cellStyle name="20% - Accent1" xfId="19" builtinId="30" customBuiltin="1"/>
    <cellStyle name="20% - Accent1 2" xfId="71" xr:uid="{00000000-0005-0000-0000-000001000000}"/>
    <cellStyle name="20% - Accent1 3" xfId="264" xr:uid="{00000000-0005-0000-0000-000002000000}"/>
    <cellStyle name="20% - Accent1 4" xfId="374" xr:uid="{00000000-0005-0000-0000-000003000000}"/>
    <cellStyle name="20% - Accent2" xfId="23" builtinId="34" customBuiltin="1"/>
    <cellStyle name="20% - Accent2 2" xfId="84" xr:uid="{00000000-0005-0000-0000-000005000000}"/>
    <cellStyle name="20% - Accent2 3" xfId="259" xr:uid="{00000000-0005-0000-0000-000006000000}"/>
    <cellStyle name="20% - Accent2 4" xfId="369" xr:uid="{00000000-0005-0000-0000-000007000000}"/>
    <cellStyle name="20% - Accent3" xfId="27" builtinId="38" customBuiltin="1"/>
    <cellStyle name="20% - Accent3 2" xfId="68" xr:uid="{00000000-0005-0000-0000-000009000000}"/>
    <cellStyle name="20% - Accent3 3" xfId="255" xr:uid="{00000000-0005-0000-0000-00000A000000}"/>
    <cellStyle name="20% - Accent3 4" xfId="365" xr:uid="{00000000-0005-0000-0000-00000B000000}"/>
    <cellStyle name="20% - Accent4" xfId="31" builtinId="42" customBuiltin="1"/>
    <cellStyle name="20% - Accent4 2" xfId="63" xr:uid="{00000000-0005-0000-0000-00000D000000}"/>
    <cellStyle name="20% - Accent4 3" xfId="305" xr:uid="{00000000-0005-0000-0000-00000E000000}"/>
    <cellStyle name="20% - Accent4 4" xfId="361" xr:uid="{00000000-0005-0000-0000-00000F000000}"/>
    <cellStyle name="20% - Accent5" xfId="35" builtinId="46" customBuiltin="1"/>
    <cellStyle name="20% - Accent5 2" xfId="82" xr:uid="{00000000-0005-0000-0000-000011000000}"/>
    <cellStyle name="20% - Accent5 3" xfId="250" xr:uid="{00000000-0005-0000-0000-000012000000}"/>
    <cellStyle name="20% - Accent5 4" xfId="357" xr:uid="{00000000-0005-0000-0000-000013000000}"/>
    <cellStyle name="20% - Accent6" xfId="39" builtinId="50" customBuiltin="1"/>
    <cellStyle name="20% - Accent6 2" xfId="76" xr:uid="{00000000-0005-0000-0000-000015000000}"/>
    <cellStyle name="20% - Accent6 3" xfId="247" xr:uid="{00000000-0005-0000-0000-000016000000}"/>
    <cellStyle name="20% - Accent6 4" xfId="354" xr:uid="{00000000-0005-0000-0000-000017000000}"/>
    <cellStyle name="40% - Accent1" xfId="20" builtinId="31" customBuiltin="1"/>
    <cellStyle name="40% - Accent1 2" xfId="64" xr:uid="{00000000-0005-0000-0000-000019000000}"/>
    <cellStyle name="40% - Accent1 3" xfId="263" xr:uid="{00000000-0005-0000-0000-00001A000000}"/>
    <cellStyle name="40% - Accent1 4" xfId="372" xr:uid="{00000000-0005-0000-0000-00001B000000}"/>
    <cellStyle name="40% - Accent2" xfId="24" builtinId="35" customBuiltin="1"/>
    <cellStyle name="40% - Accent2 2" xfId="80" xr:uid="{00000000-0005-0000-0000-00001D000000}"/>
    <cellStyle name="40% - Accent2 3" xfId="258" xr:uid="{00000000-0005-0000-0000-00001E000000}"/>
    <cellStyle name="40% - Accent2 4" xfId="368" xr:uid="{00000000-0005-0000-0000-00001F000000}"/>
    <cellStyle name="40% - Accent3" xfId="28" builtinId="39" customBuiltin="1"/>
    <cellStyle name="40% - Accent3 2" xfId="87" xr:uid="{00000000-0005-0000-0000-000021000000}"/>
    <cellStyle name="40% - Accent3 3" xfId="254" xr:uid="{00000000-0005-0000-0000-000022000000}"/>
    <cellStyle name="40% - Accent3 4" xfId="364" xr:uid="{00000000-0005-0000-0000-000023000000}"/>
    <cellStyle name="40% - Accent4" xfId="32" builtinId="43" customBuiltin="1"/>
    <cellStyle name="40% - Accent4 2" xfId="57" xr:uid="{00000000-0005-0000-0000-000025000000}"/>
    <cellStyle name="40% - Accent4 3" xfId="251" xr:uid="{00000000-0005-0000-0000-000026000000}"/>
    <cellStyle name="40% - Accent4 4" xfId="360" xr:uid="{00000000-0005-0000-0000-000027000000}"/>
    <cellStyle name="40% - Accent5" xfId="36" builtinId="47" customBuiltin="1"/>
    <cellStyle name="40% - Accent5 2" xfId="78" xr:uid="{00000000-0005-0000-0000-000029000000}"/>
    <cellStyle name="40% - Accent5 3" xfId="249" xr:uid="{00000000-0005-0000-0000-00002A000000}"/>
    <cellStyle name="40% - Accent5 4" xfId="356" xr:uid="{00000000-0005-0000-0000-00002B000000}"/>
    <cellStyle name="40% - Accent6" xfId="40" builtinId="51" customBuiltin="1"/>
    <cellStyle name="40% - Accent6 2" xfId="89" xr:uid="{00000000-0005-0000-0000-00002D000000}"/>
    <cellStyle name="40% - Accent6 3" xfId="335" xr:uid="{00000000-0005-0000-0000-00002E000000}"/>
    <cellStyle name="40% - Accent6 4" xfId="353" xr:uid="{00000000-0005-0000-0000-00002F000000}"/>
    <cellStyle name="60% - Accent1" xfId="21" builtinId="32" customBuiltin="1"/>
    <cellStyle name="60% - Accent1 2" xfId="58" xr:uid="{00000000-0005-0000-0000-000031000000}"/>
    <cellStyle name="60% - Accent1 3" xfId="261" xr:uid="{00000000-0005-0000-0000-000032000000}"/>
    <cellStyle name="60% - Accent1 4" xfId="371" xr:uid="{00000000-0005-0000-0000-000033000000}"/>
    <cellStyle name="60% - Accent2" xfId="25" builtinId="36" customBuiltin="1"/>
    <cellStyle name="60% - Accent2 2" xfId="60" xr:uid="{00000000-0005-0000-0000-000035000000}"/>
    <cellStyle name="60% - Accent2 3" xfId="257" xr:uid="{00000000-0005-0000-0000-000036000000}"/>
    <cellStyle name="60% - Accent2 4" xfId="367" xr:uid="{00000000-0005-0000-0000-000037000000}"/>
    <cellStyle name="60% - Accent3" xfId="29" builtinId="40" customBuiltin="1"/>
    <cellStyle name="60% - Accent3 2" xfId="83" xr:uid="{00000000-0005-0000-0000-000039000000}"/>
    <cellStyle name="60% - Accent3 3" xfId="253" xr:uid="{00000000-0005-0000-0000-00003A000000}"/>
    <cellStyle name="60% - Accent3 4" xfId="363" xr:uid="{00000000-0005-0000-0000-00003B000000}"/>
    <cellStyle name="60% - Accent4" xfId="33" builtinId="44" customBuiltin="1"/>
    <cellStyle name="60% - Accent4 2" xfId="72" xr:uid="{00000000-0005-0000-0000-00003D000000}"/>
    <cellStyle name="60% - Accent4 3" xfId="322" xr:uid="{00000000-0005-0000-0000-00003E000000}"/>
    <cellStyle name="60% - Accent4 4" xfId="359" xr:uid="{00000000-0005-0000-0000-00003F000000}"/>
    <cellStyle name="60% - Accent5" xfId="37" builtinId="48" customBuiltin="1"/>
    <cellStyle name="60% - Accent5 2" xfId="67" xr:uid="{00000000-0005-0000-0000-000041000000}"/>
    <cellStyle name="60% - Accent5 3" xfId="248" xr:uid="{00000000-0005-0000-0000-000042000000}"/>
    <cellStyle name="60% - Accent5 4" xfId="393" xr:uid="{00000000-0005-0000-0000-000043000000}"/>
    <cellStyle name="60% - Accent6" xfId="41" builtinId="52" customBuiltin="1"/>
    <cellStyle name="60% - Accent6 2" xfId="90" xr:uid="{00000000-0005-0000-0000-000045000000}"/>
    <cellStyle name="60% - Accent6 3" xfId="326" xr:uid="{00000000-0005-0000-0000-000046000000}"/>
    <cellStyle name="60% - Accent6 4" xfId="352" xr:uid="{00000000-0005-0000-0000-000047000000}"/>
    <cellStyle name="Accent1" xfId="18" builtinId="29" customBuiltin="1"/>
    <cellStyle name="Accent1 - 20%" xfId="93" xr:uid="{00000000-0005-0000-0000-000049000000}"/>
    <cellStyle name="Accent1 - 40%" xfId="94" xr:uid="{00000000-0005-0000-0000-00004A000000}"/>
    <cellStyle name="Accent1 - 60%" xfId="95" xr:uid="{00000000-0005-0000-0000-00004B000000}"/>
    <cellStyle name="Accent1 10" xfId="234" xr:uid="{00000000-0005-0000-0000-00004C000000}"/>
    <cellStyle name="Accent1 11" xfId="236" xr:uid="{00000000-0005-0000-0000-00004D000000}"/>
    <cellStyle name="Accent1 12" xfId="56" xr:uid="{00000000-0005-0000-0000-00004E000000}"/>
    <cellStyle name="Accent1 13" xfId="240" xr:uid="{00000000-0005-0000-0000-00004F000000}"/>
    <cellStyle name="Accent1 14" xfId="304" xr:uid="{00000000-0005-0000-0000-000050000000}"/>
    <cellStyle name="Accent1 15" xfId="317" xr:uid="{00000000-0005-0000-0000-000051000000}"/>
    <cellStyle name="Accent1 16" xfId="321" xr:uid="{00000000-0005-0000-0000-000052000000}"/>
    <cellStyle name="Accent1 17" xfId="325" xr:uid="{00000000-0005-0000-0000-000053000000}"/>
    <cellStyle name="Accent1 18" xfId="331" xr:uid="{00000000-0005-0000-0000-000054000000}"/>
    <cellStyle name="Accent1 19" xfId="334" xr:uid="{00000000-0005-0000-0000-000055000000}"/>
    <cellStyle name="Accent1 2" xfId="92" xr:uid="{00000000-0005-0000-0000-000056000000}"/>
    <cellStyle name="Accent1 20" xfId="265" xr:uid="{00000000-0005-0000-0000-000057000000}"/>
    <cellStyle name="Accent1 21" xfId="338" xr:uid="{00000000-0005-0000-0000-000058000000}"/>
    <cellStyle name="Accent1 22" xfId="392" xr:uid="{00000000-0005-0000-0000-000059000000}"/>
    <cellStyle name="Accent1 23" xfId="396" xr:uid="{00000000-0005-0000-0000-00005A000000}"/>
    <cellStyle name="Accent1 24" xfId="375" xr:uid="{00000000-0005-0000-0000-00005B000000}"/>
    <cellStyle name="Accent1 25" xfId="345" xr:uid="{00000000-0005-0000-0000-00005C000000}"/>
    <cellStyle name="Accent1 26" xfId="420" xr:uid="{00000000-0005-0000-0000-00005D000000}"/>
    <cellStyle name="Accent1 27" xfId="423" xr:uid="{00000000-0005-0000-0000-00005E000000}"/>
    <cellStyle name="Accent1 28" xfId="425" xr:uid="{00000000-0005-0000-0000-00005F000000}"/>
    <cellStyle name="Accent1 29" xfId="427" xr:uid="{00000000-0005-0000-0000-000060000000}"/>
    <cellStyle name="Accent1 3" xfId="168" xr:uid="{00000000-0005-0000-0000-000061000000}"/>
    <cellStyle name="Accent1 30" xfId="429" xr:uid="{00000000-0005-0000-0000-000062000000}"/>
    <cellStyle name="Accent1 4" xfId="191" xr:uid="{00000000-0005-0000-0000-000063000000}"/>
    <cellStyle name="Accent1 5" xfId="193" xr:uid="{00000000-0005-0000-0000-000064000000}"/>
    <cellStyle name="Accent1 6" xfId="195" xr:uid="{00000000-0005-0000-0000-000065000000}"/>
    <cellStyle name="Accent1 7" xfId="197" xr:uid="{00000000-0005-0000-0000-000066000000}"/>
    <cellStyle name="Accent1 8" xfId="199" xr:uid="{00000000-0005-0000-0000-000067000000}"/>
    <cellStyle name="Accent1 9" xfId="229" xr:uid="{00000000-0005-0000-0000-000068000000}"/>
    <cellStyle name="Accent2" xfId="22" builtinId="33" customBuiltin="1"/>
    <cellStyle name="Accent2 - 20%" xfId="97" xr:uid="{00000000-0005-0000-0000-00006A000000}"/>
    <cellStyle name="Accent2 - 40%" xfId="98" xr:uid="{00000000-0005-0000-0000-00006B000000}"/>
    <cellStyle name="Accent2 - 60%" xfId="99" xr:uid="{00000000-0005-0000-0000-00006C000000}"/>
    <cellStyle name="Accent2 10" xfId="233" xr:uid="{00000000-0005-0000-0000-00006D000000}"/>
    <cellStyle name="Accent2 11" xfId="235" xr:uid="{00000000-0005-0000-0000-00006E000000}"/>
    <cellStyle name="Accent2 12" xfId="88" xr:uid="{00000000-0005-0000-0000-00006F000000}"/>
    <cellStyle name="Accent2 13" xfId="242" xr:uid="{00000000-0005-0000-0000-000070000000}"/>
    <cellStyle name="Accent2 14" xfId="299" xr:uid="{00000000-0005-0000-0000-000071000000}"/>
    <cellStyle name="Accent2 15" xfId="315" xr:uid="{00000000-0005-0000-0000-000072000000}"/>
    <cellStyle name="Accent2 16" xfId="302" xr:uid="{00000000-0005-0000-0000-000073000000}"/>
    <cellStyle name="Accent2 17" xfId="324" xr:uid="{00000000-0005-0000-0000-000074000000}"/>
    <cellStyle name="Accent2 18" xfId="327" xr:uid="{00000000-0005-0000-0000-000075000000}"/>
    <cellStyle name="Accent2 19" xfId="333" xr:uid="{00000000-0005-0000-0000-000076000000}"/>
    <cellStyle name="Accent2 2" xfId="96" xr:uid="{00000000-0005-0000-0000-000077000000}"/>
    <cellStyle name="Accent2 20" xfId="260" xr:uid="{00000000-0005-0000-0000-000078000000}"/>
    <cellStyle name="Accent2 21" xfId="342" xr:uid="{00000000-0005-0000-0000-000079000000}"/>
    <cellStyle name="Accent2 22" xfId="389" xr:uid="{00000000-0005-0000-0000-00007A000000}"/>
    <cellStyle name="Accent2 23" xfId="394" xr:uid="{00000000-0005-0000-0000-00007B000000}"/>
    <cellStyle name="Accent2 24" xfId="370" xr:uid="{00000000-0005-0000-0000-00007C000000}"/>
    <cellStyle name="Accent2 25" xfId="340" xr:uid="{00000000-0005-0000-0000-00007D000000}"/>
    <cellStyle name="Accent2 26" xfId="418" xr:uid="{00000000-0005-0000-0000-00007E000000}"/>
    <cellStyle name="Accent2 27" xfId="421" xr:uid="{00000000-0005-0000-0000-00007F000000}"/>
    <cellStyle name="Accent2 28" xfId="419" xr:uid="{00000000-0005-0000-0000-000080000000}"/>
    <cellStyle name="Accent2 29" xfId="426" xr:uid="{00000000-0005-0000-0000-000081000000}"/>
    <cellStyle name="Accent2 3" xfId="170" xr:uid="{00000000-0005-0000-0000-000082000000}"/>
    <cellStyle name="Accent2 30" xfId="428" xr:uid="{00000000-0005-0000-0000-000083000000}"/>
    <cellStyle name="Accent2 4" xfId="190" xr:uid="{00000000-0005-0000-0000-000084000000}"/>
    <cellStyle name="Accent2 5" xfId="192" xr:uid="{00000000-0005-0000-0000-000085000000}"/>
    <cellStyle name="Accent2 6" xfId="194" xr:uid="{00000000-0005-0000-0000-000086000000}"/>
    <cellStyle name="Accent2 7" xfId="196" xr:uid="{00000000-0005-0000-0000-000087000000}"/>
    <cellStyle name="Accent2 8" xfId="201" xr:uid="{00000000-0005-0000-0000-000088000000}"/>
    <cellStyle name="Accent2 9" xfId="227" xr:uid="{00000000-0005-0000-0000-000089000000}"/>
    <cellStyle name="Accent3" xfId="26" builtinId="37" customBuiltin="1"/>
    <cellStyle name="Accent3 - 20%" xfId="101" xr:uid="{00000000-0005-0000-0000-00008B000000}"/>
    <cellStyle name="Accent3 - 40%" xfId="102" xr:uid="{00000000-0005-0000-0000-00008C000000}"/>
    <cellStyle name="Accent3 - 60%" xfId="103" xr:uid="{00000000-0005-0000-0000-00008D000000}"/>
    <cellStyle name="Accent3 10" xfId="232" xr:uid="{00000000-0005-0000-0000-00008E000000}"/>
    <cellStyle name="Accent3 11" xfId="226" xr:uid="{00000000-0005-0000-0000-00008F000000}"/>
    <cellStyle name="Accent3 12" xfId="75" xr:uid="{00000000-0005-0000-0000-000090000000}"/>
    <cellStyle name="Accent3 13" xfId="243" xr:uid="{00000000-0005-0000-0000-000091000000}"/>
    <cellStyle name="Accent3 14" xfId="295" xr:uid="{00000000-0005-0000-0000-000092000000}"/>
    <cellStyle name="Accent3 15" xfId="313" xr:uid="{00000000-0005-0000-0000-000093000000}"/>
    <cellStyle name="Accent3 16" xfId="296" xr:uid="{00000000-0005-0000-0000-000094000000}"/>
    <cellStyle name="Accent3 17" xfId="316" xr:uid="{00000000-0005-0000-0000-000095000000}"/>
    <cellStyle name="Accent3 18" xfId="300" xr:uid="{00000000-0005-0000-0000-000096000000}"/>
    <cellStyle name="Accent3 19" xfId="323" xr:uid="{00000000-0005-0000-0000-000097000000}"/>
    <cellStyle name="Accent3 2" xfId="100" xr:uid="{00000000-0005-0000-0000-000098000000}"/>
    <cellStyle name="Accent3 20" xfId="256" xr:uid="{00000000-0005-0000-0000-000099000000}"/>
    <cellStyle name="Accent3 21" xfId="344" xr:uid="{00000000-0005-0000-0000-00009A000000}"/>
    <cellStyle name="Accent3 22" xfId="385" xr:uid="{00000000-0005-0000-0000-00009B000000}"/>
    <cellStyle name="Accent3 23" xfId="343" xr:uid="{00000000-0005-0000-0000-00009C000000}"/>
    <cellStyle name="Accent3 24" xfId="366" xr:uid="{00000000-0005-0000-0000-00009D000000}"/>
    <cellStyle name="Accent3 25" xfId="395" xr:uid="{00000000-0005-0000-0000-00009E000000}"/>
    <cellStyle name="Accent3 26" xfId="415" xr:uid="{00000000-0005-0000-0000-00009F000000}"/>
    <cellStyle name="Accent3 27" xfId="341" xr:uid="{00000000-0005-0000-0000-0000A0000000}"/>
    <cellStyle name="Accent3 28" xfId="417" xr:uid="{00000000-0005-0000-0000-0000A1000000}"/>
    <cellStyle name="Accent3 29" xfId="422" xr:uid="{00000000-0005-0000-0000-0000A2000000}"/>
    <cellStyle name="Accent3 3" xfId="173" xr:uid="{00000000-0005-0000-0000-0000A3000000}"/>
    <cellStyle name="Accent3 30" xfId="424" xr:uid="{00000000-0005-0000-0000-0000A4000000}"/>
    <cellStyle name="Accent3 4" xfId="188" xr:uid="{00000000-0005-0000-0000-0000A5000000}"/>
    <cellStyle name="Accent3 5" xfId="171" xr:uid="{00000000-0005-0000-0000-0000A6000000}"/>
    <cellStyle name="Accent3 6" xfId="189" xr:uid="{00000000-0005-0000-0000-0000A7000000}"/>
    <cellStyle name="Accent3 7" xfId="169" xr:uid="{00000000-0005-0000-0000-0000A8000000}"/>
    <cellStyle name="Accent3 8" xfId="202" xr:uid="{00000000-0005-0000-0000-0000A9000000}"/>
    <cellStyle name="Accent3 9" xfId="225" xr:uid="{00000000-0005-0000-0000-0000AA000000}"/>
    <cellStyle name="Accent4" xfId="30" builtinId="41" customBuiltin="1"/>
    <cellStyle name="Accent4 - 20%" xfId="105" xr:uid="{00000000-0005-0000-0000-0000AC000000}"/>
    <cellStyle name="Accent4 - 40%" xfId="106" xr:uid="{00000000-0005-0000-0000-0000AD000000}"/>
    <cellStyle name="Accent4 - 60%" xfId="107" xr:uid="{00000000-0005-0000-0000-0000AE000000}"/>
    <cellStyle name="Accent4 10" xfId="231" xr:uid="{00000000-0005-0000-0000-0000AF000000}"/>
    <cellStyle name="Accent4 11" xfId="224" xr:uid="{00000000-0005-0000-0000-0000B0000000}"/>
    <cellStyle name="Accent4 12" xfId="79" xr:uid="{00000000-0005-0000-0000-0000B1000000}"/>
    <cellStyle name="Accent4 13" xfId="244" xr:uid="{00000000-0005-0000-0000-0000B2000000}"/>
    <cellStyle name="Accent4 14" xfId="279" xr:uid="{00000000-0005-0000-0000-0000B3000000}"/>
    <cellStyle name="Accent4 15" xfId="311" xr:uid="{00000000-0005-0000-0000-0000B4000000}"/>
    <cellStyle name="Accent4 16" xfId="278" xr:uid="{00000000-0005-0000-0000-0000B5000000}"/>
    <cellStyle name="Accent4 17" xfId="312" xr:uid="{00000000-0005-0000-0000-0000B6000000}"/>
    <cellStyle name="Accent4 18" xfId="293" xr:uid="{00000000-0005-0000-0000-0000B7000000}"/>
    <cellStyle name="Accent4 19" xfId="314" xr:uid="{00000000-0005-0000-0000-0000B8000000}"/>
    <cellStyle name="Accent4 2" xfId="104" xr:uid="{00000000-0005-0000-0000-0000B9000000}"/>
    <cellStyle name="Accent4 20" xfId="252" xr:uid="{00000000-0005-0000-0000-0000BA000000}"/>
    <cellStyle name="Accent4 21" xfId="347" xr:uid="{00000000-0005-0000-0000-0000BB000000}"/>
    <cellStyle name="Accent4 22" xfId="381" xr:uid="{00000000-0005-0000-0000-0000BC000000}"/>
    <cellStyle name="Accent4 23" xfId="346" xr:uid="{00000000-0005-0000-0000-0000BD000000}"/>
    <cellStyle name="Accent4 24" xfId="362" xr:uid="{00000000-0005-0000-0000-0000BE000000}"/>
    <cellStyle name="Accent4 25" xfId="400" xr:uid="{00000000-0005-0000-0000-0000BF000000}"/>
    <cellStyle name="Accent4 26" xfId="413" xr:uid="{00000000-0005-0000-0000-0000C0000000}"/>
    <cellStyle name="Accent4 27" xfId="398" xr:uid="{00000000-0005-0000-0000-0000C1000000}"/>
    <cellStyle name="Accent4 28" xfId="414" xr:uid="{00000000-0005-0000-0000-0000C2000000}"/>
    <cellStyle name="Accent4 29" xfId="339" xr:uid="{00000000-0005-0000-0000-0000C3000000}"/>
    <cellStyle name="Accent4 3" xfId="175" xr:uid="{00000000-0005-0000-0000-0000C4000000}"/>
    <cellStyle name="Accent4 30" xfId="416" xr:uid="{00000000-0005-0000-0000-0000C5000000}"/>
    <cellStyle name="Accent4 4" xfId="186" xr:uid="{00000000-0005-0000-0000-0000C6000000}"/>
    <cellStyle name="Accent4 5" xfId="174" xr:uid="{00000000-0005-0000-0000-0000C7000000}"/>
    <cellStyle name="Accent4 6" xfId="187" xr:uid="{00000000-0005-0000-0000-0000C8000000}"/>
    <cellStyle name="Accent4 7" xfId="172" xr:uid="{00000000-0005-0000-0000-0000C9000000}"/>
    <cellStyle name="Accent4 8" xfId="203" xr:uid="{00000000-0005-0000-0000-0000CA000000}"/>
    <cellStyle name="Accent4 9" xfId="211" xr:uid="{00000000-0005-0000-0000-0000CB000000}"/>
    <cellStyle name="Accent5" xfId="34" builtinId="45" customBuiltin="1"/>
    <cellStyle name="Accent5 - 20%" xfId="109" xr:uid="{00000000-0005-0000-0000-0000CD000000}"/>
    <cellStyle name="Accent5 - 40%" xfId="110" xr:uid="{00000000-0005-0000-0000-0000CE000000}"/>
    <cellStyle name="Accent5 - 60%" xfId="111" xr:uid="{00000000-0005-0000-0000-0000CF000000}"/>
    <cellStyle name="Accent5 10" xfId="230" xr:uid="{00000000-0005-0000-0000-0000D0000000}"/>
    <cellStyle name="Accent5 11" xfId="210" xr:uid="{00000000-0005-0000-0000-0000D1000000}"/>
    <cellStyle name="Accent5 12" xfId="86" xr:uid="{00000000-0005-0000-0000-0000D2000000}"/>
    <cellStyle name="Accent5 13" xfId="245" xr:uid="{00000000-0005-0000-0000-0000D3000000}"/>
    <cellStyle name="Accent5 14" xfId="275" xr:uid="{00000000-0005-0000-0000-0000D4000000}"/>
    <cellStyle name="Accent5 15" xfId="308" xr:uid="{00000000-0005-0000-0000-0000D5000000}"/>
    <cellStyle name="Accent5 16" xfId="273" xr:uid="{00000000-0005-0000-0000-0000D6000000}"/>
    <cellStyle name="Accent5 17" xfId="309" xr:uid="{00000000-0005-0000-0000-0000D7000000}"/>
    <cellStyle name="Accent5 18" xfId="274" xr:uid="{00000000-0005-0000-0000-0000D8000000}"/>
    <cellStyle name="Accent5 19" xfId="310" xr:uid="{00000000-0005-0000-0000-0000D9000000}"/>
    <cellStyle name="Accent5 2" xfId="108" xr:uid="{00000000-0005-0000-0000-0000DA000000}"/>
    <cellStyle name="Accent5 20" xfId="332" xr:uid="{00000000-0005-0000-0000-0000DB000000}"/>
    <cellStyle name="Accent5 21" xfId="349" xr:uid="{00000000-0005-0000-0000-0000DC000000}"/>
    <cellStyle name="Accent5 22" xfId="377" xr:uid="{00000000-0005-0000-0000-0000DD000000}"/>
    <cellStyle name="Accent5 23" xfId="348" xr:uid="{00000000-0005-0000-0000-0000DE000000}"/>
    <cellStyle name="Accent5 24" xfId="358" xr:uid="{00000000-0005-0000-0000-0000DF000000}"/>
    <cellStyle name="Accent5 25" xfId="402" xr:uid="{00000000-0005-0000-0000-0000E0000000}"/>
    <cellStyle name="Accent5 26" xfId="411" xr:uid="{00000000-0005-0000-0000-0000E1000000}"/>
    <cellStyle name="Accent5 27" xfId="401" xr:uid="{00000000-0005-0000-0000-0000E2000000}"/>
    <cellStyle name="Accent5 28" xfId="410" xr:uid="{00000000-0005-0000-0000-0000E3000000}"/>
    <cellStyle name="Accent5 29" xfId="399" xr:uid="{00000000-0005-0000-0000-0000E4000000}"/>
    <cellStyle name="Accent5 3" xfId="178" xr:uid="{00000000-0005-0000-0000-0000E5000000}"/>
    <cellStyle name="Accent5 30" xfId="412" xr:uid="{00000000-0005-0000-0000-0000E6000000}"/>
    <cellStyle name="Accent5 4" xfId="184" xr:uid="{00000000-0005-0000-0000-0000E7000000}"/>
    <cellStyle name="Accent5 5" xfId="177" xr:uid="{00000000-0005-0000-0000-0000E8000000}"/>
    <cellStyle name="Accent5 6" xfId="185" xr:uid="{00000000-0005-0000-0000-0000E9000000}"/>
    <cellStyle name="Accent5 7" xfId="176" xr:uid="{00000000-0005-0000-0000-0000EA000000}"/>
    <cellStyle name="Accent5 8" xfId="204" xr:uid="{00000000-0005-0000-0000-0000EB000000}"/>
    <cellStyle name="Accent5 9" xfId="209" xr:uid="{00000000-0005-0000-0000-0000EC000000}"/>
    <cellStyle name="Accent6" xfId="38" builtinId="49" customBuiltin="1"/>
    <cellStyle name="Accent6 - 20%" xfId="113" xr:uid="{00000000-0005-0000-0000-0000EE000000}"/>
    <cellStyle name="Accent6 - 40%" xfId="114" xr:uid="{00000000-0005-0000-0000-0000EF000000}"/>
    <cellStyle name="Accent6 - 60%" xfId="115" xr:uid="{00000000-0005-0000-0000-0000F0000000}"/>
    <cellStyle name="Accent6 10" xfId="200" xr:uid="{00000000-0005-0000-0000-0000F1000000}"/>
    <cellStyle name="Accent6 11" xfId="207" xr:uid="{00000000-0005-0000-0000-0000F2000000}"/>
    <cellStyle name="Accent6 12" xfId="61" xr:uid="{00000000-0005-0000-0000-0000F3000000}"/>
    <cellStyle name="Accent6 13" xfId="246" xr:uid="{00000000-0005-0000-0000-0000F4000000}"/>
    <cellStyle name="Accent6 14" xfId="271" xr:uid="{00000000-0005-0000-0000-0000F5000000}"/>
    <cellStyle name="Accent6 15" xfId="306" xr:uid="{00000000-0005-0000-0000-0000F6000000}"/>
    <cellStyle name="Accent6 16" xfId="268" xr:uid="{00000000-0005-0000-0000-0000F7000000}"/>
    <cellStyle name="Accent6 17" xfId="307" xr:uid="{00000000-0005-0000-0000-0000F8000000}"/>
    <cellStyle name="Accent6 18" xfId="267" xr:uid="{00000000-0005-0000-0000-0000F9000000}"/>
    <cellStyle name="Accent6 19" xfId="241" xr:uid="{00000000-0005-0000-0000-0000FA000000}"/>
    <cellStyle name="Accent6 2" xfId="112" xr:uid="{00000000-0005-0000-0000-0000FB000000}"/>
    <cellStyle name="Accent6 20" xfId="318" xr:uid="{00000000-0005-0000-0000-0000FC000000}"/>
    <cellStyle name="Accent6 21" xfId="350" xr:uid="{00000000-0005-0000-0000-0000FD000000}"/>
    <cellStyle name="Accent6 22" xfId="373" xr:uid="{00000000-0005-0000-0000-0000FE000000}"/>
    <cellStyle name="Accent6 23" xfId="351" xr:uid="{00000000-0005-0000-0000-0000FF000000}"/>
    <cellStyle name="Accent6 24" xfId="355" xr:uid="{00000000-0005-0000-0000-000000010000}"/>
    <cellStyle name="Accent6 25" xfId="405" xr:uid="{00000000-0005-0000-0000-000001010000}"/>
    <cellStyle name="Accent6 26" xfId="409" xr:uid="{00000000-0005-0000-0000-000002010000}"/>
    <cellStyle name="Accent6 27" xfId="404" xr:uid="{00000000-0005-0000-0000-000003010000}"/>
    <cellStyle name="Accent6 28" xfId="407" xr:uid="{00000000-0005-0000-0000-000004010000}"/>
    <cellStyle name="Accent6 29" xfId="403" xr:uid="{00000000-0005-0000-0000-000005010000}"/>
    <cellStyle name="Accent6 3" xfId="179" xr:uid="{00000000-0005-0000-0000-000006010000}"/>
    <cellStyle name="Accent6 30" xfId="408" xr:uid="{00000000-0005-0000-0000-000007010000}"/>
    <cellStyle name="Accent6 4" xfId="183" xr:uid="{00000000-0005-0000-0000-000008010000}"/>
    <cellStyle name="Accent6 5" xfId="180" xr:uid="{00000000-0005-0000-0000-000009010000}"/>
    <cellStyle name="Accent6 6" xfId="182" xr:uid="{00000000-0005-0000-0000-00000A010000}"/>
    <cellStyle name="Accent6 7" xfId="181" xr:uid="{00000000-0005-0000-0000-00000B010000}"/>
    <cellStyle name="Accent6 8" xfId="205" xr:uid="{00000000-0005-0000-0000-00000C010000}"/>
    <cellStyle name="Accent6 9" xfId="208" xr:uid="{00000000-0005-0000-0000-00000D010000}"/>
    <cellStyle name="Bad" xfId="7" builtinId="27" customBuiltin="1"/>
    <cellStyle name="Bad 2" xfId="116" xr:uid="{00000000-0005-0000-0000-00000F010000}"/>
    <cellStyle name="Bad 3" xfId="52" xr:uid="{00000000-0005-0000-0000-000010010000}"/>
    <cellStyle name="Bad 4" xfId="303" xr:uid="{00000000-0005-0000-0000-000011010000}"/>
    <cellStyle name="Bad 5" xfId="390" xr:uid="{00000000-0005-0000-0000-000012010000}"/>
    <cellStyle name="Calculation" xfId="11" builtinId="22" customBuiltin="1"/>
    <cellStyle name="Calculation 2" xfId="117" xr:uid="{00000000-0005-0000-0000-000014010000}"/>
    <cellStyle name="Calculation 3" xfId="51" xr:uid="{00000000-0005-0000-0000-000015010000}"/>
    <cellStyle name="Calculation 4" xfId="281" xr:uid="{00000000-0005-0000-0000-000016010000}"/>
    <cellStyle name="Calculation 5" xfId="384" xr:uid="{00000000-0005-0000-0000-000017010000}"/>
    <cellStyle name="Check Cell" xfId="13" builtinId="23" customBuiltin="1"/>
    <cellStyle name="Check Cell 2" xfId="118" xr:uid="{00000000-0005-0000-0000-000019010000}"/>
    <cellStyle name="Check Cell 3" xfId="77" xr:uid="{00000000-0005-0000-0000-00001A010000}"/>
    <cellStyle name="Check Cell 4" xfId="276" xr:uid="{00000000-0005-0000-0000-00001B010000}"/>
    <cellStyle name="Check Cell 5" xfId="382" xr:uid="{00000000-0005-0000-0000-00001C010000}"/>
    <cellStyle name="Comma" xfId="237" builtinId="3"/>
    <cellStyle name="Comma 2" xfId="62" xr:uid="{00000000-0005-0000-0000-00001E010000}"/>
    <cellStyle name="Currency" xfId="430" builtinId="4"/>
    <cellStyle name="Emphasis 1" xfId="119" xr:uid="{00000000-0005-0000-0000-00001F010000}"/>
    <cellStyle name="Emphasis 2" xfId="120" xr:uid="{00000000-0005-0000-0000-000020010000}"/>
    <cellStyle name="Emphasis 3" xfId="121" xr:uid="{00000000-0005-0000-0000-000021010000}"/>
    <cellStyle name="Explanatory Text" xfId="16" builtinId="53" customBuiltin="1"/>
    <cellStyle name="Explanatory Text 2" xfId="85" xr:uid="{00000000-0005-0000-0000-000023010000}"/>
    <cellStyle name="Explanatory Text 3" xfId="269" xr:uid="{00000000-0005-0000-0000-000024010000}"/>
    <cellStyle name="Explanatory Text 4" xfId="378" xr:uid="{00000000-0005-0000-0000-000025010000}"/>
    <cellStyle name="Good" xfId="6" builtinId="26" customBuiltin="1"/>
    <cellStyle name="Good 2" xfId="122" xr:uid="{00000000-0005-0000-0000-000027010000}"/>
    <cellStyle name="Good 3" xfId="66" xr:uid="{00000000-0005-0000-0000-000028010000}"/>
    <cellStyle name="Good 4" xfId="319" xr:uid="{00000000-0005-0000-0000-000029010000}"/>
    <cellStyle name="Good 5" xfId="391" xr:uid="{00000000-0005-0000-0000-00002A010000}"/>
    <cellStyle name="Heading 1" xfId="2" builtinId="16" customBuiltin="1"/>
    <cellStyle name="Heading 1 2" xfId="123" xr:uid="{00000000-0005-0000-0000-00002C010000}"/>
    <cellStyle name="Heading 1 3" xfId="69" xr:uid="{00000000-0005-0000-0000-00002D010000}"/>
    <cellStyle name="Heading 1 4" xfId="330" xr:uid="{00000000-0005-0000-0000-00002E010000}"/>
    <cellStyle name="Heading 2" xfId="3" builtinId="17" customBuiltin="1"/>
    <cellStyle name="Heading 2 2" xfId="124" xr:uid="{00000000-0005-0000-0000-000030010000}"/>
    <cellStyle name="Heading 2 3" xfId="49" xr:uid="{00000000-0005-0000-0000-000031010000}"/>
    <cellStyle name="Heading 2 4" xfId="329" xr:uid="{00000000-0005-0000-0000-000032010000}"/>
    <cellStyle name="Heading 3" xfId="4" builtinId="18" customBuiltin="1"/>
    <cellStyle name="Heading 3 2" xfId="125" xr:uid="{00000000-0005-0000-0000-000034010000}"/>
    <cellStyle name="Heading 3 3" xfId="70" xr:uid="{00000000-0005-0000-0000-000035010000}"/>
    <cellStyle name="Heading 3 4" xfId="328" xr:uid="{00000000-0005-0000-0000-000036010000}"/>
    <cellStyle name="Heading 4" xfId="5" builtinId="19" customBuiltin="1"/>
    <cellStyle name="Heading 4 2" xfId="126" xr:uid="{00000000-0005-0000-0000-000038010000}"/>
    <cellStyle name="Heading 4 3" xfId="55" xr:uid="{00000000-0005-0000-0000-000039010000}"/>
    <cellStyle name="Heading 4 4" xfId="320" xr:uid="{00000000-0005-0000-0000-00003A010000}"/>
    <cellStyle name="Hyperlink 2" xfId="406" xr:uid="{00000000-0005-0000-0000-00003B010000}"/>
    <cellStyle name="Input" xfId="9" builtinId="20" customBuiltin="1"/>
    <cellStyle name="Input 2" xfId="127" xr:uid="{00000000-0005-0000-0000-00003D010000}"/>
    <cellStyle name="Input 3" xfId="54" xr:uid="{00000000-0005-0000-0000-00003E010000}"/>
    <cellStyle name="Input 4" xfId="297" xr:uid="{00000000-0005-0000-0000-00003F010000}"/>
    <cellStyle name="Input 5" xfId="387" xr:uid="{00000000-0005-0000-0000-000040010000}"/>
    <cellStyle name="Linked Cell" xfId="12" builtinId="24" customBuiltin="1"/>
    <cellStyle name="Linked Cell 2" xfId="128" xr:uid="{00000000-0005-0000-0000-000042010000}"/>
    <cellStyle name="Linked Cell 3" xfId="65" xr:uid="{00000000-0005-0000-0000-000043010000}"/>
    <cellStyle name="Linked Cell 4" xfId="277" xr:uid="{00000000-0005-0000-0000-000044010000}"/>
    <cellStyle name="Linked Cell 5" xfId="383" xr:uid="{00000000-0005-0000-0000-000045010000}"/>
    <cellStyle name="Neutral" xfId="8" builtinId="28" customBuiltin="1"/>
    <cellStyle name="Neutral 2" xfId="129" xr:uid="{00000000-0005-0000-0000-000047010000}"/>
    <cellStyle name="Neutral 3" xfId="53" xr:uid="{00000000-0005-0000-0000-000048010000}"/>
    <cellStyle name="Neutral 4" xfId="298" xr:uid="{00000000-0005-0000-0000-000049010000}"/>
    <cellStyle name="Neutral 5" xfId="388" xr:uid="{00000000-0005-0000-0000-00004A010000}"/>
    <cellStyle name="Normal" xfId="0" builtinId="0"/>
    <cellStyle name="Normal 2" xfId="91" xr:uid="{00000000-0005-0000-0000-00004C010000}"/>
    <cellStyle name="Normal 2 13" xfId="433" xr:uid="{F7AA065A-B838-4740-9354-6B0E8D3A5F42}"/>
    <cellStyle name="Normal 3" xfId="198" xr:uid="{00000000-0005-0000-0000-00004D010000}"/>
    <cellStyle name="Normal 4" xfId="73" xr:uid="{00000000-0005-0000-0000-00004E010000}"/>
    <cellStyle name="Normal 4 2" xfId="432" xr:uid="{F5B7C297-F214-4216-9119-DBA2D1CA735C}"/>
    <cellStyle name="Normal 5" xfId="239" xr:uid="{00000000-0005-0000-0000-00004F010000}"/>
    <cellStyle name="Normal 6" xfId="337" xr:uid="{00000000-0005-0000-0000-000050010000}"/>
    <cellStyle name="Normal 7" xfId="397" xr:uid="{00000000-0005-0000-0000-000051010000}"/>
    <cellStyle name="Normal 8" xfId="431" xr:uid="{CED748BD-FB71-42B1-9A41-2FF7388C5385}"/>
    <cellStyle name="Note" xfId="15" builtinId="10" customBuiltin="1"/>
    <cellStyle name="Note 2" xfId="130" xr:uid="{00000000-0005-0000-0000-000053010000}"/>
    <cellStyle name="Note 3" xfId="206" xr:uid="{00000000-0005-0000-0000-000054010000}"/>
    <cellStyle name="Note 4" xfId="74" xr:uid="{00000000-0005-0000-0000-000055010000}"/>
    <cellStyle name="Note 5" xfId="262" xr:uid="{00000000-0005-0000-0000-000056010000}"/>
    <cellStyle name="Note 6" xfId="270" xr:uid="{00000000-0005-0000-0000-000057010000}"/>
    <cellStyle name="Note 7" xfId="379" xr:uid="{00000000-0005-0000-0000-000058010000}"/>
    <cellStyle name="Output" xfId="10" builtinId="21" customBuiltin="1"/>
    <cellStyle name="Output 2" xfId="131" xr:uid="{00000000-0005-0000-0000-00005A010000}"/>
    <cellStyle name="Output 3" xfId="50" xr:uid="{00000000-0005-0000-0000-00005B010000}"/>
    <cellStyle name="Output 4" xfId="294" xr:uid="{00000000-0005-0000-0000-00005C010000}"/>
    <cellStyle name="Output 5" xfId="386" xr:uid="{00000000-0005-0000-0000-00005D010000}"/>
    <cellStyle name="Percent" xfId="238" builtinId="5"/>
    <cellStyle name="Percent 2" xfId="48" xr:uid="{00000000-0005-0000-0000-00005F010000}"/>
    <cellStyle name="SAPBEXaggData" xfId="47" xr:uid="{00000000-0005-0000-0000-000060010000}"/>
    <cellStyle name="SAPBEXaggDataEmph" xfId="132" xr:uid="{00000000-0005-0000-0000-000061010000}"/>
    <cellStyle name="SAPBEXaggItem" xfId="46" xr:uid="{00000000-0005-0000-0000-000062010000}"/>
    <cellStyle name="SAPBEXaggItemX" xfId="133" xr:uid="{00000000-0005-0000-0000-000063010000}"/>
    <cellStyle name="SAPBEXchaText" xfId="42" xr:uid="{00000000-0005-0000-0000-000064010000}"/>
    <cellStyle name="SAPBEXexcBad7" xfId="134" xr:uid="{00000000-0005-0000-0000-000065010000}"/>
    <cellStyle name="SAPBEXexcBad8" xfId="135" xr:uid="{00000000-0005-0000-0000-000066010000}"/>
    <cellStyle name="SAPBEXexcBad9" xfId="136" xr:uid="{00000000-0005-0000-0000-000067010000}"/>
    <cellStyle name="SAPBEXexcCritical4" xfId="137" xr:uid="{00000000-0005-0000-0000-000068010000}"/>
    <cellStyle name="SAPBEXexcCritical5" xfId="138" xr:uid="{00000000-0005-0000-0000-000069010000}"/>
    <cellStyle name="SAPBEXexcCritical6" xfId="139" xr:uid="{00000000-0005-0000-0000-00006A010000}"/>
    <cellStyle name="SAPBEXexcGood1" xfId="140" xr:uid="{00000000-0005-0000-0000-00006B010000}"/>
    <cellStyle name="SAPBEXexcGood2" xfId="141" xr:uid="{00000000-0005-0000-0000-00006C010000}"/>
    <cellStyle name="SAPBEXexcGood3" xfId="142" xr:uid="{00000000-0005-0000-0000-00006D010000}"/>
    <cellStyle name="SAPBEXfilterDrill" xfId="143" xr:uid="{00000000-0005-0000-0000-00006E010000}"/>
    <cellStyle name="SAPBEXfilterItem" xfId="144" xr:uid="{00000000-0005-0000-0000-00006F010000}"/>
    <cellStyle name="SAPBEXfilterText" xfId="145" xr:uid="{00000000-0005-0000-0000-000070010000}"/>
    <cellStyle name="SAPBEXfilterText 2" xfId="212" xr:uid="{00000000-0005-0000-0000-000071010000}"/>
    <cellStyle name="SAPBEXfilterText 3" xfId="280" xr:uid="{00000000-0005-0000-0000-000072010000}"/>
    <cellStyle name="SAPBEXformats" xfId="146" xr:uid="{00000000-0005-0000-0000-000073010000}"/>
    <cellStyle name="SAPBEXheaderItem" xfId="147" xr:uid="{00000000-0005-0000-0000-000074010000}"/>
    <cellStyle name="SAPBEXheaderItem 2" xfId="213" xr:uid="{00000000-0005-0000-0000-000075010000}"/>
    <cellStyle name="SAPBEXheaderItem 3" xfId="282" xr:uid="{00000000-0005-0000-0000-000076010000}"/>
    <cellStyle name="SAPBEXheaderText" xfId="148" xr:uid="{00000000-0005-0000-0000-000077010000}"/>
    <cellStyle name="SAPBEXheaderText 2" xfId="214" xr:uid="{00000000-0005-0000-0000-000078010000}"/>
    <cellStyle name="SAPBEXheaderText 3" xfId="283" xr:uid="{00000000-0005-0000-0000-000079010000}"/>
    <cellStyle name="SAPBEXHLevel0" xfId="149" xr:uid="{00000000-0005-0000-0000-00007A010000}"/>
    <cellStyle name="SAPBEXHLevel0 2" xfId="215" xr:uid="{00000000-0005-0000-0000-00007B010000}"/>
    <cellStyle name="SAPBEXHLevel0 3" xfId="284" xr:uid="{00000000-0005-0000-0000-00007C010000}"/>
    <cellStyle name="SAPBEXHLevel0X" xfId="150" xr:uid="{00000000-0005-0000-0000-00007D010000}"/>
    <cellStyle name="SAPBEXHLevel0X 2" xfId="216" xr:uid="{00000000-0005-0000-0000-00007E010000}"/>
    <cellStyle name="SAPBEXHLevel0X 3" xfId="285" xr:uid="{00000000-0005-0000-0000-00007F010000}"/>
    <cellStyle name="SAPBEXHLevel1" xfId="151" xr:uid="{00000000-0005-0000-0000-000080010000}"/>
    <cellStyle name="SAPBEXHLevel1 2" xfId="217" xr:uid="{00000000-0005-0000-0000-000081010000}"/>
    <cellStyle name="SAPBEXHLevel1 3" xfId="286" xr:uid="{00000000-0005-0000-0000-000082010000}"/>
    <cellStyle name="SAPBEXHLevel1X" xfId="152" xr:uid="{00000000-0005-0000-0000-000083010000}"/>
    <cellStyle name="SAPBEXHLevel1X 2" xfId="218" xr:uid="{00000000-0005-0000-0000-000084010000}"/>
    <cellStyle name="SAPBEXHLevel1X 3" xfId="287" xr:uid="{00000000-0005-0000-0000-000085010000}"/>
    <cellStyle name="SAPBEXHLevel2" xfId="153" xr:uid="{00000000-0005-0000-0000-000086010000}"/>
    <cellStyle name="SAPBEXHLevel2 2" xfId="219" xr:uid="{00000000-0005-0000-0000-000087010000}"/>
    <cellStyle name="SAPBEXHLevel2 3" xfId="288" xr:uid="{00000000-0005-0000-0000-000088010000}"/>
    <cellStyle name="SAPBEXHLevel2X" xfId="154" xr:uid="{00000000-0005-0000-0000-000089010000}"/>
    <cellStyle name="SAPBEXHLevel2X 2" xfId="220" xr:uid="{00000000-0005-0000-0000-00008A010000}"/>
    <cellStyle name="SAPBEXHLevel2X 3" xfId="289" xr:uid="{00000000-0005-0000-0000-00008B010000}"/>
    <cellStyle name="SAPBEXHLevel3" xfId="155" xr:uid="{00000000-0005-0000-0000-00008C010000}"/>
    <cellStyle name="SAPBEXHLevel3 2" xfId="221" xr:uid="{00000000-0005-0000-0000-00008D010000}"/>
    <cellStyle name="SAPBEXHLevel3 3" xfId="290" xr:uid="{00000000-0005-0000-0000-00008E010000}"/>
    <cellStyle name="SAPBEXHLevel3X" xfId="156" xr:uid="{00000000-0005-0000-0000-00008F010000}"/>
    <cellStyle name="SAPBEXHLevel3X 2" xfId="222" xr:uid="{00000000-0005-0000-0000-000090010000}"/>
    <cellStyle name="SAPBEXHLevel3X 3" xfId="291" xr:uid="{00000000-0005-0000-0000-000091010000}"/>
    <cellStyle name="SAPBEXinputData" xfId="45" xr:uid="{00000000-0005-0000-0000-000092010000}"/>
    <cellStyle name="SAPBEXinputData 2" xfId="223" xr:uid="{00000000-0005-0000-0000-000093010000}"/>
    <cellStyle name="SAPBEXinputData 3" xfId="292" xr:uid="{00000000-0005-0000-0000-000094010000}"/>
    <cellStyle name="SAPBEXresData" xfId="157" xr:uid="{00000000-0005-0000-0000-000095010000}"/>
    <cellStyle name="SAPBEXresDataEmph" xfId="158" xr:uid="{00000000-0005-0000-0000-000096010000}"/>
    <cellStyle name="SAPBEXresItem" xfId="159" xr:uid="{00000000-0005-0000-0000-000097010000}"/>
    <cellStyle name="SAPBEXresItemX" xfId="160" xr:uid="{00000000-0005-0000-0000-000098010000}"/>
    <cellStyle name="SAPBEXstdData" xfId="44" xr:uid="{00000000-0005-0000-0000-000099010000}"/>
    <cellStyle name="SAPBEXstdDataEmph" xfId="161" xr:uid="{00000000-0005-0000-0000-00009A010000}"/>
    <cellStyle name="SAPBEXstdItem" xfId="43" xr:uid="{00000000-0005-0000-0000-00009B010000}"/>
    <cellStyle name="SAPBEXstdItemX" xfId="162" xr:uid="{00000000-0005-0000-0000-00009C010000}"/>
    <cellStyle name="SAPBEXtitle" xfId="163" xr:uid="{00000000-0005-0000-0000-00009D010000}"/>
    <cellStyle name="SAPBEXtitle 2" xfId="228" xr:uid="{00000000-0005-0000-0000-00009E010000}"/>
    <cellStyle name="SAPBEXtitle 3" xfId="301" xr:uid="{00000000-0005-0000-0000-00009F010000}"/>
    <cellStyle name="SAPBEXundefined" xfId="164" xr:uid="{00000000-0005-0000-0000-0000A0010000}"/>
    <cellStyle name="Sheet Title" xfId="165" xr:uid="{00000000-0005-0000-0000-0000A1010000}"/>
    <cellStyle name="Title" xfId="1" builtinId="15" customBuiltin="1"/>
    <cellStyle name="Title 2" xfId="336" xr:uid="{00000000-0005-0000-0000-0000A3010000}"/>
    <cellStyle name="Total" xfId="17" builtinId="25" customBuiltin="1"/>
    <cellStyle name="Total 2" xfId="166" xr:uid="{00000000-0005-0000-0000-0000A5010000}"/>
    <cellStyle name="Total 3" xfId="81" xr:uid="{00000000-0005-0000-0000-0000A6010000}"/>
    <cellStyle name="Total 4" xfId="266" xr:uid="{00000000-0005-0000-0000-0000A7010000}"/>
    <cellStyle name="Total 5" xfId="376" xr:uid="{00000000-0005-0000-0000-0000A8010000}"/>
    <cellStyle name="Warning Text" xfId="14" builtinId="11" customBuiltin="1"/>
    <cellStyle name="Warning Text 2" xfId="167" xr:uid="{00000000-0005-0000-0000-0000AA010000}"/>
    <cellStyle name="Warning Text 3" xfId="59" xr:uid="{00000000-0005-0000-0000-0000AB010000}"/>
    <cellStyle name="Warning Text 4" xfId="272" xr:uid="{00000000-0005-0000-0000-0000AC010000}"/>
    <cellStyle name="Warning Text 5" xfId="380" xr:uid="{00000000-0005-0000-0000-0000A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317500</xdr:colOff>
      <xdr:row>45</xdr:row>
      <xdr:rowOff>133350</xdr:rowOff>
    </xdr:from>
    <xdr:to>
      <xdr:col>12</xdr:col>
      <xdr:colOff>6350</xdr:colOff>
      <xdr:row>49</xdr:row>
      <xdr:rowOff>107950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72CD079-76CF-4A71-846E-A84CAB6463D4}"/>
            </a:ext>
          </a:extLst>
        </xdr:cNvPr>
        <xdr:cNvSpPr txBox="1"/>
      </xdr:nvSpPr>
      <xdr:spPr>
        <a:xfrm>
          <a:off x="4159250" y="6572250"/>
          <a:ext cx="2228850" cy="63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Note: MAST costs are included in the "Meter-to-Cash" study and are included in the Embedded</a:t>
          </a:r>
          <a:r>
            <a:rPr lang="en-US" sz="800" baseline="0"/>
            <a:t> Cost</a:t>
          </a:r>
          <a:r>
            <a:rPr lang="en-US" sz="800"/>
            <a:t> model as "Incremental</a:t>
          </a:r>
          <a:r>
            <a:rPr lang="en-US" sz="800" baseline="0"/>
            <a:t> Account Services Costs per Customer."</a:t>
          </a:r>
          <a:endParaRPr lang="en-US" sz="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28</xdr:row>
      <xdr:rowOff>0</xdr:rowOff>
    </xdr:from>
    <xdr:to>
      <xdr:col>31</xdr:col>
      <xdr:colOff>682625</xdr:colOff>
      <xdr:row>37</xdr:row>
      <xdr:rowOff>149225</xdr:rowOff>
    </xdr:to>
    <xdr:pic>
      <xdr:nvPicPr>
        <xdr:cNvPr id="2" name="BExF0TRP69CY12FADCXDP8ECDOF7" descr="analysis_prev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5934075"/>
          <a:ext cx="2276157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22225</xdr:colOff>
      <xdr:row>28</xdr:row>
      <xdr:rowOff>9525</xdr:rowOff>
    </xdr:from>
    <xdr:to>
      <xdr:col>5</xdr:col>
      <xdr:colOff>73025</xdr:colOff>
      <xdr:row>28</xdr:row>
      <xdr:rowOff>66675</xdr:rowOff>
    </xdr:to>
    <xdr:pic>
      <xdr:nvPicPr>
        <xdr:cNvPr id="3" name="BExIJ4OM1I83BRE07IY5S48L67IC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" y="5943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22225</xdr:colOff>
      <xdr:row>28</xdr:row>
      <xdr:rowOff>85725</xdr:rowOff>
    </xdr:from>
    <xdr:to>
      <xdr:col>5</xdr:col>
      <xdr:colOff>73025</xdr:colOff>
      <xdr:row>28</xdr:row>
      <xdr:rowOff>142875</xdr:rowOff>
    </xdr:to>
    <xdr:pic>
      <xdr:nvPicPr>
        <xdr:cNvPr id="4" name="BExXS4AXIQ7ZRBMMQE4DSWJND5MR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00" y="6019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28</xdr:row>
      <xdr:rowOff>9525</xdr:rowOff>
    </xdr:from>
    <xdr:to>
      <xdr:col>6</xdr:col>
      <xdr:colOff>76200</xdr:colOff>
      <xdr:row>28</xdr:row>
      <xdr:rowOff>66675</xdr:rowOff>
    </xdr:to>
    <xdr:pic>
      <xdr:nvPicPr>
        <xdr:cNvPr id="5" name="BExVYS6ETN7IKF4YPDM3SS600KL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800" y="5943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25400</xdr:colOff>
      <xdr:row>28</xdr:row>
      <xdr:rowOff>85725</xdr:rowOff>
    </xdr:from>
    <xdr:to>
      <xdr:col>6</xdr:col>
      <xdr:colOff>76200</xdr:colOff>
      <xdr:row>28</xdr:row>
      <xdr:rowOff>142875</xdr:rowOff>
    </xdr:to>
    <xdr:pic>
      <xdr:nvPicPr>
        <xdr:cNvPr id="6" name="BEx1Y93TK4LMXMLTY6Z3RN0K5Y8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800" y="6019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25400</xdr:colOff>
      <xdr:row>28</xdr:row>
      <xdr:rowOff>9525</xdr:rowOff>
    </xdr:from>
    <xdr:to>
      <xdr:col>7</xdr:col>
      <xdr:colOff>76200</xdr:colOff>
      <xdr:row>28</xdr:row>
      <xdr:rowOff>66675</xdr:rowOff>
    </xdr:to>
    <xdr:pic>
      <xdr:nvPicPr>
        <xdr:cNvPr id="7" name="BExTZX1O4SMMN9ZSCQX61Y9OXDSQ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8200" y="5943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25400</xdr:colOff>
      <xdr:row>28</xdr:row>
      <xdr:rowOff>85725</xdr:rowOff>
    </xdr:from>
    <xdr:to>
      <xdr:col>7</xdr:col>
      <xdr:colOff>76200</xdr:colOff>
      <xdr:row>28</xdr:row>
      <xdr:rowOff>142875</xdr:rowOff>
    </xdr:to>
    <xdr:pic>
      <xdr:nvPicPr>
        <xdr:cNvPr id="8" name="BEx3C5AESOON7YG3FC07TVY307G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8200" y="6019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8</xdr:col>
      <xdr:colOff>22225</xdr:colOff>
      <xdr:row>28</xdr:row>
      <xdr:rowOff>9525</xdr:rowOff>
    </xdr:from>
    <xdr:to>
      <xdr:col>8</xdr:col>
      <xdr:colOff>73025</xdr:colOff>
      <xdr:row>28</xdr:row>
      <xdr:rowOff>66675</xdr:rowOff>
    </xdr:to>
    <xdr:pic>
      <xdr:nvPicPr>
        <xdr:cNvPr id="9" name="BExW5JOK12RJKSMPF9OTI0263FSC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0900" y="5943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8</xdr:col>
      <xdr:colOff>22225</xdr:colOff>
      <xdr:row>28</xdr:row>
      <xdr:rowOff>85725</xdr:rowOff>
    </xdr:from>
    <xdr:to>
      <xdr:col>8</xdr:col>
      <xdr:colOff>73025</xdr:colOff>
      <xdr:row>28</xdr:row>
      <xdr:rowOff>142875</xdr:rowOff>
    </xdr:to>
    <xdr:pic>
      <xdr:nvPicPr>
        <xdr:cNvPr id="10" name="BExD9A2RDANPCETKN2U5HATCJO0K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0900" y="6019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28</xdr:row>
      <xdr:rowOff>9525</xdr:rowOff>
    </xdr:from>
    <xdr:to>
      <xdr:col>9</xdr:col>
      <xdr:colOff>85725</xdr:colOff>
      <xdr:row>28</xdr:row>
      <xdr:rowOff>66675</xdr:rowOff>
    </xdr:to>
    <xdr:pic>
      <xdr:nvPicPr>
        <xdr:cNvPr id="11" name="BExVRB1MITAY3MEI7EJBH6EFXOES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5943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9</xdr:col>
      <xdr:colOff>28575</xdr:colOff>
      <xdr:row>28</xdr:row>
      <xdr:rowOff>85725</xdr:rowOff>
    </xdr:from>
    <xdr:to>
      <xdr:col>9</xdr:col>
      <xdr:colOff>85725</xdr:colOff>
      <xdr:row>28</xdr:row>
      <xdr:rowOff>142875</xdr:rowOff>
    </xdr:to>
    <xdr:pic>
      <xdr:nvPicPr>
        <xdr:cNvPr id="12" name="BExB412VN27K4L5OIYUOMP1G3529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6019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10</xdr:col>
      <xdr:colOff>22225</xdr:colOff>
      <xdr:row>28</xdr:row>
      <xdr:rowOff>9525</xdr:rowOff>
    </xdr:from>
    <xdr:to>
      <xdr:col>10</xdr:col>
      <xdr:colOff>73025</xdr:colOff>
      <xdr:row>28</xdr:row>
      <xdr:rowOff>66675</xdr:rowOff>
    </xdr:to>
    <xdr:pic>
      <xdr:nvPicPr>
        <xdr:cNvPr id="13" name="BExBDBE553RIMXTI1K0N25E0BJNK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5943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10</xdr:col>
      <xdr:colOff>22225</xdr:colOff>
      <xdr:row>28</xdr:row>
      <xdr:rowOff>85725</xdr:rowOff>
    </xdr:from>
    <xdr:to>
      <xdr:col>10</xdr:col>
      <xdr:colOff>73025</xdr:colOff>
      <xdr:row>28</xdr:row>
      <xdr:rowOff>142875</xdr:rowOff>
    </xdr:to>
    <xdr:pic>
      <xdr:nvPicPr>
        <xdr:cNvPr id="14" name="BExAXHYSLH1N6MGG8QRE9EWH56F0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6019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28</xdr:row>
      <xdr:rowOff>9525</xdr:rowOff>
    </xdr:from>
    <xdr:to>
      <xdr:col>11</xdr:col>
      <xdr:colOff>85725</xdr:colOff>
      <xdr:row>28</xdr:row>
      <xdr:rowOff>66675</xdr:rowOff>
    </xdr:to>
    <xdr:pic>
      <xdr:nvPicPr>
        <xdr:cNvPr id="15" name="BExQGDXDCET8SMG6VB2XMUZKKJKF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5943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11</xdr:col>
      <xdr:colOff>28575</xdr:colOff>
      <xdr:row>28</xdr:row>
      <xdr:rowOff>85725</xdr:rowOff>
    </xdr:from>
    <xdr:to>
      <xdr:col>11</xdr:col>
      <xdr:colOff>85725</xdr:colOff>
      <xdr:row>28</xdr:row>
      <xdr:rowOff>142875</xdr:rowOff>
    </xdr:to>
    <xdr:pic>
      <xdr:nvPicPr>
        <xdr:cNvPr id="16" name="BExBC2L5W5D29FYW3KU9KT75OO1V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6019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12</xdr:col>
      <xdr:colOff>22225</xdr:colOff>
      <xdr:row>28</xdr:row>
      <xdr:rowOff>9525</xdr:rowOff>
    </xdr:from>
    <xdr:to>
      <xdr:col>12</xdr:col>
      <xdr:colOff>73025</xdr:colOff>
      <xdr:row>28</xdr:row>
      <xdr:rowOff>66675</xdr:rowOff>
    </xdr:to>
    <xdr:pic>
      <xdr:nvPicPr>
        <xdr:cNvPr id="17" name="BExB3QL9OCZXS79TDR4NHZA8QV59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5100" y="5943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12</xdr:col>
      <xdr:colOff>22225</xdr:colOff>
      <xdr:row>28</xdr:row>
      <xdr:rowOff>85725</xdr:rowOff>
    </xdr:from>
    <xdr:to>
      <xdr:col>12</xdr:col>
      <xdr:colOff>73025</xdr:colOff>
      <xdr:row>28</xdr:row>
      <xdr:rowOff>142875</xdr:rowOff>
    </xdr:to>
    <xdr:pic>
      <xdr:nvPicPr>
        <xdr:cNvPr id="18" name="BExBC5QK4ZM24RV7UYU26YZPCYUP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5100" y="6019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</xdr:colOff>
      <xdr:row>28</xdr:row>
      <xdr:rowOff>9525</xdr:rowOff>
    </xdr:from>
    <xdr:to>
      <xdr:col>13</xdr:col>
      <xdr:colOff>85725</xdr:colOff>
      <xdr:row>28</xdr:row>
      <xdr:rowOff>66675</xdr:rowOff>
    </xdr:to>
    <xdr:pic>
      <xdr:nvPicPr>
        <xdr:cNvPr id="19" name="BEx9GUFJRG9WJV3NP0AOK5HFK6HK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0" y="5943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13</xdr:col>
      <xdr:colOff>28575</xdr:colOff>
      <xdr:row>28</xdr:row>
      <xdr:rowOff>85725</xdr:rowOff>
    </xdr:from>
    <xdr:to>
      <xdr:col>13</xdr:col>
      <xdr:colOff>85725</xdr:colOff>
      <xdr:row>28</xdr:row>
      <xdr:rowOff>142875</xdr:rowOff>
    </xdr:to>
    <xdr:pic>
      <xdr:nvPicPr>
        <xdr:cNvPr id="20" name="BEx3NK11CNDRASRNI0Y2JM8O552W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0" y="6019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14</xdr:col>
      <xdr:colOff>22225</xdr:colOff>
      <xdr:row>28</xdr:row>
      <xdr:rowOff>9525</xdr:rowOff>
    </xdr:from>
    <xdr:to>
      <xdr:col>14</xdr:col>
      <xdr:colOff>73025</xdr:colOff>
      <xdr:row>28</xdr:row>
      <xdr:rowOff>66675</xdr:rowOff>
    </xdr:to>
    <xdr:pic>
      <xdr:nvPicPr>
        <xdr:cNvPr id="21" name="BExS6MF1OQFSG7A3R5I6KILUZWCX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200" y="5943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14</xdr:col>
      <xdr:colOff>22225</xdr:colOff>
      <xdr:row>28</xdr:row>
      <xdr:rowOff>85725</xdr:rowOff>
    </xdr:from>
    <xdr:to>
      <xdr:col>14</xdr:col>
      <xdr:colOff>73025</xdr:colOff>
      <xdr:row>28</xdr:row>
      <xdr:rowOff>142875</xdr:rowOff>
    </xdr:to>
    <xdr:pic>
      <xdr:nvPicPr>
        <xdr:cNvPr id="22" name="BExO9JOUSFS3HP9XZ2KPF9WBPNYM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7200" y="6019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15</xdr:col>
      <xdr:colOff>28575</xdr:colOff>
      <xdr:row>28</xdr:row>
      <xdr:rowOff>9525</xdr:rowOff>
    </xdr:from>
    <xdr:to>
      <xdr:col>15</xdr:col>
      <xdr:colOff>85725</xdr:colOff>
      <xdr:row>28</xdr:row>
      <xdr:rowOff>66675</xdr:rowOff>
    </xdr:to>
    <xdr:pic>
      <xdr:nvPicPr>
        <xdr:cNvPr id="23" name="BEx9ICDIQ5H70HOZGWOH6HTIQ1K0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4600" y="5943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15</xdr:col>
      <xdr:colOff>28575</xdr:colOff>
      <xdr:row>28</xdr:row>
      <xdr:rowOff>85725</xdr:rowOff>
    </xdr:from>
    <xdr:to>
      <xdr:col>15</xdr:col>
      <xdr:colOff>85725</xdr:colOff>
      <xdr:row>28</xdr:row>
      <xdr:rowOff>142875</xdr:rowOff>
    </xdr:to>
    <xdr:pic>
      <xdr:nvPicPr>
        <xdr:cNvPr id="24" name="BExZLO7ZX3VG6QG3E1A58VOMQHFE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34600" y="6019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16</xdr:col>
      <xdr:colOff>22225</xdr:colOff>
      <xdr:row>28</xdr:row>
      <xdr:rowOff>9525</xdr:rowOff>
    </xdr:from>
    <xdr:to>
      <xdr:col>16</xdr:col>
      <xdr:colOff>73025</xdr:colOff>
      <xdr:row>28</xdr:row>
      <xdr:rowOff>66675</xdr:rowOff>
    </xdr:to>
    <xdr:pic>
      <xdr:nvPicPr>
        <xdr:cNvPr id="25" name="BExW0B62BZFGW10D58MSMF8IZABF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9300" y="5943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16</xdr:col>
      <xdr:colOff>22225</xdr:colOff>
      <xdr:row>28</xdr:row>
      <xdr:rowOff>85725</xdr:rowOff>
    </xdr:from>
    <xdr:to>
      <xdr:col>16</xdr:col>
      <xdr:colOff>73025</xdr:colOff>
      <xdr:row>28</xdr:row>
      <xdr:rowOff>142875</xdr:rowOff>
    </xdr:to>
    <xdr:pic>
      <xdr:nvPicPr>
        <xdr:cNvPr id="26" name="BExIGTTCON1369QUUAQLGIFUOFVS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9300" y="6019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17</xdr:col>
      <xdr:colOff>28575</xdr:colOff>
      <xdr:row>28</xdr:row>
      <xdr:rowOff>9525</xdr:rowOff>
    </xdr:from>
    <xdr:to>
      <xdr:col>17</xdr:col>
      <xdr:colOff>85725</xdr:colOff>
      <xdr:row>28</xdr:row>
      <xdr:rowOff>66675</xdr:rowOff>
    </xdr:to>
    <xdr:pic>
      <xdr:nvPicPr>
        <xdr:cNvPr id="27" name="BEx7HF7WMGMPBFIZWP778QHQO2EK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6700" y="5943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17</xdr:col>
      <xdr:colOff>28575</xdr:colOff>
      <xdr:row>28</xdr:row>
      <xdr:rowOff>85725</xdr:rowOff>
    </xdr:from>
    <xdr:to>
      <xdr:col>17</xdr:col>
      <xdr:colOff>85725</xdr:colOff>
      <xdr:row>28</xdr:row>
      <xdr:rowOff>142875</xdr:rowOff>
    </xdr:to>
    <xdr:pic>
      <xdr:nvPicPr>
        <xdr:cNvPr id="28" name="BExB3YOK8WYL8DEVKQFKTB910XWA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96700" y="6019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18</xdr:col>
      <xdr:colOff>22225</xdr:colOff>
      <xdr:row>28</xdr:row>
      <xdr:rowOff>9525</xdr:rowOff>
    </xdr:from>
    <xdr:to>
      <xdr:col>18</xdr:col>
      <xdr:colOff>73025</xdr:colOff>
      <xdr:row>28</xdr:row>
      <xdr:rowOff>66675</xdr:rowOff>
    </xdr:to>
    <xdr:pic>
      <xdr:nvPicPr>
        <xdr:cNvPr id="29" name="BExB74PXSVEJOPO2ZWURJZ7Y8PD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1400" y="5943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18</xdr:col>
      <xdr:colOff>22225</xdr:colOff>
      <xdr:row>28</xdr:row>
      <xdr:rowOff>85725</xdr:rowOff>
    </xdr:from>
    <xdr:to>
      <xdr:col>18</xdr:col>
      <xdr:colOff>73025</xdr:colOff>
      <xdr:row>28</xdr:row>
      <xdr:rowOff>142875</xdr:rowOff>
    </xdr:to>
    <xdr:pic>
      <xdr:nvPicPr>
        <xdr:cNvPr id="30" name="BEx1YXZBEMO5HVNFAYON5214WYSF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1400" y="6019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19</xdr:col>
      <xdr:colOff>28575</xdr:colOff>
      <xdr:row>28</xdr:row>
      <xdr:rowOff>9525</xdr:rowOff>
    </xdr:from>
    <xdr:to>
      <xdr:col>19</xdr:col>
      <xdr:colOff>85725</xdr:colOff>
      <xdr:row>28</xdr:row>
      <xdr:rowOff>66675</xdr:rowOff>
    </xdr:to>
    <xdr:pic>
      <xdr:nvPicPr>
        <xdr:cNvPr id="31" name="BExB4EF33HOSF1ZRCDWOGURVTYU9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8800" y="5943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19</xdr:col>
      <xdr:colOff>28575</xdr:colOff>
      <xdr:row>28</xdr:row>
      <xdr:rowOff>85725</xdr:rowOff>
    </xdr:from>
    <xdr:to>
      <xdr:col>19</xdr:col>
      <xdr:colOff>85725</xdr:colOff>
      <xdr:row>28</xdr:row>
      <xdr:rowOff>142875</xdr:rowOff>
    </xdr:to>
    <xdr:pic>
      <xdr:nvPicPr>
        <xdr:cNvPr id="32" name="BEx7NAIFAE6TDK46HETR9OFZUDT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8800" y="6019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20</xdr:col>
      <xdr:colOff>22225</xdr:colOff>
      <xdr:row>28</xdr:row>
      <xdr:rowOff>9525</xdr:rowOff>
    </xdr:from>
    <xdr:to>
      <xdr:col>20</xdr:col>
      <xdr:colOff>73025</xdr:colOff>
      <xdr:row>28</xdr:row>
      <xdr:rowOff>66675</xdr:rowOff>
    </xdr:to>
    <xdr:pic>
      <xdr:nvPicPr>
        <xdr:cNvPr id="33" name="BExW3P5ADGUIS01Y3R8WI2RG9UWU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3500" y="5943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20</xdr:col>
      <xdr:colOff>22225</xdr:colOff>
      <xdr:row>28</xdr:row>
      <xdr:rowOff>85725</xdr:rowOff>
    </xdr:from>
    <xdr:to>
      <xdr:col>20</xdr:col>
      <xdr:colOff>73025</xdr:colOff>
      <xdr:row>28</xdr:row>
      <xdr:rowOff>142875</xdr:rowOff>
    </xdr:to>
    <xdr:pic>
      <xdr:nvPicPr>
        <xdr:cNvPr id="34" name="BExB5QTIF6G8N6W342Y9ELQ5IT38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3500" y="6019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21</xdr:col>
      <xdr:colOff>28575</xdr:colOff>
      <xdr:row>28</xdr:row>
      <xdr:rowOff>9525</xdr:rowOff>
    </xdr:from>
    <xdr:to>
      <xdr:col>21</xdr:col>
      <xdr:colOff>85725</xdr:colOff>
      <xdr:row>28</xdr:row>
      <xdr:rowOff>66675</xdr:rowOff>
    </xdr:to>
    <xdr:pic>
      <xdr:nvPicPr>
        <xdr:cNvPr id="35" name="BExZJZOIBAALFZ7FOP42PBIRQ29M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5200" y="5943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21</xdr:col>
      <xdr:colOff>28575</xdr:colOff>
      <xdr:row>28</xdr:row>
      <xdr:rowOff>85725</xdr:rowOff>
    </xdr:from>
    <xdr:to>
      <xdr:col>21</xdr:col>
      <xdr:colOff>85725</xdr:colOff>
      <xdr:row>28</xdr:row>
      <xdr:rowOff>142875</xdr:rowOff>
    </xdr:to>
    <xdr:pic>
      <xdr:nvPicPr>
        <xdr:cNvPr id="36" name="BEx1J0T0TTC5FDX4OT0E2HPA8M7O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35200" y="6019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22</xdr:col>
      <xdr:colOff>22225</xdr:colOff>
      <xdr:row>28</xdr:row>
      <xdr:rowOff>9525</xdr:rowOff>
    </xdr:from>
    <xdr:to>
      <xdr:col>22</xdr:col>
      <xdr:colOff>73025</xdr:colOff>
      <xdr:row>28</xdr:row>
      <xdr:rowOff>66675</xdr:rowOff>
    </xdr:to>
    <xdr:pic>
      <xdr:nvPicPr>
        <xdr:cNvPr id="37" name="BEx5DOMEPGP3CTKODGJV2H6V9Z3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09900" y="5943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22</xdr:col>
      <xdr:colOff>22225</xdr:colOff>
      <xdr:row>28</xdr:row>
      <xdr:rowOff>85725</xdr:rowOff>
    </xdr:from>
    <xdr:to>
      <xdr:col>22</xdr:col>
      <xdr:colOff>73025</xdr:colOff>
      <xdr:row>28</xdr:row>
      <xdr:rowOff>142875</xdr:rowOff>
    </xdr:to>
    <xdr:pic>
      <xdr:nvPicPr>
        <xdr:cNvPr id="38" name="BExF6UWFAJ82K2ACKRB5QAKNUC5M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09900" y="6019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23</xdr:col>
      <xdr:colOff>28575</xdr:colOff>
      <xdr:row>28</xdr:row>
      <xdr:rowOff>9525</xdr:rowOff>
    </xdr:from>
    <xdr:to>
      <xdr:col>23</xdr:col>
      <xdr:colOff>85725</xdr:colOff>
      <xdr:row>28</xdr:row>
      <xdr:rowOff>66675</xdr:rowOff>
    </xdr:to>
    <xdr:pic>
      <xdr:nvPicPr>
        <xdr:cNvPr id="39" name="BExB69ULIDQ1ZG1Y87LOP6VP2IR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7300" y="5943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23</xdr:col>
      <xdr:colOff>28575</xdr:colOff>
      <xdr:row>28</xdr:row>
      <xdr:rowOff>85725</xdr:rowOff>
    </xdr:from>
    <xdr:to>
      <xdr:col>23</xdr:col>
      <xdr:colOff>85725</xdr:colOff>
      <xdr:row>28</xdr:row>
      <xdr:rowOff>142875</xdr:rowOff>
    </xdr:to>
    <xdr:pic>
      <xdr:nvPicPr>
        <xdr:cNvPr id="40" name="BEx7L9J7Q883U55KBRKKWYMCZG1W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97300" y="6019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24</xdr:col>
      <xdr:colOff>22225</xdr:colOff>
      <xdr:row>28</xdr:row>
      <xdr:rowOff>9525</xdr:rowOff>
    </xdr:from>
    <xdr:to>
      <xdr:col>24</xdr:col>
      <xdr:colOff>73025</xdr:colOff>
      <xdr:row>28</xdr:row>
      <xdr:rowOff>66675</xdr:rowOff>
    </xdr:to>
    <xdr:pic>
      <xdr:nvPicPr>
        <xdr:cNvPr id="41" name="BEx3IO3TGVWXUVAMZXK7LJ2QUSXW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72000" y="5943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24</xdr:col>
      <xdr:colOff>22225</xdr:colOff>
      <xdr:row>28</xdr:row>
      <xdr:rowOff>85725</xdr:rowOff>
    </xdr:from>
    <xdr:to>
      <xdr:col>24</xdr:col>
      <xdr:colOff>73025</xdr:colOff>
      <xdr:row>28</xdr:row>
      <xdr:rowOff>142875</xdr:rowOff>
    </xdr:to>
    <xdr:pic>
      <xdr:nvPicPr>
        <xdr:cNvPr id="42" name="BEx3DH8P68ZSB3DC52QE0DGZ1AVR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72000" y="6019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25</xdr:col>
      <xdr:colOff>28575</xdr:colOff>
      <xdr:row>28</xdr:row>
      <xdr:rowOff>9525</xdr:rowOff>
    </xdr:from>
    <xdr:to>
      <xdr:col>25</xdr:col>
      <xdr:colOff>85725</xdr:colOff>
      <xdr:row>28</xdr:row>
      <xdr:rowOff>66675</xdr:rowOff>
    </xdr:to>
    <xdr:pic>
      <xdr:nvPicPr>
        <xdr:cNvPr id="43" name="BExIWOLBWSV9XQWF2X44WY0A3MU8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59400" y="5943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25</xdr:col>
      <xdr:colOff>28575</xdr:colOff>
      <xdr:row>28</xdr:row>
      <xdr:rowOff>85725</xdr:rowOff>
    </xdr:from>
    <xdr:to>
      <xdr:col>25</xdr:col>
      <xdr:colOff>85725</xdr:colOff>
      <xdr:row>28</xdr:row>
      <xdr:rowOff>142875</xdr:rowOff>
    </xdr:to>
    <xdr:pic>
      <xdr:nvPicPr>
        <xdr:cNvPr id="44" name="BExZV7IZ9Y76FJ1NRTVJYNGND4TO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59400" y="6019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26</xdr:col>
      <xdr:colOff>22225</xdr:colOff>
      <xdr:row>28</xdr:row>
      <xdr:rowOff>9525</xdr:rowOff>
    </xdr:from>
    <xdr:to>
      <xdr:col>26</xdr:col>
      <xdr:colOff>73025</xdr:colOff>
      <xdr:row>28</xdr:row>
      <xdr:rowOff>66675</xdr:rowOff>
    </xdr:to>
    <xdr:pic>
      <xdr:nvPicPr>
        <xdr:cNvPr id="45" name="BExZLBS6PSL7M6KAFAZ4I99JMSF8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34100" y="5943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26</xdr:col>
      <xdr:colOff>22225</xdr:colOff>
      <xdr:row>28</xdr:row>
      <xdr:rowOff>85725</xdr:rowOff>
    </xdr:from>
    <xdr:to>
      <xdr:col>26</xdr:col>
      <xdr:colOff>73025</xdr:colOff>
      <xdr:row>28</xdr:row>
      <xdr:rowOff>142875</xdr:rowOff>
    </xdr:to>
    <xdr:pic>
      <xdr:nvPicPr>
        <xdr:cNvPr id="46" name="BExKLFL41LOSUSPRIC5DE2BBOGIU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34100" y="6019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27</xdr:col>
      <xdr:colOff>28575</xdr:colOff>
      <xdr:row>28</xdr:row>
      <xdr:rowOff>9525</xdr:rowOff>
    </xdr:from>
    <xdr:to>
      <xdr:col>27</xdr:col>
      <xdr:colOff>85725</xdr:colOff>
      <xdr:row>28</xdr:row>
      <xdr:rowOff>66675</xdr:rowOff>
    </xdr:to>
    <xdr:pic>
      <xdr:nvPicPr>
        <xdr:cNvPr id="47" name="BEx5O21OQHDH1FAJCCV6ZT2GXUFY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00" y="5943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27</xdr:col>
      <xdr:colOff>28575</xdr:colOff>
      <xdr:row>28</xdr:row>
      <xdr:rowOff>85725</xdr:rowOff>
    </xdr:from>
    <xdr:to>
      <xdr:col>27</xdr:col>
      <xdr:colOff>85725</xdr:colOff>
      <xdr:row>28</xdr:row>
      <xdr:rowOff>142875</xdr:rowOff>
    </xdr:to>
    <xdr:pic>
      <xdr:nvPicPr>
        <xdr:cNvPr id="48" name="BEx5NREPN20SCFF5A0UW0JCS4XT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00" y="6019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28</xdr:col>
      <xdr:colOff>22225</xdr:colOff>
      <xdr:row>28</xdr:row>
      <xdr:rowOff>9525</xdr:rowOff>
    </xdr:from>
    <xdr:to>
      <xdr:col>28</xdr:col>
      <xdr:colOff>73025</xdr:colOff>
      <xdr:row>28</xdr:row>
      <xdr:rowOff>66675</xdr:rowOff>
    </xdr:to>
    <xdr:pic>
      <xdr:nvPicPr>
        <xdr:cNvPr id="49" name="BExU2Q72DA46JI0QG4GYRWGW6UJD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96200" y="5943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28</xdr:col>
      <xdr:colOff>22225</xdr:colOff>
      <xdr:row>28</xdr:row>
      <xdr:rowOff>85725</xdr:rowOff>
    </xdr:from>
    <xdr:to>
      <xdr:col>28</xdr:col>
      <xdr:colOff>73025</xdr:colOff>
      <xdr:row>28</xdr:row>
      <xdr:rowOff>142875</xdr:rowOff>
    </xdr:to>
    <xdr:pic>
      <xdr:nvPicPr>
        <xdr:cNvPr id="50" name="BExCSMOFNBOZ5P7VMAJDDAQCCJ7A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96200" y="6019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29</xdr:col>
      <xdr:colOff>28575</xdr:colOff>
      <xdr:row>28</xdr:row>
      <xdr:rowOff>9525</xdr:rowOff>
    </xdr:from>
    <xdr:to>
      <xdr:col>29</xdr:col>
      <xdr:colOff>85725</xdr:colOff>
      <xdr:row>28</xdr:row>
      <xdr:rowOff>66675</xdr:rowOff>
    </xdr:to>
    <xdr:pic>
      <xdr:nvPicPr>
        <xdr:cNvPr id="51" name="BExVY302C6IFCVT4IAUMH4ZJO2C6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83600" y="5943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29</xdr:col>
      <xdr:colOff>28575</xdr:colOff>
      <xdr:row>28</xdr:row>
      <xdr:rowOff>85725</xdr:rowOff>
    </xdr:from>
    <xdr:to>
      <xdr:col>29</xdr:col>
      <xdr:colOff>85725</xdr:colOff>
      <xdr:row>28</xdr:row>
      <xdr:rowOff>142875</xdr:rowOff>
    </xdr:to>
    <xdr:pic>
      <xdr:nvPicPr>
        <xdr:cNvPr id="52" name="BExS8X4UYKNWQMT912U0C46L9EV8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83600" y="6019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30</xdr:col>
      <xdr:colOff>22225</xdr:colOff>
      <xdr:row>28</xdr:row>
      <xdr:rowOff>9525</xdr:rowOff>
    </xdr:from>
    <xdr:to>
      <xdr:col>30</xdr:col>
      <xdr:colOff>73025</xdr:colOff>
      <xdr:row>28</xdr:row>
      <xdr:rowOff>66675</xdr:rowOff>
    </xdr:to>
    <xdr:pic>
      <xdr:nvPicPr>
        <xdr:cNvPr id="53" name="BExIT7GVGH5BROK0XQL2EKTETBCU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58300" y="5943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30</xdr:col>
      <xdr:colOff>22225</xdr:colOff>
      <xdr:row>28</xdr:row>
      <xdr:rowOff>85725</xdr:rowOff>
    </xdr:from>
    <xdr:to>
      <xdr:col>30</xdr:col>
      <xdr:colOff>73025</xdr:colOff>
      <xdr:row>28</xdr:row>
      <xdr:rowOff>142875</xdr:rowOff>
    </xdr:to>
    <xdr:pic>
      <xdr:nvPicPr>
        <xdr:cNvPr id="54" name="BExW31GWPUC3N8NV5SAIQK40HTPS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58300" y="6019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31</xdr:col>
      <xdr:colOff>28575</xdr:colOff>
      <xdr:row>28</xdr:row>
      <xdr:rowOff>9525</xdr:rowOff>
    </xdr:from>
    <xdr:to>
      <xdr:col>31</xdr:col>
      <xdr:colOff>85725</xdr:colOff>
      <xdr:row>28</xdr:row>
      <xdr:rowOff>66675</xdr:rowOff>
    </xdr:to>
    <xdr:pic>
      <xdr:nvPicPr>
        <xdr:cNvPr id="55" name="BExMRKI0ZMFZ2QBY2L578OPBDFU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45700" y="5943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31</xdr:col>
      <xdr:colOff>28575</xdr:colOff>
      <xdr:row>28</xdr:row>
      <xdr:rowOff>85725</xdr:rowOff>
    </xdr:from>
    <xdr:to>
      <xdr:col>31</xdr:col>
      <xdr:colOff>85725</xdr:colOff>
      <xdr:row>28</xdr:row>
      <xdr:rowOff>142875</xdr:rowOff>
    </xdr:to>
    <xdr:pic>
      <xdr:nvPicPr>
        <xdr:cNvPr id="56" name="BExQFAYVWN3AK1P6T4K6FHLS5SLK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745700" y="6019800"/>
          <a:ext cx="50800" cy="508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31</xdr:col>
      <xdr:colOff>682625</xdr:colOff>
      <xdr:row>46</xdr:row>
      <xdr:rowOff>149225</xdr:rowOff>
    </xdr:to>
    <xdr:pic>
      <xdr:nvPicPr>
        <xdr:cNvPr id="57" name="BExSA7W0VVFJ548AZO2WDZ0C9UXN" descr="analysis_prev" hidden="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096000"/>
          <a:ext cx="25666700" cy="322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22225</xdr:colOff>
      <xdr:row>41</xdr:row>
      <xdr:rowOff>12700</xdr:rowOff>
    </xdr:from>
    <xdr:to>
      <xdr:col>2</xdr:col>
      <xdr:colOff>73025</xdr:colOff>
      <xdr:row>41</xdr:row>
      <xdr:rowOff>63500</xdr:rowOff>
    </xdr:to>
    <xdr:pic>
      <xdr:nvPicPr>
        <xdr:cNvPr id="58" name="BEx7FUQBJAZ0FSTK9HNYQQXO9BYP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6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</xdr:col>
      <xdr:colOff>22225</xdr:colOff>
      <xdr:row>41</xdr:row>
      <xdr:rowOff>88900</xdr:rowOff>
    </xdr:from>
    <xdr:to>
      <xdr:col>2</xdr:col>
      <xdr:colOff>73025</xdr:colOff>
      <xdr:row>41</xdr:row>
      <xdr:rowOff>139700</xdr:rowOff>
    </xdr:to>
    <xdr:pic>
      <xdr:nvPicPr>
        <xdr:cNvPr id="59" name="BExZHY3QXX82I4J7W3435PY0BT8V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6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</xdr:colOff>
      <xdr:row>41</xdr:row>
      <xdr:rowOff>12700</xdr:rowOff>
    </xdr:from>
    <xdr:to>
      <xdr:col>3</xdr:col>
      <xdr:colOff>76200</xdr:colOff>
      <xdr:row>41</xdr:row>
      <xdr:rowOff>63500</xdr:rowOff>
    </xdr:to>
    <xdr:pic>
      <xdr:nvPicPr>
        <xdr:cNvPr id="60" name="BEx1WWEKM6E8G7EZ7IECCJEIZUP5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37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25400</xdr:colOff>
      <xdr:row>41</xdr:row>
      <xdr:rowOff>88900</xdr:rowOff>
    </xdr:from>
    <xdr:to>
      <xdr:col>3</xdr:col>
      <xdr:colOff>76200</xdr:colOff>
      <xdr:row>41</xdr:row>
      <xdr:rowOff>139700</xdr:rowOff>
    </xdr:to>
    <xdr:pic>
      <xdr:nvPicPr>
        <xdr:cNvPr id="61" name="BExIMVUKD4UV9JHMUDLF5YX42RO6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37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41</xdr:row>
      <xdr:rowOff>12700</xdr:rowOff>
    </xdr:from>
    <xdr:to>
      <xdr:col>4</xdr:col>
      <xdr:colOff>85725</xdr:colOff>
      <xdr:row>41</xdr:row>
      <xdr:rowOff>63500</xdr:rowOff>
    </xdr:to>
    <xdr:pic>
      <xdr:nvPicPr>
        <xdr:cNvPr id="62" name="BEx91PFFX3A7QOXH5UASAMITBQN6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28575</xdr:colOff>
      <xdr:row>41</xdr:row>
      <xdr:rowOff>88900</xdr:rowOff>
    </xdr:from>
    <xdr:to>
      <xdr:col>4</xdr:col>
      <xdr:colOff>85725</xdr:colOff>
      <xdr:row>41</xdr:row>
      <xdr:rowOff>139700</xdr:rowOff>
    </xdr:to>
    <xdr:pic>
      <xdr:nvPicPr>
        <xdr:cNvPr id="63" name="BEx5GE0VSCEMTDMSBUT6N1HQXN16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22225</xdr:colOff>
      <xdr:row>41</xdr:row>
      <xdr:rowOff>12700</xdr:rowOff>
    </xdr:from>
    <xdr:to>
      <xdr:col>5</xdr:col>
      <xdr:colOff>73025</xdr:colOff>
      <xdr:row>41</xdr:row>
      <xdr:rowOff>63500</xdr:rowOff>
    </xdr:to>
    <xdr:pic>
      <xdr:nvPicPr>
        <xdr:cNvPr id="64" name="BEx74VVHFWGELAPMNP5DE4S6X2GC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46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22225</xdr:colOff>
      <xdr:row>41</xdr:row>
      <xdr:rowOff>88900</xdr:rowOff>
    </xdr:from>
    <xdr:to>
      <xdr:col>5</xdr:col>
      <xdr:colOff>73025</xdr:colOff>
      <xdr:row>41</xdr:row>
      <xdr:rowOff>139700</xdr:rowOff>
    </xdr:to>
    <xdr:pic>
      <xdr:nvPicPr>
        <xdr:cNvPr id="65" name="BExB2X2HQC1Z40XF6SAW3XFUVWGD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46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41</xdr:row>
      <xdr:rowOff>12700</xdr:rowOff>
    </xdr:from>
    <xdr:to>
      <xdr:col>6</xdr:col>
      <xdr:colOff>85725</xdr:colOff>
      <xdr:row>41</xdr:row>
      <xdr:rowOff>63500</xdr:rowOff>
    </xdr:to>
    <xdr:pic>
      <xdr:nvPicPr>
        <xdr:cNvPr id="66" name="BExGY2GFJGLJ0Y8Q6AJSWTL058UT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28575</xdr:colOff>
      <xdr:row>41</xdr:row>
      <xdr:rowOff>88900</xdr:rowOff>
    </xdr:from>
    <xdr:to>
      <xdr:col>6</xdr:col>
      <xdr:colOff>85725</xdr:colOff>
      <xdr:row>41</xdr:row>
      <xdr:rowOff>139700</xdr:rowOff>
    </xdr:to>
    <xdr:pic>
      <xdr:nvPicPr>
        <xdr:cNvPr id="67" name="BExGUUX9SWA940LL61OIIK3I2TO0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41</xdr:row>
      <xdr:rowOff>12700</xdr:rowOff>
    </xdr:from>
    <xdr:to>
      <xdr:col>7</xdr:col>
      <xdr:colOff>85725</xdr:colOff>
      <xdr:row>41</xdr:row>
      <xdr:rowOff>63500</xdr:rowOff>
    </xdr:to>
    <xdr:pic>
      <xdr:nvPicPr>
        <xdr:cNvPr id="68" name="BExF80K4KBH7ZGYR612O029WJN79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28575</xdr:colOff>
      <xdr:row>41</xdr:row>
      <xdr:rowOff>88900</xdr:rowOff>
    </xdr:from>
    <xdr:to>
      <xdr:col>7</xdr:col>
      <xdr:colOff>85725</xdr:colOff>
      <xdr:row>41</xdr:row>
      <xdr:rowOff>139700</xdr:rowOff>
    </xdr:to>
    <xdr:pic>
      <xdr:nvPicPr>
        <xdr:cNvPr id="69" name="BEx3EHT1B1QERXGX2KPKMARVPEGP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8</xdr:col>
      <xdr:colOff>25400</xdr:colOff>
      <xdr:row>41</xdr:row>
      <xdr:rowOff>12700</xdr:rowOff>
    </xdr:from>
    <xdr:to>
      <xdr:col>8</xdr:col>
      <xdr:colOff>76200</xdr:colOff>
      <xdr:row>41</xdr:row>
      <xdr:rowOff>63500</xdr:rowOff>
    </xdr:to>
    <xdr:pic>
      <xdr:nvPicPr>
        <xdr:cNvPr id="70" name="BExQ7YHFIGE1KFYMT7UVNAL64RWK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54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8</xdr:col>
      <xdr:colOff>25400</xdr:colOff>
      <xdr:row>41</xdr:row>
      <xdr:rowOff>88900</xdr:rowOff>
    </xdr:from>
    <xdr:to>
      <xdr:col>8</xdr:col>
      <xdr:colOff>76200</xdr:colOff>
      <xdr:row>41</xdr:row>
      <xdr:rowOff>139700</xdr:rowOff>
    </xdr:to>
    <xdr:pic>
      <xdr:nvPicPr>
        <xdr:cNvPr id="71" name="BExKJV8TA8XE4YRASDO2OSX1PYJ7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54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9</xdr:col>
      <xdr:colOff>31750</xdr:colOff>
      <xdr:row>41</xdr:row>
      <xdr:rowOff>12700</xdr:rowOff>
    </xdr:from>
    <xdr:to>
      <xdr:col>9</xdr:col>
      <xdr:colOff>82550</xdr:colOff>
      <xdr:row>41</xdr:row>
      <xdr:rowOff>63500</xdr:rowOff>
    </xdr:to>
    <xdr:pic>
      <xdr:nvPicPr>
        <xdr:cNvPr id="72" name="BExCU52ONH4GOHWRZWL1NQRCKRK9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28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9</xdr:col>
      <xdr:colOff>31750</xdr:colOff>
      <xdr:row>41</xdr:row>
      <xdr:rowOff>88900</xdr:rowOff>
    </xdr:from>
    <xdr:to>
      <xdr:col>9</xdr:col>
      <xdr:colOff>82550</xdr:colOff>
      <xdr:row>41</xdr:row>
      <xdr:rowOff>139700</xdr:rowOff>
    </xdr:to>
    <xdr:pic>
      <xdr:nvPicPr>
        <xdr:cNvPr id="73" name="BEx1NP8IAT3IX9B4VGOUEE4RJS3W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28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10</xdr:col>
      <xdr:colOff>25400</xdr:colOff>
      <xdr:row>41</xdr:row>
      <xdr:rowOff>12700</xdr:rowOff>
    </xdr:from>
    <xdr:to>
      <xdr:col>10</xdr:col>
      <xdr:colOff>76200</xdr:colOff>
      <xdr:row>41</xdr:row>
      <xdr:rowOff>63500</xdr:rowOff>
    </xdr:to>
    <xdr:pic>
      <xdr:nvPicPr>
        <xdr:cNvPr id="74" name="BExUANIBYP9EMD3HTAU6A6HJVB0I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75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10</xdr:col>
      <xdr:colOff>25400</xdr:colOff>
      <xdr:row>41</xdr:row>
      <xdr:rowOff>88900</xdr:rowOff>
    </xdr:from>
    <xdr:to>
      <xdr:col>10</xdr:col>
      <xdr:colOff>76200</xdr:colOff>
      <xdr:row>41</xdr:row>
      <xdr:rowOff>139700</xdr:rowOff>
    </xdr:to>
    <xdr:pic>
      <xdr:nvPicPr>
        <xdr:cNvPr id="75" name="BEx3S7K47AOCGW158ANFEIB8SIH0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75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</xdr:colOff>
      <xdr:row>41</xdr:row>
      <xdr:rowOff>12700</xdr:rowOff>
    </xdr:from>
    <xdr:to>
      <xdr:col>11</xdr:col>
      <xdr:colOff>63500</xdr:colOff>
      <xdr:row>41</xdr:row>
      <xdr:rowOff>63500</xdr:rowOff>
    </xdr:to>
    <xdr:pic>
      <xdr:nvPicPr>
        <xdr:cNvPr id="76" name="BExZVXQZFWFPMERZ76ZQG9I6IG7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11</xdr:col>
      <xdr:colOff>19050</xdr:colOff>
      <xdr:row>41</xdr:row>
      <xdr:rowOff>88900</xdr:rowOff>
    </xdr:from>
    <xdr:to>
      <xdr:col>11</xdr:col>
      <xdr:colOff>63500</xdr:colOff>
      <xdr:row>41</xdr:row>
      <xdr:rowOff>139700</xdr:rowOff>
    </xdr:to>
    <xdr:pic>
      <xdr:nvPicPr>
        <xdr:cNvPr id="77" name="BExQ6UMFK418A36HI0ZJ7ZEH7L8P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2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12</xdr:col>
      <xdr:colOff>25400</xdr:colOff>
      <xdr:row>41</xdr:row>
      <xdr:rowOff>12700</xdr:rowOff>
    </xdr:from>
    <xdr:to>
      <xdr:col>12</xdr:col>
      <xdr:colOff>76200</xdr:colOff>
      <xdr:row>41</xdr:row>
      <xdr:rowOff>63500</xdr:rowOff>
    </xdr:to>
    <xdr:pic>
      <xdr:nvPicPr>
        <xdr:cNvPr id="78" name="BExZT45I72AAY7DWRAM6QW9J9JAL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96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12</xdr:col>
      <xdr:colOff>25400</xdr:colOff>
      <xdr:row>41</xdr:row>
      <xdr:rowOff>88900</xdr:rowOff>
    </xdr:from>
    <xdr:to>
      <xdr:col>12</xdr:col>
      <xdr:colOff>76200</xdr:colOff>
      <xdr:row>41</xdr:row>
      <xdr:rowOff>139700</xdr:rowOff>
    </xdr:to>
    <xdr:pic>
      <xdr:nvPicPr>
        <xdr:cNvPr id="79" name="BEx5HDOUH1KV2JN43Y6O3NFHREO6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96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13</xdr:col>
      <xdr:colOff>31750</xdr:colOff>
      <xdr:row>41</xdr:row>
      <xdr:rowOff>12700</xdr:rowOff>
    </xdr:from>
    <xdr:to>
      <xdr:col>13</xdr:col>
      <xdr:colOff>82550</xdr:colOff>
      <xdr:row>41</xdr:row>
      <xdr:rowOff>63500</xdr:rowOff>
    </xdr:to>
    <xdr:pic>
      <xdr:nvPicPr>
        <xdr:cNvPr id="80" name="BExOFQD7D4B2LIR0AE50NZGDDJE5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13</xdr:col>
      <xdr:colOff>31750</xdr:colOff>
      <xdr:row>41</xdr:row>
      <xdr:rowOff>88900</xdr:rowOff>
    </xdr:from>
    <xdr:to>
      <xdr:col>13</xdr:col>
      <xdr:colOff>82550</xdr:colOff>
      <xdr:row>41</xdr:row>
      <xdr:rowOff>139700</xdr:rowOff>
    </xdr:to>
    <xdr:pic>
      <xdr:nvPicPr>
        <xdr:cNvPr id="81" name="BExW29ASDF3JISUFI650D5Z9EJR7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14</xdr:col>
      <xdr:colOff>25400</xdr:colOff>
      <xdr:row>41</xdr:row>
      <xdr:rowOff>12700</xdr:rowOff>
    </xdr:from>
    <xdr:to>
      <xdr:col>14</xdr:col>
      <xdr:colOff>76200</xdr:colOff>
      <xdr:row>41</xdr:row>
      <xdr:rowOff>63500</xdr:rowOff>
    </xdr:to>
    <xdr:pic>
      <xdr:nvPicPr>
        <xdr:cNvPr id="82" name="BExD1OWFX8XF2GB8MCS32KZHO2MY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17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14</xdr:col>
      <xdr:colOff>25400</xdr:colOff>
      <xdr:row>41</xdr:row>
      <xdr:rowOff>88900</xdr:rowOff>
    </xdr:from>
    <xdr:to>
      <xdr:col>14</xdr:col>
      <xdr:colOff>76200</xdr:colOff>
      <xdr:row>41</xdr:row>
      <xdr:rowOff>139700</xdr:rowOff>
    </xdr:to>
    <xdr:pic>
      <xdr:nvPicPr>
        <xdr:cNvPr id="83" name="BEx3EA0K35IV5YMR7FSZ342P2T24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17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</xdr:colOff>
      <xdr:row>41</xdr:row>
      <xdr:rowOff>12700</xdr:rowOff>
    </xdr:from>
    <xdr:to>
      <xdr:col>15</xdr:col>
      <xdr:colOff>63500</xdr:colOff>
      <xdr:row>41</xdr:row>
      <xdr:rowOff>63500</xdr:rowOff>
    </xdr:to>
    <xdr:pic>
      <xdr:nvPicPr>
        <xdr:cNvPr id="84" name="BExIJCBNPSGR9Z1YDPCO44FSLTDW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15</xdr:col>
      <xdr:colOff>19050</xdr:colOff>
      <xdr:row>41</xdr:row>
      <xdr:rowOff>88900</xdr:rowOff>
    </xdr:from>
    <xdr:to>
      <xdr:col>15</xdr:col>
      <xdr:colOff>63500</xdr:colOff>
      <xdr:row>41</xdr:row>
      <xdr:rowOff>139700</xdr:rowOff>
    </xdr:to>
    <xdr:pic>
      <xdr:nvPicPr>
        <xdr:cNvPr id="85" name="BExGUZ45XI7ZSRKRKC5LK9980WFY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64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16</xdr:col>
      <xdr:colOff>25400</xdr:colOff>
      <xdr:row>41</xdr:row>
      <xdr:rowOff>12700</xdr:rowOff>
    </xdr:from>
    <xdr:to>
      <xdr:col>16</xdr:col>
      <xdr:colOff>76200</xdr:colOff>
      <xdr:row>41</xdr:row>
      <xdr:rowOff>63500</xdr:rowOff>
    </xdr:to>
    <xdr:pic>
      <xdr:nvPicPr>
        <xdr:cNvPr id="86" name="BExOBKO06AOXX1KS79YEM0GOWJ5E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38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16</xdr:col>
      <xdr:colOff>25400</xdr:colOff>
      <xdr:row>41</xdr:row>
      <xdr:rowOff>88900</xdr:rowOff>
    </xdr:from>
    <xdr:to>
      <xdr:col>16</xdr:col>
      <xdr:colOff>76200</xdr:colOff>
      <xdr:row>41</xdr:row>
      <xdr:rowOff>139700</xdr:rowOff>
    </xdr:to>
    <xdr:pic>
      <xdr:nvPicPr>
        <xdr:cNvPr id="87" name="BExF5NG28EF7ERF3PMDOM1W7ZVAP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38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17</xdr:col>
      <xdr:colOff>31750</xdr:colOff>
      <xdr:row>41</xdr:row>
      <xdr:rowOff>12700</xdr:rowOff>
    </xdr:from>
    <xdr:to>
      <xdr:col>17</xdr:col>
      <xdr:colOff>82550</xdr:colOff>
      <xdr:row>41</xdr:row>
      <xdr:rowOff>63500</xdr:rowOff>
    </xdr:to>
    <xdr:pic>
      <xdr:nvPicPr>
        <xdr:cNvPr id="88" name="BExER1681614VFSN7YOED7TW9ADR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812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17</xdr:col>
      <xdr:colOff>31750</xdr:colOff>
      <xdr:row>41</xdr:row>
      <xdr:rowOff>88900</xdr:rowOff>
    </xdr:from>
    <xdr:to>
      <xdr:col>17</xdr:col>
      <xdr:colOff>82550</xdr:colOff>
      <xdr:row>41</xdr:row>
      <xdr:rowOff>139700</xdr:rowOff>
    </xdr:to>
    <xdr:pic>
      <xdr:nvPicPr>
        <xdr:cNvPr id="89" name="BExZU20PRO48LUP0CX4D0D7YR515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812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18</xdr:col>
      <xdr:colOff>25400</xdr:colOff>
      <xdr:row>41</xdr:row>
      <xdr:rowOff>12700</xdr:rowOff>
    </xdr:from>
    <xdr:to>
      <xdr:col>18</xdr:col>
      <xdr:colOff>76200</xdr:colOff>
      <xdr:row>41</xdr:row>
      <xdr:rowOff>63500</xdr:rowOff>
    </xdr:to>
    <xdr:pic>
      <xdr:nvPicPr>
        <xdr:cNvPr id="90" name="BExH1KS28X093GOR5Z99NPSZNIJ0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559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18</xdr:col>
      <xdr:colOff>25400</xdr:colOff>
      <xdr:row>41</xdr:row>
      <xdr:rowOff>88900</xdr:rowOff>
    </xdr:from>
    <xdr:to>
      <xdr:col>18</xdr:col>
      <xdr:colOff>76200</xdr:colOff>
      <xdr:row>41</xdr:row>
      <xdr:rowOff>139700</xdr:rowOff>
    </xdr:to>
    <xdr:pic>
      <xdr:nvPicPr>
        <xdr:cNvPr id="91" name="BExMJD57ST5PHRVZDXV71T52WZ8Z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559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19</xdr:col>
      <xdr:colOff>19050</xdr:colOff>
      <xdr:row>41</xdr:row>
      <xdr:rowOff>12700</xdr:rowOff>
    </xdr:from>
    <xdr:to>
      <xdr:col>19</xdr:col>
      <xdr:colOff>63500</xdr:colOff>
      <xdr:row>41</xdr:row>
      <xdr:rowOff>63500</xdr:rowOff>
    </xdr:to>
    <xdr:pic>
      <xdr:nvPicPr>
        <xdr:cNvPr id="92" name="BExGSO3LNHZABSR0D5WAT83HDJF4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306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19</xdr:col>
      <xdr:colOff>19050</xdr:colOff>
      <xdr:row>41</xdr:row>
      <xdr:rowOff>88900</xdr:rowOff>
    </xdr:from>
    <xdr:to>
      <xdr:col>19</xdr:col>
      <xdr:colOff>63500</xdr:colOff>
      <xdr:row>41</xdr:row>
      <xdr:rowOff>139700</xdr:rowOff>
    </xdr:to>
    <xdr:pic>
      <xdr:nvPicPr>
        <xdr:cNvPr id="93" name="BExKCTJND21B2LC64OMUDQHIJJR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306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20</xdr:col>
      <xdr:colOff>25400</xdr:colOff>
      <xdr:row>41</xdr:row>
      <xdr:rowOff>12700</xdr:rowOff>
    </xdr:from>
    <xdr:to>
      <xdr:col>20</xdr:col>
      <xdr:colOff>76200</xdr:colOff>
      <xdr:row>41</xdr:row>
      <xdr:rowOff>63500</xdr:rowOff>
    </xdr:to>
    <xdr:pic>
      <xdr:nvPicPr>
        <xdr:cNvPr id="94" name="BEx5OZBAXCLNTIWLYLQHSSJQXBW2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80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20</xdr:col>
      <xdr:colOff>25400</xdr:colOff>
      <xdr:row>41</xdr:row>
      <xdr:rowOff>88900</xdr:rowOff>
    </xdr:from>
    <xdr:to>
      <xdr:col>20</xdr:col>
      <xdr:colOff>76200</xdr:colOff>
      <xdr:row>41</xdr:row>
      <xdr:rowOff>139700</xdr:rowOff>
    </xdr:to>
    <xdr:pic>
      <xdr:nvPicPr>
        <xdr:cNvPr id="95" name="BExKPH8JCVBYOXRDKGB5O06RTQTL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80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21</xdr:col>
      <xdr:colOff>19050</xdr:colOff>
      <xdr:row>41</xdr:row>
      <xdr:rowOff>12700</xdr:rowOff>
    </xdr:from>
    <xdr:to>
      <xdr:col>21</xdr:col>
      <xdr:colOff>63500</xdr:colOff>
      <xdr:row>41</xdr:row>
      <xdr:rowOff>63500</xdr:rowOff>
    </xdr:to>
    <xdr:pic>
      <xdr:nvPicPr>
        <xdr:cNvPr id="96" name="BEx5MHJWEBYNZGLULUEY47NWATME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21</xdr:col>
      <xdr:colOff>19050</xdr:colOff>
      <xdr:row>41</xdr:row>
      <xdr:rowOff>88900</xdr:rowOff>
    </xdr:from>
    <xdr:to>
      <xdr:col>21</xdr:col>
      <xdr:colOff>63500</xdr:colOff>
      <xdr:row>41</xdr:row>
      <xdr:rowOff>139700</xdr:rowOff>
    </xdr:to>
    <xdr:pic>
      <xdr:nvPicPr>
        <xdr:cNvPr id="97" name="BExH0QNRTHKHP58U1NFR680XA6H1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22</xdr:col>
      <xdr:colOff>25400</xdr:colOff>
      <xdr:row>41</xdr:row>
      <xdr:rowOff>12700</xdr:rowOff>
    </xdr:from>
    <xdr:to>
      <xdr:col>22</xdr:col>
      <xdr:colOff>76200</xdr:colOff>
      <xdr:row>41</xdr:row>
      <xdr:rowOff>63500</xdr:rowOff>
    </xdr:to>
    <xdr:pic>
      <xdr:nvPicPr>
        <xdr:cNvPr id="98" name="BEx3ALZR7OK1Y4Q86TD626Q5HB84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944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22</xdr:col>
      <xdr:colOff>25400</xdr:colOff>
      <xdr:row>41</xdr:row>
      <xdr:rowOff>88900</xdr:rowOff>
    </xdr:from>
    <xdr:to>
      <xdr:col>22</xdr:col>
      <xdr:colOff>76200</xdr:colOff>
      <xdr:row>41</xdr:row>
      <xdr:rowOff>139700</xdr:rowOff>
    </xdr:to>
    <xdr:pic>
      <xdr:nvPicPr>
        <xdr:cNvPr id="99" name="BEx03AZJ0XZ0816PO8JG82DPNMVI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944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23</xdr:col>
      <xdr:colOff>31750</xdr:colOff>
      <xdr:row>41</xdr:row>
      <xdr:rowOff>12700</xdr:rowOff>
    </xdr:from>
    <xdr:to>
      <xdr:col>23</xdr:col>
      <xdr:colOff>82550</xdr:colOff>
      <xdr:row>41</xdr:row>
      <xdr:rowOff>63500</xdr:rowOff>
    </xdr:to>
    <xdr:pic>
      <xdr:nvPicPr>
        <xdr:cNvPr id="100" name="BExIOZO5MMA2Z8FTYLHC78DHOWQJ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818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23</xdr:col>
      <xdr:colOff>31750</xdr:colOff>
      <xdr:row>41</xdr:row>
      <xdr:rowOff>88900</xdr:rowOff>
    </xdr:from>
    <xdr:to>
      <xdr:col>23</xdr:col>
      <xdr:colOff>82550</xdr:colOff>
      <xdr:row>41</xdr:row>
      <xdr:rowOff>139700</xdr:rowOff>
    </xdr:to>
    <xdr:pic>
      <xdr:nvPicPr>
        <xdr:cNvPr id="101" name="BExQ5O7QGPHJ1SE7ZKZ84CN8DBO6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818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24</xdr:col>
      <xdr:colOff>25400</xdr:colOff>
      <xdr:row>41</xdr:row>
      <xdr:rowOff>12700</xdr:rowOff>
    </xdr:from>
    <xdr:to>
      <xdr:col>24</xdr:col>
      <xdr:colOff>76200</xdr:colOff>
      <xdr:row>41</xdr:row>
      <xdr:rowOff>63500</xdr:rowOff>
    </xdr:to>
    <xdr:pic>
      <xdr:nvPicPr>
        <xdr:cNvPr id="102" name="BExIHLOSA8DQHGTBYO074MM0OMPP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24</xdr:col>
      <xdr:colOff>25400</xdr:colOff>
      <xdr:row>41</xdr:row>
      <xdr:rowOff>88900</xdr:rowOff>
    </xdr:from>
    <xdr:to>
      <xdr:col>24</xdr:col>
      <xdr:colOff>76200</xdr:colOff>
      <xdr:row>41</xdr:row>
      <xdr:rowOff>139700</xdr:rowOff>
    </xdr:to>
    <xdr:pic>
      <xdr:nvPicPr>
        <xdr:cNvPr id="103" name="BExO5QQ5CPUJC3FSKMYD5DJFEIHY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565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25</xdr:col>
      <xdr:colOff>19050</xdr:colOff>
      <xdr:row>41</xdr:row>
      <xdr:rowOff>12700</xdr:rowOff>
    </xdr:from>
    <xdr:to>
      <xdr:col>25</xdr:col>
      <xdr:colOff>63500</xdr:colOff>
      <xdr:row>41</xdr:row>
      <xdr:rowOff>63500</xdr:rowOff>
    </xdr:to>
    <xdr:pic>
      <xdr:nvPicPr>
        <xdr:cNvPr id="104" name="BExB5FVMNRXVXTZOZFQTX8BLJNWV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312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25</xdr:col>
      <xdr:colOff>19050</xdr:colOff>
      <xdr:row>41</xdr:row>
      <xdr:rowOff>88900</xdr:rowOff>
    </xdr:from>
    <xdr:to>
      <xdr:col>25</xdr:col>
      <xdr:colOff>63500</xdr:colOff>
      <xdr:row>41</xdr:row>
      <xdr:rowOff>139700</xdr:rowOff>
    </xdr:to>
    <xdr:pic>
      <xdr:nvPicPr>
        <xdr:cNvPr id="105" name="BExXV4N5SVY1WFYRYY37D6F9Z9LK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312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26</xdr:col>
      <xdr:colOff>25400</xdr:colOff>
      <xdr:row>41</xdr:row>
      <xdr:rowOff>12700</xdr:rowOff>
    </xdr:from>
    <xdr:to>
      <xdr:col>26</xdr:col>
      <xdr:colOff>76200</xdr:colOff>
      <xdr:row>41</xdr:row>
      <xdr:rowOff>63500</xdr:rowOff>
    </xdr:to>
    <xdr:pic>
      <xdr:nvPicPr>
        <xdr:cNvPr id="106" name="BEx9JOBUR16BYYHMG2XNKE3UAB3D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86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26</xdr:col>
      <xdr:colOff>25400</xdr:colOff>
      <xdr:row>41</xdr:row>
      <xdr:rowOff>88900</xdr:rowOff>
    </xdr:from>
    <xdr:to>
      <xdr:col>26</xdr:col>
      <xdr:colOff>76200</xdr:colOff>
      <xdr:row>41</xdr:row>
      <xdr:rowOff>139700</xdr:rowOff>
    </xdr:to>
    <xdr:pic>
      <xdr:nvPicPr>
        <xdr:cNvPr id="107" name="BExKQZMYNG6UEDW05USI098KRQ2E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186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27</xdr:col>
      <xdr:colOff>31750</xdr:colOff>
      <xdr:row>41</xdr:row>
      <xdr:rowOff>12700</xdr:rowOff>
    </xdr:from>
    <xdr:to>
      <xdr:col>27</xdr:col>
      <xdr:colOff>82550</xdr:colOff>
      <xdr:row>41</xdr:row>
      <xdr:rowOff>63500</xdr:rowOff>
    </xdr:to>
    <xdr:pic>
      <xdr:nvPicPr>
        <xdr:cNvPr id="108" name="BExUBSKE04RF5FKJKD2NZJMFRFXW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060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27</xdr:col>
      <xdr:colOff>31750</xdr:colOff>
      <xdr:row>41</xdr:row>
      <xdr:rowOff>88900</xdr:rowOff>
    </xdr:from>
    <xdr:to>
      <xdr:col>27</xdr:col>
      <xdr:colOff>82550</xdr:colOff>
      <xdr:row>41</xdr:row>
      <xdr:rowOff>139700</xdr:rowOff>
    </xdr:to>
    <xdr:pic>
      <xdr:nvPicPr>
        <xdr:cNvPr id="109" name="BEx5KSV44RC6KJFFDXXKKS17FQUT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060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28</xdr:col>
      <xdr:colOff>25400</xdr:colOff>
      <xdr:row>41</xdr:row>
      <xdr:rowOff>12700</xdr:rowOff>
    </xdr:from>
    <xdr:to>
      <xdr:col>28</xdr:col>
      <xdr:colOff>76200</xdr:colOff>
      <xdr:row>41</xdr:row>
      <xdr:rowOff>63500</xdr:rowOff>
    </xdr:to>
    <xdr:pic>
      <xdr:nvPicPr>
        <xdr:cNvPr id="110" name="BExXTII3Q6PAL7HZQSXMDZVGKKH6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807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28</xdr:col>
      <xdr:colOff>25400</xdr:colOff>
      <xdr:row>41</xdr:row>
      <xdr:rowOff>88900</xdr:rowOff>
    </xdr:from>
    <xdr:to>
      <xdr:col>28</xdr:col>
      <xdr:colOff>76200</xdr:colOff>
      <xdr:row>41</xdr:row>
      <xdr:rowOff>139700</xdr:rowOff>
    </xdr:to>
    <xdr:pic>
      <xdr:nvPicPr>
        <xdr:cNvPr id="111" name="BEx1ONJUZ34UOP4EWD7MEYO2HWFN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807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29</xdr:col>
      <xdr:colOff>19050</xdr:colOff>
      <xdr:row>41</xdr:row>
      <xdr:rowOff>12700</xdr:rowOff>
    </xdr:from>
    <xdr:to>
      <xdr:col>29</xdr:col>
      <xdr:colOff>63500</xdr:colOff>
      <xdr:row>41</xdr:row>
      <xdr:rowOff>63500</xdr:rowOff>
    </xdr:to>
    <xdr:pic>
      <xdr:nvPicPr>
        <xdr:cNvPr id="112" name="BExBC9XKXCKVCX6DFML71YQ1AB9Q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554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29</xdr:col>
      <xdr:colOff>19050</xdr:colOff>
      <xdr:row>41</xdr:row>
      <xdr:rowOff>88900</xdr:rowOff>
    </xdr:from>
    <xdr:to>
      <xdr:col>29</xdr:col>
      <xdr:colOff>63500</xdr:colOff>
      <xdr:row>41</xdr:row>
      <xdr:rowOff>139700</xdr:rowOff>
    </xdr:to>
    <xdr:pic>
      <xdr:nvPicPr>
        <xdr:cNvPr id="113" name="BEx5G9OC2R3RPVZEIA9LFWUJQT2T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554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30</xdr:col>
      <xdr:colOff>25400</xdr:colOff>
      <xdr:row>41</xdr:row>
      <xdr:rowOff>12700</xdr:rowOff>
    </xdr:from>
    <xdr:to>
      <xdr:col>30</xdr:col>
      <xdr:colOff>76200</xdr:colOff>
      <xdr:row>41</xdr:row>
      <xdr:rowOff>63500</xdr:rowOff>
    </xdr:to>
    <xdr:pic>
      <xdr:nvPicPr>
        <xdr:cNvPr id="114" name="BExQCE80DOM79CYQE40880VMIOUO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428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30</xdr:col>
      <xdr:colOff>25400</xdr:colOff>
      <xdr:row>41</xdr:row>
      <xdr:rowOff>88900</xdr:rowOff>
    </xdr:from>
    <xdr:to>
      <xdr:col>30</xdr:col>
      <xdr:colOff>76200</xdr:colOff>
      <xdr:row>41</xdr:row>
      <xdr:rowOff>139700</xdr:rowOff>
    </xdr:to>
    <xdr:pic>
      <xdr:nvPicPr>
        <xdr:cNvPr id="115" name="BExGTCODFZ2UPRQRILWP3J25NDBF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428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31</xdr:col>
      <xdr:colOff>31750</xdr:colOff>
      <xdr:row>41</xdr:row>
      <xdr:rowOff>12700</xdr:rowOff>
    </xdr:from>
    <xdr:to>
      <xdr:col>31</xdr:col>
      <xdr:colOff>82550</xdr:colOff>
      <xdr:row>41</xdr:row>
      <xdr:rowOff>63500</xdr:rowOff>
    </xdr:to>
    <xdr:pic>
      <xdr:nvPicPr>
        <xdr:cNvPr id="116" name="BExB9O4LGOD2Z6NI0TGHDSPTOXJX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302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31</xdr:col>
      <xdr:colOff>31750</xdr:colOff>
      <xdr:row>41</xdr:row>
      <xdr:rowOff>88900</xdr:rowOff>
    </xdr:from>
    <xdr:to>
      <xdr:col>31</xdr:col>
      <xdr:colOff>82550</xdr:colOff>
      <xdr:row>41</xdr:row>
      <xdr:rowOff>139700</xdr:rowOff>
    </xdr:to>
    <xdr:pic>
      <xdr:nvPicPr>
        <xdr:cNvPr id="117" name="BExGLLI7WQN3BR3HW1DDRE28E4ZV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302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49</xdr:row>
      <xdr:rowOff>19050</xdr:rowOff>
    </xdr:from>
    <xdr:to>
      <xdr:col>5</xdr:col>
      <xdr:colOff>152400</xdr:colOff>
      <xdr:row>49</xdr:row>
      <xdr:rowOff>142875</xdr:rowOff>
    </xdr:to>
    <xdr:pic>
      <xdr:nvPicPr>
        <xdr:cNvPr id="118" name="BExEUKJJIL0CBCROAEHF0GUWGDJ6" descr="SM_INFORMATION" hidden="1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39147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57</xdr:row>
      <xdr:rowOff>9525</xdr:rowOff>
    </xdr:from>
    <xdr:to>
      <xdr:col>8</xdr:col>
      <xdr:colOff>76200</xdr:colOff>
      <xdr:row>57</xdr:row>
      <xdr:rowOff>57150</xdr:rowOff>
    </xdr:to>
    <xdr:pic>
      <xdr:nvPicPr>
        <xdr:cNvPr id="119" name="BEx94TD4WTA41UK2YE28235VLXP2" descr="SortAscending" hidden="1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4876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28575</xdr:colOff>
      <xdr:row>57</xdr:row>
      <xdr:rowOff>85725</xdr:rowOff>
    </xdr:from>
    <xdr:to>
      <xdr:col>8</xdr:col>
      <xdr:colOff>76200</xdr:colOff>
      <xdr:row>57</xdr:row>
      <xdr:rowOff>133350</xdr:rowOff>
    </xdr:to>
    <xdr:pic>
      <xdr:nvPicPr>
        <xdr:cNvPr id="120" name="BEx00YBJGF0L1JUNABY9TTQ3N17F" descr="SortDescending" hidden="1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49530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28575</xdr:colOff>
      <xdr:row>57</xdr:row>
      <xdr:rowOff>9525</xdr:rowOff>
    </xdr:from>
    <xdr:to>
      <xdr:col>7</xdr:col>
      <xdr:colOff>76200</xdr:colOff>
      <xdr:row>57</xdr:row>
      <xdr:rowOff>57150</xdr:rowOff>
    </xdr:to>
    <xdr:pic>
      <xdr:nvPicPr>
        <xdr:cNvPr id="121" name="BEx3TBV8QYLSHMYPL32Z4DSHLUWT" descr="SortAscending" hidden="1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4876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28575</xdr:colOff>
      <xdr:row>57</xdr:row>
      <xdr:rowOff>85725</xdr:rowOff>
    </xdr:from>
    <xdr:to>
      <xdr:col>7</xdr:col>
      <xdr:colOff>76200</xdr:colOff>
      <xdr:row>57</xdr:row>
      <xdr:rowOff>133350</xdr:rowOff>
    </xdr:to>
    <xdr:pic>
      <xdr:nvPicPr>
        <xdr:cNvPr id="122" name="BExU4A39UW7CQUF04EOTRS86ZYSU" descr="SortDescending" hidden="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49530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28575</xdr:colOff>
      <xdr:row>57</xdr:row>
      <xdr:rowOff>9525</xdr:rowOff>
    </xdr:from>
    <xdr:to>
      <xdr:col>6</xdr:col>
      <xdr:colOff>76200</xdr:colOff>
      <xdr:row>57</xdr:row>
      <xdr:rowOff>57150</xdr:rowOff>
    </xdr:to>
    <xdr:pic>
      <xdr:nvPicPr>
        <xdr:cNvPr id="123" name="BExXP8R76PFKU94VNQDT0PETTTL9" descr="SortAscending" hidden="1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4876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28575</xdr:colOff>
      <xdr:row>57</xdr:row>
      <xdr:rowOff>85725</xdr:rowOff>
    </xdr:from>
    <xdr:to>
      <xdr:col>6</xdr:col>
      <xdr:colOff>76200</xdr:colOff>
      <xdr:row>57</xdr:row>
      <xdr:rowOff>133350</xdr:rowOff>
    </xdr:to>
    <xdr:pic>
      <xdr:nvPicPr>
        <xdr:cNvPr id="124" name="BExDC08BOQOO6K6O68MJGQPQQPCB" descr="SortDescending" hidden="1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49530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28575</xdr:colOff>
      <xdr:row>57</xdr:row>
      <xdr:rowOff>9525</xdr:rowOff>
    </xdr:from>
    <xdr:to>
      <xdr:col>5</xdr:col>
      <xdr:colOff>76200</xdr:colOff>
      <xdr:row>57</xdr:row>
      <xdr:rowOff>57150</xdr:rowOff>
    </xdr:to>
    <xdr:pic>
      <xdr:nvPicPr>
        <xdr:cNvPr id="125" name="BEx5F8D4YFYHKWR4OAW3HLS2MTI3" descr="SortAscending" hidden="1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8768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28575</xdr:colOff>
      <xdr:row>57</xdr:row>
      <xdr:rowOff>85725</xdr:rowOff>
    </xdr:from>
    <xdr:to>
      <xdr:col>5</xdr:col>
      <xdr:colOff>76200</xdr:colOff>
      <xdr:row>57</xdr:row>
      <xdr:rowOff>133350</xdr:rowOff>
    </xdr:to>
    <xdr:pic>
      <xdr:nvPicPr>
        <xdr:cNvPr id="126" name="BExUA7H69KP4ZOKSAUB538UUM07O" descr="SortDescending" hidden="1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9530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28575</xdr:colOff>
      <xdr:row>49</xdr:row>
      <xdr:rowOff>28575</xdr:rowOff>
    </xdr:from>
    <xdr:to>
      <xdr:col>5</xdr:col>
      <xdr:colOff>152400</xdr:colOff>
      <xdr:row>49</xdr:row>
      <xdr:rowOff>152400</xdr:rowOff>
    </xdr:to>
    <xdr:pic>
      <xdr:nvPicPr>
        <xdr:cNvPr id="127" name="BExB6QS5AV4EXDHVWCTYBS2GQWPW" descr="SM_INFORMATION" hidden="1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39243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49</xdr:row>
      <xdr:rowOff>28575</xdr:rowOff>
    </xdr:from>
    <xdr:to>
      <xdr:col>5</xdr:col>
      <xdr:colOff>152400</xdr:colOff>
      <xdr:row>49</xdr:row>
      <xdr:rowOff>152400</xdr:rowOff>
    </xdr:to>
    <xdr:pic>
      <xdr:nvPicPr>
        <xdr:cNvPr id="128" name="BExOJGMMVXK8HK7IY1Y1H2USOZZZ" descr="SM_INFORMATION" hidden="1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39243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49</xdr:row>
      <xdr:rowOff>28575</xdr:rowOff>
    </xdr:from>
    <xdr:to>
      <xdr:col>5</xdr:col>
      <xdr:colOff>152400</xdr:colOff>
      <xdr:row>49</xdr:row>
      <xdr:rowOff>152400</xdr:rowOff>
    </xdr:to>
    <xdr:pic>
      <xdr:nvPicPr>
        <xdr:cNvPr id="129" name="BExQ3Q8G8WTB5GWTGZJCUATROBUE" descr="SM_INFORMATION" hidden="1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39243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49</xdr:row>
      <xdr:rowOff>28575</xdr:rowOff>
    </xdr:from>
    <xdr:to>
      <xdr:col>5</xdr:col>
      <xdr:colOff>152400</xdr:colOff>
      <xdr:row>49</xdr:row>
      <xdr:rowOff>152400</xdr:rowOff>
    </xdr:to>
    <xdr:pic>
      <xdr:nvPicPr>
        <xdr:cNvPr id="130" name="BExKLBJDM3ZQO67ILAV0OW6ZE8ZM" descr="SM_INFORMATION" hidden="1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39243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57</xdr:row>
      <xdr:rowOff>19050</xdr:rowOff>
    </xdr:from>
    <xdr:to>
      <xdr:col>5</xdr:col>
      <xdr:colOff>76200</xdr:colOff>
      <xdr:row>57</xdr:row>
      <xdr:rowOff>66675</xdr:rowOff>
    </xdr:to>
    <xdr:pic>
      <xdr:nvPicPr>
        <xdr:cNvPr id="131" name="BExW9205ID5ELR167AS6P00G9E6A" descr="SortAscending" hidden="1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8863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28575</xdr:colOff>
      <xdr:row>57</xdr:row>
      <xdr:rowOff>95250</xdr:rowOff>
    </xdr:from>
    <xdr:to>
      <xdr:col>5</xdr:col>
      <xdr:colOff>76200</xdr:colOff>
      <xdr:row>57</xdr:row>
      <xdr:rowOff>142875</xdr:rowOff>
    </xdr:to>
    <xdr:pic>
      <xdr:nvPicPr>
        <xdr:cNvPr id="132" name="BExZPFU4P9NQ45N4RE2UXJBL1U8O" descr="SortDescending" hidden="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962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28575</xdr:colOff>
      <xdr:row>57</xdr:row>
      <xdr:rowOff>19050</xdr:rowOff>
    </xdr:from>
    <xdr:to>
      <xdr:col>6</xdr:col>
      <xdr:colOff>76200</xdr:colOff>
      <xdr:row>57</xdr:row>
      <xdr:rowOff>66675</xdr:rowOff>
    </xdr:to>
    <xdr:pic>
      <xdr:nvPicPr>
        <xdr:cNvPr id="133" name="BExOCIOK8DF12UE20NA565Q1MCBS" descr="SortAscending" hidden="1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48863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28575</xdr:colOff>
      <xdr:row>57</xdr:row>
      <xdr:rowOff>95250</xdr:rowOff>
    </xdr:from>
    <xdr:to>
      <xdr:col>6</xdr:col>
      <xdr:colOff>76200</xdr:colOff>
      <xdr:row>57</xdr:row>
      <xdr:rowOff>142875</xdr:rowOff>
    </xdr:to>
    <xdr:pic>
      <xdr:nvPicPr>
        <xdr:cNvPr id="134" name="BEx9GD1PVDUI4KRD5XHU9PP76PDK" descr="SortDescending" hidden="1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4962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28575</xdr:colOff>
      <xdr:row>57</xdr:row>
      <xdr:rowOff>19050</xdr:rowOff>
    </xdr:from>
    <xdr:to>
      <xdr:col>7</xdr:col>
      <xdr:colOff>76200</xdr:colOff>
      <xdr:row>57</xdr:row>
      <xdr:rowOff>66675</xdr:rowOff>
    </xdr:to>
    <xdr:pic>
      <xdr:nvPicPr>
        <xdr:cNvPr id="135" name="BEx7ABKUD4P0EFO15JNZJZT1KV87" descr="SortAscending" hidden="1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48863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28575</xdr:colOff>
      <xdr:row>57</xdr:row>
      <xdr:rowOff>95250</xdr:rowOff>
    </xdr:from>
    <xdr:to>
      <xdr:col>7</xdr:col>
      <xdr:colOff>76200</xdr:colOff>
      <xdr:row>57</xdr:row>
      <xdr:rowOff>142875</xdr:rowOff>
    </xdr:to>
    <xdr:pic>
      <xdr:nvPicPr>
        <xdr:cNvPr id="136" name="BExIL75LIOFJXN5UC2GM7CRDZ5N5" descr="SortDescending" hidden="1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4962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19050</xdr:colOff>
      <xdr:row>57</xdr:row>
      <xdr:rowOff>19050</xdr:rowOff>
    </xdr:from>
    <xdr:to>
      <xdr:col>8</xdr:col>
      <xdr:colOff>66675</xdr:colOff>
      <xdr:row>57</xdr:row>
      <xdr:rowOff>66675</xdr:rowOff>
    </xdr:to>
    <xdr:pic>
      <xdr:nvPicPr>
        <xdr:cNvPr id="137" name="BEx938FA28FMZGMHNZGE6BFADXFA" descr="SortAscending" hidden="1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48863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8</xdr:col>
      <xdr:colOff>19050</xdr:colOff>
      <xdr:row>57</xdr:row>
      <xdr:rowOff>95250</xdr:rowOff>
    </xdr:from>
    <xdr:to>
      <xdr:col>8</xdr:col>
      <xdr:colOff>66675</xdr:colOff>
      <xdr:row>57</xdr:row>
      <xdr:rowOff>142875</xdr:rowOff>
    </xdr:to>
    <xdr:pic>
      <xdr:nvPicPr>
        <xdr:cNvPr id="138" name="BExIL708F8CZCMUGNKQJ46LPHHKQ" descr="SortDescending" hidden="1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496252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28575</xdr:colOff>
      <xdr:row>49</xdr:row>
      <xdr:rowOff>19050</xdr:rowOff>
    </xdr:from>
    <xdr:to>
      <xdr:col>4</xdr:col>
      <xdr:colOff>76200</xdr:colOff>
      <xdr:row>49</xdr:row>
      <xdr:rowOff>66675</xdr:rowOff>
    </xdr:to>
    <xdr:pic>
      <xdr:nvPicPr>
        <xdr:cNvPr id="139" name="BExTWTPIQ5TLSLAL96J4H73PQ802" descr="SortAscending.gif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3914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28575</xdr:colOff>
      <xdr:row>49</xdr:row>
      <xdr:rowOff>95250</xdr:rowOff>
    </xdr:from>
    <xdr:to>
      <xdr:col>4</xdr:col>
      <xdr:colOff>76200</xdr:colOff>
      <xdr:row>49</xdr:row>
      <xdr:rowOff>142875</xdr:rowOff>
    </xdr:to>
    <xdr:pic>
      <xdr:nvPicPr>
        <xdr:cNvPr id="140" name="BEx3B3DLN5ZU3F2L31JCCOVZ3P35" descr="SortDescending.gif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3990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49</xdr:row>
      <xdr:rowOff>19050</xdr:rowOff>
    </xdr:from>
    <xdr:to>
      <xdr:col>5</xdr:col>
      <xdr:colOff>76200</xdr:colOff>
      <xdr:row>49</xdr:row>
      <xdr:rowOff>66675</xdr:rowOff>
    </xdr:to>
    <xdr:pic>
      <xdr:nvPicPr>
        <xdr:cNvPr id="141" name="BExY1SEJWLWWFW5TWLL5USBOC3FG" descr="SortAscending.gif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3914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28575</xdr:colOff>
      <xdr:row>49</xdr:row>
      <xdr:rowOff>95250</xdr:rowOff>
    </xdr:from>
    <xdr:to>
      <xdr:col>5</xdr:col>
      <xdr:colOff>76200</xdr:colOff>
      <xdr:row>49</xdr:row>
      <xdr:rowOff>142875</xdr:rowOff>
    </xdr:to>
    <xdr:pic>
      <xdr:nvPicPr>
        <xdr:cNvPr id="142" name="BEx9I1ABRSMEJQJ0MMCFC0F7THH6" descr="SortDescending.gif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3990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</xdr:colOff>
      <xdr:row>49</xdr:row>
      <xdr:rowOff>19050</xdr:rowOff>
    </xdr:from>
    <xdr:to>
      <xdr:col>6</xdr:col>
      <xdr:colOff>66675</xdr:colOff>
      <xdr:row>49</xdr:row>
      <xdr:rowOff>66675</xdr:rowOff>
    </xdr:to>
    <xdr:pic>
      <xdr:nvPicPr>
        <xdr:cNvPr id="143" name="BExUCZVIO2CQ3HLU9ZAGWX7ZIVR3" descr="SortAscending.gif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3914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19050</xdr:colOff>
      <xdr:row>49</xdr:row>
      <xdr:rowOff>95250</xdr:rowOff>
    </xdr:from>
    <xdr:to>
      <xdr:col>6</xdr:col>
      <xdr:colOff>66675</xdr:colOff>
      <xdr:row>49</xdr:row>
      <xdr:rowOff>142875</xdr:rowOff>
    </xdr:to>
    <xdr:pic>
      <xdr:nvPicPr>
        <xdr:cNvPr id="144" name="BExEZ0A8SDZFAHE5W1FTYP8884JA" descr="SortDescending.gif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39909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</xdr:colOff>
      <xdr:row>49</xdr:row>
      <xdr:rowOff>19050</xdr:rowOff>
    </xdr:from>
    <xdr:to>
      <xdr:col>7</xdr:col>
      <xdr:colOff>76200</xdr:colOff>
      <xdr:row>49</xdr:row>
      <xdr:rowOff>66675</xdr:rowOff>
    </xdr:to>
    <xdr:pic>
      <xdr:nvPicPr>
        <xdr:cNvPr id="145" name="BExGUW9R7P7IWKZXJU01G4QVVQT2" descr="SortAscending.gif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391477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7</xdr:col>
      <xdr:colOff>19050</xdr:colOff>
      <xdr:row>49</xdr:row>
      <xdr:rowOff>95250</xdr:rowOff>
    </xdr:from>
    <xdr:to>
      <xdr:col>7</xdr:col>
      <xdr:colOff>76200</xdr:colOff>
      <xdr:row>49</xdr:row>
      <xdr:rowOff>142875</xdr:rowOff>
    </xdr:to>
    <xdr:pic>
      <xdr:nvPicPr>
        <xdr:cNvPr id="146" name="BExMBAAGXQ12ZWGXM56BPHG2QXW1" descr="SortDescending.gif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0" y="399097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25400</xdr:colOff>
      <xdr:row>49</xdr:row>
      <xdr:rowOff>15875</xdr:rowOff>
    </xdr:from>
    <xdr:to>
      <xdr:col>4</xdr:col>
      <xdr:colOff>76200</xdr:colOff>
      <xdr:row>49</xdr:row>
      <xdr:rowOff>66675</xdr:rowOff>
    </xdr:to>
    <xdr:pic>
      <xdr:nvPicPr>
        <xdr:cNvPr id="147" name="BExMQTOFHUPGF1YWT7DKTLU668YD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3911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25400</xdr:colOff>
      <xdr:row>49</xdr:row>
      <xdr:rowOff>92075</xdr:rowOff>
    </xdr:from>
    <xdr:to>
      <xdr:col>4</xdr:col>
      <xdr:colOff>76200</xdr:colOff>
      <xdr:row>49</xdr:row>
      <xdr:rowOff>142875</xdr:rowOff>
    </xdr:to>
    <xdr:pic>
      <xdr:nvPicPr>
        <xdr:cNvPr id="148" name="BExMIHDOG9VMIAR2GO2IZ9HRF71U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3987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25400</xdr:colOff>
      <xdr:row>49</xdr:row>
      <xdr:rowOff>15875</xdr:rowOff>
    </xdr:from>
    <xdr:to>
      <xdr:col>5</xdr:col>
      <xdr:colOff>76200</xdr:colOff>
      <xdr:row>49</xdr:row>
      <xdr:rowOff>66675</xdr:rowOff>
    </xdr:to>
    <xdr:pic>
      <xdr:nvPicPr>
        <xdr:cNvPr id="149" name="BExZPV4DSF5ZSO2Y607B2GW6O75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400" y="3911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25400</xdr:colOff>
      <xdr:row>49</xdr:row>
      <xdr:rowOff>92075</xdr:rowOff>
    </xdr:from>
    <xdr:to>
      <xdr:col>5</xdr:col>
      <xdr:colOff>76200</xdr:colOff>
      <xdr:row>49</xdr:row>
      <xdr:rowOff>142875</xdr:rowOff>
    </xdr:to>
    <xdr:pic>
      <xdr:nvPicPr>
        <xdr:cNvPr id="150" name="BExW2Z80R94SPDMELZ9XM0AHLMVY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400" y="3987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</xdr:colOff>
      <xdr:row>49</xdr:row>
      <xdr:rowOff>15875</xdr:rowOff>
    </xdr:from>
    <xdr:to>
      <xdr:col>6</xdr:col>
      <xdr:colOff>76200</xdr:colOff>
      <xdr:row>49</xdr:row>
      <xdr:rowOff>66675</xdr:rowOff>
    </xdr:to>
    <xdr:pic>
      <xdr:nvPicPr>
        <xdr:cNvPr id="151" name="BEx00X4D2LC4I28DHATCOQDGTH9A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6800" y="3911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25400</xdr:colOff>
      <xdr:row>49</xdr:row>
      <xdr:rowOff>92075</xdr:rowOff>
    </xdr:from>
    <xdr:to>
      <xdr:col>6</xdr:col>
      <xdr:colOff>76200</xdr:colOff>
      <xdr:row>49</xdr:row>
      <xdr:rowOff>142875</xdr:rowOff>
    </xdr:to>
    <xdr:pic>
      <xdr:nvPicPr>
        <xdr:cNvPr id="152" name="BEx1I51BB4BGAISDL5BRKMB3C7NJ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6800" y="39878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49</xdr:row>
      <xdr:rowOff>15875</xdr:rowOff>
    </xdr:from>
    <xdr:to>
      <xdr:col>7</xdr:col>
      <xdr:colOff>63500</xdr:colOff>
      <xdr:row>49</xdr:row>
      <xdr:rowOff>66675</xdr:rowOff>
    </xdr:to>
    <xdr:pic>
      <xdr:nvPicPr>
        <xdr:cNvPr id="153" name="BExEPVT9JNJW2OQ7Z0LK9WUC8ERL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0" y="39116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19050</xdr:colOff>
      <xdr:row>49</xdr:row>
      <xdr:rowOff>92075</xdr:rowOff>
    </xdr:from>
    <xdr:to>
      <xdr:col>7</xdr:col>
      <xdr:colOff>63500</xdr:colOff>
      <xdr:row>49</xdr:row>
      <xdr:rowOff>142875</xdr:rowOff>
    </xdr:to>
    <xdr:pic>
      <xdr:nvPicPr>
        <xdr:cNvPr id="154" name="BEx9FU0NOM48YPFRZI7NZBNW80EN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0" y="3987800"/>
          <a:ext cx="50800" cy="50800"/>
        </a:xfrm>
        <a:prstGeom prst="rect">
          <a:avLst/>
        </a:prstGeom>
      </xdr:spPr>
    </xdr:pic>
    <xdr:clientData/>
  </xdr:twoCellAnchor>
  <xdr:twoCellAnchor>
    <xdr:from>
      <xdr:col>3</xdr:col>
      <xdr:colOff>28575</xdr:colOff>
      <xdr:row>61</xdr:row>
      <xdr:rowOff>19050</xdr:rowOff>
    </xdr:from>
    <xdr:to>
      <xdr:col>3</xdr:col>
      <xdr:colOff>76200</xdr:colOff>
      <xdr:row>61</xdr:row>
      <xdr:rowOff>66675</xdr:rowOff>
    </xdr:to>
    <xdr:pic>
      <xdr:nvPicPr>
        <xdr:cNvPr id="155" name="BExH1S9RU107ESDO046H06YHQWHU" descr="SortAscending.gif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3457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28575</xdr:colOff>
      <xdr:row>61</xdr:row>
      <xdr:rowOff>95250</xdr:rowOff>
    </xdr:from>
    <xdr:to>
      <xdr:col>3</xdr:col>
      <xdr:colOff>76200</xdr:colOff>
      <xdr:row>61</xdr:row>
      <xdr:rowOff>142875</xdr:rowOff>
    </xdr:to>
    <xdr:pic>
      <xdr:nvPicPr>
        <xdr:cNvPr id="156" name="BExMNM58ZC50IDYGJZJBPOSEST60" descr="SortDescending.gif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3533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28575</xdr:colOff>
      <xdr:row>61</xdr:row>
      <xdr:rowOff>19050</xdr:rowOff>
    </xdr:from>
    <xdr:to>
      <xdr:col>4</xdr:col>
      <xdr:colOff>76200</xdr:colOff>
      <xdr:row>61</xdr:row>
      <xdr:rowOff>66675</xdr:rowOff>
    </xdr:to>
    <xdr:pic>
      <xdr:nvPicPr>
        <xdr:cNvPr id="157" name="BEx75UCAYAYTDK29951I2KVOIOH3" descr="SortAscending.gif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3457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28575</xdr:colOff>
      <xdr:row>61</xdr:row>
      <xdr:rowOff>95250</xdr:rowOff>
    </xdr:from>
    <xdr:to>
      <xdr:col>4</xdr:col>
      <xdr:colOff>76200</xdr:colOff>
      <xdr:row>61</xdr:row>
      <xdr:rowOff>142875</xdr:rowOff>
    </xdr:to>
    <xdr:pic>
      <xdr:nvPicPr>
        <xdr:cNvPr id="158" name="BExF5LNBVMA12622Q6Q71BRPJQAQ" descr="SortDescending.gif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3533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61</xdr:row>
      <xdr:rowOff>19050</xdr:rowOff>
    </xdr:from>
    <xdr:to>
      <xdr:col>5</xdr:col>
      <xdr:colOff>76200</xdr:colOff>
      <xdr:row>61</xdr:row>
      <xdr:rowOff>66675</xdr:rowOff>
    </xdr:to>
    <xdr:pic>
      <xdr:nvPicPr>
        <xdr:cNvPr id="159" name="BEx5AVH092ZUAV9F4EFUX9WMCFQY" descr="SortAscending.gif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3457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28575</xdr:colOff>
      <xdr:row>61</xdr:row>
      <xdr:rowOff>95250</xdr:rowOff>
    </xdr:from>
    <xdr:to>
      <xdr:col>5</xdr:col>
      <xdr:colOff>76200</xdr:colOff>
      <xdr:row>61</xdr:row>
      <xdr:rowOff>142875</xdr:rowOff>
    </xdr:to>
    <xdr:pic>
      <xdr:nvPicPr>
        <xdr:cNvPr id="160" name="BEx79K5MTICXBC83QYTAQTEOJ52D" descr="SortDescending.gif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3533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</xdr:colOff>
      <xdr:row>61</xdr:row>
      <xdr:rowOff>19050</xdr:rowOff>
    </xdr:from>
    <xdr:to>
      <xdr:col>6</xdr:col>
      <xdr:colOff>76200</xdr:colOff>
      <xdr:row>61</xdr:row>
      <xdr:rowOff>66675</xdr:rowOff>
    </xdr:to>
    <xdr:pic>
      <xdr:nvPicPr>
        <xdr:cNvPr id="161" name="BEx5QRWDQN3YD2K0BPBWXYIJJVDR" descr="SortAscending.gif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345757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19050</xdr:colOff>
      <xdr:row>61</xdr:row>
      <xdr:rowOff>95250</xdr:rowOff>
    </xdr:from>
    <xdr:to>
      <xdr:col>6</xdr:col>
      <xdr:colOff>76200</xdr:colOff>
      <xdr:row>61</xdr:row>
      <xdr:rowOff>142875</xdr:rowOff>
    </xdr:to>
    <xdr:pic>
      <xdr:nvPicPr>
        <xdr:cNvPr id="162" name="BExXZP6DK18IRECLA1ZYIX5JSHW5" descr="SortDescending.gif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353377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28575</xdr:colOff>
      <xdr:row>61</xdr:row>
      <xdr:rowOff>19050</xdr:rowOff>
    </xdr:from>
    <xdr:to>
      <xdr:col>7</xdr:col>
      <xdr:colOff>76200</xdr:colOff>
      <xdr:row>61</xdr:row>
      <xdr:rowOff>66675</xdr:rowOff>
    </xdr:to>
    <xdr:pic>
      <xdr:nvPicPr>
        <xdr:cNvPr id="163" name="BExS50A0J3T2UVBQ76CODWN7J4KK" descr="SortAscending.gif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457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7</xdr:col>
      <xdr:colOff>28575</xdr:colOff>
      <xdr:row>61</xdr:row>
      <xdr:rowOff>95250</xdr:rowOff>
    </xdr:from>
    <xdr:to>
      <xdr:col>7</xdr:col>
      <xdr:colOff>76200</xdr:colOff>
      <xdr:row>61</xdr:row>
      <xdr:rowOff>142875</xdr:rowOff>
    </xdr:to>
    <xdr:pic>
      <xdr:nvPicPr>
        <xdr:cNvPr id="164" name="BExGZ1DD93QUMHVORRERP98VRHMK" descr="SortDescending.gif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533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25400</xdr:colOff>
      <xdr:row>61</xdr:row>
      <xdr:rowOff>15875</xdr:rowOff>
    </xdr:from>
    <xdr:to>
      <xdr:col>3</xdr:col>
      <xdr:colOff>76200</xdr:colOff>
      <xdr:row>61</xdr:row>
      <xdr:rowOff>66675</xdr:rowOff>
    </xdr:to>
    <xdr:pic>
      <xdr:nvPicPr>
        <xdr:cNvPr id="165" name="BExGV7T388GLUZCNFIBK46FXFTLT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900" y="34544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25400</xdr:colOff>
      <xdr:row>61</xdr:row>
      <xdr:rowOff>92075</xdr:rowOff>
    </xdr:from>
    <xdr:to>
      <xdr:col>3</xdr:col>
      <xdr:colOff>76200</xdr:colOff>
      <xdr:row>61</xdr:row>
      <xdr:rowOff>142875</xdr:rowOff>
    </xdr:to>
    <xdr:pic>
      <xdr:nvPicPr>
        <xdr:cNvPr id="166" name="BExQGCQ8W597FCN08F2WADH2G7OG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900" y="35306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61</xdr:row>
      <xdr:rowOff>15875</xdr:rowOff>
    </xdr:from>
    <xdr:to>
      <xdr:col>4</xdr:col>
      <xdr:colOff>85725</xdr:colOff>
      <xdr:row>61</xdr:row>
      <xdr:rowOff>66675</xdr:rowOff>
    </xdr:to>
    <xdr:pic>
      <xdr:nvPicPr>
        <xdr:cNvPr id="167" name="BEx1NLHJLQ67D21ZCZV1BBA6EL1Z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34544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28575</xdr:colOff>
      <xdr:row>61</xdr:row>
      <xdr:rowOff>92075</xdr:rowOff>
    </xdr:from>
    <xdr:to>
      <xdr:col>4</xdr:col>
      <xdr:colOff>85725</xdr:colOff>
      <xdr:row>61</xdr:row>
      <xdr:rowOff>142875</xdr:rowOff>
    </xdr:to>
    <xdr:pic>
      <xdr:nvPicPr>
        <xdr:cNvPr id="168" name="BExUC0YHBKZYMIHFU5MUPB5HV52Z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35306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22225</xdr:colOff>
      <xdr:row>61</xdr:row>
      <xdr:rowOff>15875</xdr:rowOff>
    </xdr:from>
    <xdr:to>
      <xdr:col>5</xdr:col>
      <xdr:colOff>73025</xdr:colOff>
      <xdr:row>61</xdr:row>
      <xdr:rowOff>66675</xdr:rowOff>
    </xdr:to>
    <xdr:pic>
      <xdr:nvPicPr>
        <xdr:cNvPr id="169" name="BExINYNR3G2UA4QV4QQWS77GMI1Q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7800" y="34544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22225</xdr:colOff>
      <xdr:row>61</xdr:row>
      <xdr:rowOff>92075</xdr:rowOff>
    </xdr:from>
    <xdr:to>
      <xdr:col>5</xdr:col>
      <xdr:colOff>73025</xdr:colOff>
      <xdr:row>61</xdr:row>
      <xdr:rowOff>142875</xdr:rowOff>
    </xdr:to>
    <xdr:pic>
      <xdr:nvPicPr>
        <xdr:cNvPr id="170" name="BExW2IQM03EY3R6ZP487IZHXVUD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7800" y="35306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61</xdr:row>
      <xdr:rowOff>15875</xdr:rowOff>
    </xdr:from>
    <xdr:to>
      <xdr:col>6</xdr:col>
      <xdr:colOff>85725</xdr:colOff>
      <xdr:row>61</xdr:row>
      <xdr:rowOff>66675</xdr:rowOff>
    </xdr:to>
    <xdr:pic>
      <xdr:nvPicPr>
        <xdr:cNvPr id="171" name="BExKES9YMOMAKSLFS2IPIRZEVQ72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34544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28575</xdr:colOff>
      <xdr:row>61</xdr:row>
      <xdr:rowOff>92075</xdr:rowOff>
    </xdr:from>
    <xdr:to>
      <xdr:col>6</xdr:col>
      <xdr:colOff>85725</xdr:colOff>
      <xdr:row>61</xdr:row>
      <xdr:rowOff>142875</xdr:rowOff>
    </xdr:to>
    <xdr:pic>
      <xdr:nvPicPr>
        <xdr:cNvPr id="172" name="BEx1G7NLHFHABK5ISNRVJYTH9MQV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35306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25400</xdr:colOff>
      <xdr:row>61</xdr:row>
      <xdr:rowOff>15875</xdr:rowOff>
    </xdr:from>
    <xdr:to>
      <xdr:col>7</xdr:col>
      <xdr:colOff>76200</xdr:colOff>
      <xdr:row>61</xdr:row>
      <xdr:rowOff>66675</xdr:rowOff>
    </xdr:to>
    <xdr:pic>
      <xdr:nvPicPr>
        <xdr:cNvPr id="173" name="BExY5OIGGNMOYGK7XVBQ6FTMFNSM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8900" y="34544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25400</xdr:colOff>
      <xdr:row>61</xdr:row>
      <xdr:rowOff>92075</xdr:rowOff>
    </xdr:from>
    <xdr:to>
      <xdr:col>7</xdr:col>
      <xdr:colOff>76200</xdr:colOff>
      <xdr:row>61</xdr:row>
      <xdr:rowOff>142875</xdr:rowOff>
    </xdr:to>
    <xdr:pic>
      <xdr:nvPicPr>
        <xdr:cNvPr id="174" name="BExB7G3YNB1SHXP6LOTN0QDJPFAW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8900" y="3530600"/>
          <a:ext cx="50800" cy="50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1</xdr:rowOff>
    </xdr:from>
    <xdr:to>
      <xdr:col>31</xdr:col>
      <xdr:colOff>682625</xdr:colOff>
      <xdr:row>12</xdr:row>
      <xdr:rowOff>149226</xdr:rowOff>
    </xdr:to>
    <xdr:pic>
      <xdr:nvPicPr>
        <xdr:cNvPr id="2" name="BExSA7W0VVFJ548AZO2WDZ0C9UXN" descr="analysis_prev" hidden="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096001"/>
          <a:ext cx="24847550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22225</xdr:colOff>
      <xdr:row>4</xdr:row>
      <xdr:rowOff>12700</xdr:rowOff>
    </xdr:from>
    <xdr:to>
      <xdr:col>2</xdr:col>
      <xdr:colOff>73025</xdr:colOff>
      <xdr:row>4</xdr:row>
      <xdr:rowOff>63500</xdr:rowOff>
    </xdr:to>
    <xdr:pic>
      <xdr:nvPicPr>
        <xdr:cNvPr id="3" name="BEx75WAD3SYWPW6POOE5I9295M3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6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</xdr:col>
      <xdr:colOff>22225</xdr:colOff>
      <xdr:row>4</xdr:row>
      <xdr:rowOff>88900</xdr:rowOff>
    </xdr:from>
    <xdr:to>
      <xdr:col>2</xdr:col>
      <xdr:colOff>73025</xdr:colOff>
      <xdr:row>4</xdr:row>
      <xdr:rowOff>139700</xdr:rowOff>
    </xdr:to>
    <xdr:pic>
      <xdr:nvPicPr>
        <xdr:cNvPr id="4" name="BExU1K8K5ZGDSPFM1HHWIY24G9JY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6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25400</xdr:colOff>
      <xdr:row>4</xdr:row>
      <xdr:rowOff>12700</xdr:rowOff>
    </xdr:from>
    <xdr:to>
      <xdr:col>3</xdr:col>
      <xdr:colOff>76200</xdr:colOff>
      <xdr:row>4</xdr:row>
      <xdr:rowOff>63500</xdr:rowOff>
    </xdr:to>
    <xdr:pic>
      <xdr:nvPicPr>
        <xdr:cNvPr id="5" name="BEx9IRIFZ3E79ZW06MULZN0AU8IQ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37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25400</xdr:colOff>
      <xdr:row>4</xdr:row>
      <xdr:rowOff>88900</xdr:rowOff>
    </xdr:from>
    <xdr:to>
      <xdr:col>3</xdr:col>
      <xdr:colOff>76200</xdr:colOff>
      <xdr:row>4</xdr:row>
      <xdr:rowOff>139700</xdr:rowOff>
    </xdr:to>
    <xdr:pic>
      <xdr:nvPicPr>
        <xdr:cNvPr id="6" name="BExXPDEDG6HNHI7XIKIIIFG2NYM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37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4</xdr:row>
      <xdr:rowOff>12700</xdr:rowOff>
    </xdr:from>
    <xdr:to>
      <xdr:col>4</xdr:col>
      <xdr:colOff>85725</xdr:colOff>
      <xdr:row>4</xdr:row>
      <xdr:rowOff>63500</xdr:rowOff>
    </xdr:to>
    <xdr:pic>
      <xdr:nvPicPr>
        <xdr:cNvPr id="7" name="BExB0T8XODJWUJ6B6ARX6HL76FUK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28575</xdr:colOff>
      <xdr:row>4</xdr:row>
      <xdr:rowOff>88900</xdr:rowOff>
    </xdr:from>
    <xdr:to>
      <xdr:col>4</xdr:col>
      <xdr:colOff>85725</xdr:colOff>
      <xdr:row>4</xdr:row>
      <xdr:rowOff>139700</xdr:rowOff>
    </xdr:to>
    <xdr:pic>
      <xdr:nvPicPr>
        <xdr:cNvPr id="8" name="BEx7FUQBIVMR84MJKD10G3P9SADS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22225</xdr:colOff>
      <xdr:row>4</xdr:row>
      <xdr:rowOff>12700</xdr:rowOff>
    </xdr:from>
    <xdr:to>
      <xdr:col>5</xdr:col>
      <xdr:colOff>73025</xdr:colOff>
      <xdr:row>4</xdr:row>
      <xdr:rowOff>63500</xdr:rowOff>
    </xdr:to>
    <xdr:pic>
      <xdr:nvPicPr>
        <xdr:cNvPr id="9" name="BExIUAQC4ECUMCCCXPEMO8TD3V1P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46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22225</xdr:colOff>
      <xdr:row>4</xdr:row>
      <xdr:rowOff>88900</xdr:rowOff>
    </xdr:from>
    <xdr:to>
      <xdr:col>5</xdr:col>
      <xdr:colOff>73025</xdr:colOff>
      <xdr:row>4</xdr:row>
      <xdr:rowOff>139700</xdr:rowOff>
    </xdr:to>
    <xdr:pic>
      <xdr:nvPicPr>
        <xdr:cNvPr id="10" name="BExTVCT9Q3HB0QAIUSI38PB8AC9A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846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4</xdr:row>
      <xdr:rowOff>12700</xdr:rowOff>
    </xdr:from>
    <xdr:to>
      <xdr:col>6</xdr:col>
      <xdr:colOff>85725</xdr:colOff>
      <xdr:row>4</xdr:row>
      <xdr:rowOff>63500</xdr:rowOff>
    </xdr:to>
    <xdr:pic>
      <xdr:nvPicPr>
        <xdr:cNvPr id="11" name="BExB571E16NEX58BG3TH9DBKBOFI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28575</xdr:colOff>
      <xdr:row>4</xdr:row>
      <xdr:rowOff>88900</xdr:rowOff>
    </xdr:from>
    <xdr:to>
      <xdr:col>6</xdr:col>
      <xdr:colOff>85725</xdr:colOff>
      <xdr:row>4</xdr:row>
      <xdr:rowOff>139700</xdr:rowOff>
    </xdr:to>
    <xdr:pic>
      <xdr:nvPicPr>
        <xdr:cNvPr id="12" name="BEx5A53OJSVVYDENNW1NY5MQCA4C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4</xdr:row>
      <xdr:rowOff>12700</xdr:rowOff>
    </xdr:from>
    <xdr:to>
      <xdr:col>7</xdr:col>
      <xdr:colOff>85725</xdr:colOff>
      <xdr:row>4</xdr:row>
      <xdr:rowOff>63500</xdr:rowOff>
    </xdr:to>
    <xdr:pic>
      <xdr:nvPicPr>
        <xdr:cNvPr id="13" name="BExW5C1BU1KWAAPUHMXBCDY1GJL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28575</xdr:colOff>
      <xdr:row>4</xdr:row>
      <xdr:rowOff>88900</xdr:rowOff>
    </xdr:from>
    <xdr:to>
      <xdr:col>7</xdr:col>
      <xdr:colOff>85725</xdr:colOff>
      <xdr:row>4</xdr:row>
      <xdr:rowOff>139700</xdr:rowOff>
    </xdr:to>
    <xdr:pic>
      <xdr:nvPicPr>
        <xdr:cNvPr id="14" name="BExU9FLQINB85MUGZN91XEAGOG90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8</xdr:col>
      <xdr:colOff>25400</xdr:colOff>
      <xdr:row>4</xdr:row>
      <xdr:rowOff>12700</xdr:rowOff>
    </xdr:from>
    <xdr:to>
      <xdr:col>8</xdr:col>
      <xdr:colOff>76200</xdr:colOff>
      <xdr:row>4</xdr:row>
      <xdr:rowOff>63500</xdr:rowOff>
    </xdr:to>
    <xdr:pic>
      <xdr:nvPicPr>
        <xdr:cNvPr id="15" name="BExQFIGG9QCL9T0XBJKTP00TOLOK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54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8</xdr:col>
      <xdr:colOff>25400</xdr:colOff>
      <xdr:row>4</xdr:row>
      <xdr:rowOff>88900</xdr:rowOff>
    </xdr:from>
    <xdr:to>
      <xdr:col>8</xdr:col>
      <xdr:colOff>76200</xdr:colOff>
      <xdr:row>4</xdr:row>
      <xdr:rowOff>139700</xdr:rowOff>
    </xdr:to>
    <xdr:pic>
      <xdr:nvPicPr>
        <xdr:cNvPr id="16" name="BExXTV8L3UGST7GIM9WZKO3XW2AV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54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9</xdr:col>
      <xdr:colOff>22225</xdr:colOff>
      <xdr:row>4</xdr:row>
      <xdr:rowOff>12700</xdr:rowOff>
    </xdr:from>
    <xdr:to>
      <xdr:col>9</xdr:col>
      <xdr:colOff>73025</xdr:colOff>
      <xdr:row>4</xdr:row>
      <xdr:rowOff>63500</xdr:rowOff>
    </xdr:to>
    <xdr:pic>
      <xdr:nvPicPr>
        <xdr:cNvPr id="17" name="BExKIAWC3RR65YCBA554D106CIWV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66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9</xdr:col>
      <xdr:colOff>22225</xdr:colOff>
      <xdr:row>4</xdr:row>
      <xdr:rowOff>88900</xdr:rowOff>
    </xdr:from>
    <xdr:to>
      <xdr:col>9</xdr:col>
      <xdr:colOff>73025</xdr:colOff>
      <xdr:row>4</xdr:row>
      <xdr:rowOff>139700</xdr:rowOff>
    </xdr:to>
    <xdr:pic>
      <xdr:nvPicPr>
        <xdr:cNvPr id="18" name="BExSCB42KP2SRIYKYQNMGOO4OQIX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566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10</xdr:col>
      <xdr:colOff>25400</xdr:colOff>
      <xdr:row>4</xdr:row>
      <xdr:rowOff>12700</xdr:rowOff>
    </xdr:from>
    <xdr:to>
      <xdr:col>10</xdr:col>
      <xdr:colOff>76200</xdr:colOff>
      <xdr:row>4</xdr:row>
      <xdr:rowOff>63500</xdr:rowOff>
    </xdr:to>
    <xdr:pic>
      <xdr:nvPicPr>
        <xdr:cNvPr id="19" name="BExKHHTRSIW6SDLFXIIEB8OVQIP3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32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10</xdr:col>
      <xdr:colOff>25400</xdr:colOff>
      <xdr:row>4</xdr:row>
      <xdr:rowOff>88900</xdr:rowOff>
    </xdr:from>
    <xdr:to>
      <xdr:col>10</xdr:col>
      <xdr:colOff>76200</xdr:colOff>
      <xdr:row>4</xdr:row>
      <xdr:rowOff>139700</xdr:rowOff>
    </xdr:to>
    <xdr:pic>
      <xdr:nvPicPr>
        <xdr:cNvPr id="20" name="BExMBTX32T6ULQXUZC6A91OLO13M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32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11</xdr:col>
      <xdr:colOff>25400</xdr:colOff>
      <xdr:row>4</xdr:row>
      <xdr:rowOff>12700</xdr:rowOff>
    </xdr:from>
    <xdr:to>
      <xdr:col>11</xdr:col>
      <xdr:colOff>76200</xdr:colOff>
      <xdr:row>4</xdr:row>
      <xdr:rowOff>63500</xdr:rowOff>
    </xdr:to>
    <xdr:pic>
      <xdr:nvPicPr>
        <xdr:cNvPr id="21" name="BExB8U5MZ35PEWEDXDH5D5RFYPKV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52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11</xdr:col>
      <xdr:colOff>25400</xdr:colOff>
      <xdr:row>4</xdr:row>
      <xdr:rowOff>88900</xdr:rowOff>
    </xdr:from>
    <xdr:to>
      <xdr:col>11</xdr:col>
      <xdr:colOff>76200</xdr:colOff>
      <xdr:row>4</xdr:row>
      <xdr:rowOff>139700</xdr:rowOff>
    </xdr:to>
    <xdr:pic>
      <xdr:nvPicPr>
        <xdr:cNvPr id="22" name="BExIJIX10U4OWTB05VC15CFT07PM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552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</xdr:colOff>
      <xdr:row>4</xdr:row>
      <xdr:rowOff>12700</xdr:rowOff>
    </xdr:from>
    <xdr:to>
      <xdr:col>12</xdr:col>
      <xdr:colOff>63500</xdr:colOff>
      <xdr:row>4</xdr:row>
      <xdr:rowOff>63500</xdr:rowOff>
    </xdr:to>
    <xdr:pic>
      <xdr:nvPicPr>
        <xdr:cNvPr id="23" name="BExQJFRQV3SHDV6TSLIAQ9SGI6EL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18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12</xdr:col>
      <xdr:colOff>19050</xdr:colOff>
      <xdr:row>4</xdr:row>
      <xdr:rowOff>88900</xdr:rowOff>
    </xdr:from>
    <xdr:to>
      <xdr:col>12</xdr:col>
      <xdr:colOff>63500</xdr:colOff>
      <xdr:row>4</xdr:row>
      <xdr:rowOff>139700</xdr:rowOff>
    </xdr:to>
    <xdr:pic>
      <xdr:nvPicPr>
        <xdr:cNvPr id="24" name="BEx9202EJVHO59GZFRN0XDRUDQE7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918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</xdr:colOff>
      <xdr:row>4</xdr:row>
      <xdr:rowOff>12700</xdr:rowOff>
    </xdr:from>
    <xdr:to>
      <xdr:col>13</xdr:col>
      <xdr:colOff>63500</xdr:colOff>
      <xdr:row>4</xdr:row>
      <xdr:rowOff>63500</xdr:rowOff>
    </xdr:to>
    <xdr:pic>
      <xdr:nvPicPr>
        <xdr:cNvPr id="25" name="BExTUTBXJD95P9J1GWWDJ2PSER3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38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13</xdr:col>
      <xdr:colOff>19050</xdr:colOff>
      <xdr:row>4</xdr:row>
      <xdr:rowOff>88900</xdr:rowOff>
    </xdr:from>
    <xdr:to>
      <xdr:col>13</xdr:col>
      <xdr:colOff>63500</xdr:colOff>
      <xdr:row>4</xdr:row>
      <xdr:rowOff>139700</xdr:rowOff>
    </xdr:to>
    <xdr:pic>
      <xdr:nvPicPr>
        <xdr:cNvPr id="26" name="BExOC81GVPC7M0JI2AP27XPITAJD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38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14</xdr:col>
      <xdr:colOff>28575</xdr:colOff>
      <xdr:row>4</xdr:row>
      <xdr:rowOff>12700</xdr:rowOff>
    </xdr:from>
    <xdr:to>
      <xdr:col>14</xdr:col>
      <xdr:colOff>85725</xdr:colOff>
      <xdr:row>4</xdr:row>
      <xdr:rowOff>63500</xdr:rowOff>
    </xdr:to>
    <xdr:pic>
      <xdr:nvPicPr>
        <xdr:cNvPr id="27" name="BExVV33YPH5I2EBGU5XWX0HRP44L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77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14</xdr:col>
      <xdr:colOff>28575</xdr:colOff>
      <xdr:row>4</xdr:row>
      <xdr:rowOff>88900</xdr:rowOff>
    </xdr:from>
    <xdr:to>
      <xdr:col>14</xdr:col>
      <xdr:colOff>85725</xdr:colOff>
      <xdr:row>4</xdr:row>
      <xdr:rowOff>139700</xdr:rowOff>
    </xdr:to>
    <xdr:pic>
      <xdr:nvPicPr>
        <xdr:cNvPr id="28" name="BExXXQ01GEICWPBG1YUS0HX2J0NF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777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15</xdr:col>
      <xdr:colOff>25400</xdr:colOff>
      <xdr:row>4</xdr:row>
      <xdr:rowOff>12700</xdr:rowOff>
    </xdr:from>
    <xdr:to>
      <xdr:col>15</xdr:col>
      <xdr:colOff>76200</xdr:colOff>
      <xdr:row>4</xdr:row>
      <xdr:rowOff>63500</xdr:rowOff>
    </xdr:to>
    <xdr:pic>
      <xdr:nvPicPr>
        <xdr:cNvPr id="29" name="BEx1MKRV9HL0N5K811CP3QCG899K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89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15</xdr:col>
      <xdr:colOff>25400</xdr:colOff>
      <xdr:row>4</xdr:row>
      <xdr:rowOff>88900</xdr:rowOff>
    </xdr:from>
    <xdr:to>
      <xdr:col>15</xdr:col>
      <xdr:colOff>76200</xdr:colOff>
      <xdr:row>4</xdr:row>
      <xdr:rowOff>139700</xdr:rowOff>
    </xdr:to>
    <xdr:pic>
      <xdr:nvPicPr>
        <xdr:cNvPr id="30" name="BExS50FAVC1QMX6EL042AKU4KE3B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889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16</xdr:col>
      <xdr:colOff>22225</xdr:colOff>
      <xdr:row>4</xdr:row>
      <xdr:rowOff>12700</xdr:rowOff>
    </xdr:from>
    <xdr:to>
      <xdr:col>16</xdr:col>
      <xdr:colOff>73025</xdr:colOff>
      <xdr:row>4</xdr:row>
      <xdr:rowOff>63500</xdr:rowOff>
    </xdr:to>
    <xdr:pic>
      <xdr:nvPicPr>
        <xdr:cNvPr id="31" name="BExVQHO8AF7RBFHZ7HCMXQCYUZBI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382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16</xdr:col>
      <xdr:colOff>22225</xdr:colOff>
      <xdr:row>4</xdr:row>
      <xdr:rowOff>88900</xdr:rowOff>
    </xdr:from>
    <xdr:to>
      <xdr:col>16</xdr:col>
      <xdr:colOff>73025</xdr:colOff>
      <xdr:row>4</xdr:row>
      <xdr:rowOff>139700</xdr:rowOff>
    </xdr:to>
    <xdr:pic>
      <xdr:nvPicPr>
        <xdr:cNvPr id="32" name="BEx1L64LTCVU8E1I7O4OXHBWOLQ9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382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17</xdr:col>
      <xdr:colOff>28575</xdr:colOff>
      <xdr:row>4</xdr:row>
      <xdr:rowOff>12700</xdr:rowOff>
    </xdr:from>
    <xdr:to>
      <xdr:col>17</xdr:col>
      <xdr:colOff>85725</xdr:colOff>
      <xdr:row>4</xdr:row>
      <xdr:rowOff>63500</xdr:rowOff>
    </xdr:to>
    <xdr:pic>
      <xdr:nvPicPr>
        <xdr:cNvPr id="33" name="BExGXV9IC0NWSESUPCULNA4MED91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17</xdr:col>
      <xdr:colOff>28575</xdr:colOff>
      <xdr:row>4</xdr:row>
      <xdr:rowOff>88900</xdr:rowOff>
    </xdr:from>
    <xdr:to>
      <xdr:col>17</xdr:col>
      <xdr:colOff>85725</xdr:colOff>
      <xdr:row>4</xdr:row>
      <xdr:rowOff>139700</xdr:rowOff>
    </xdr:to>
    <xdr:pic>
      <xdr:nvPicPr>
        <xdr:cNvPr id="34" name="BExS800NATXS2D2W5CHGC6WCYIXU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18</xdr:col>
      <xdr:colOff>19050</xdr:colOff>
      <xdr:row>4</xdr:row>
      <xdr:rowOff>12700</xdr:rowOff>
    </xdr:from>
    <xdr:to>
      <xdr:col>18</xdr:col>
      <xdr:colOff>63500</xdr:colOff>
      <xdr:row>4</xdr:row>
      <xdr:rowOff>63500</xdr:rowOff>
    </xdr:to>
    <xdr:pic>
      <xdr:nvPicPr>
        <xdr:cNvPr id="35" name="BExD1TZUR9ADXXZF60PAEY7SPOGZ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14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18</xdr:col>
      <xdr:colOff>19050</xdr:colOff>
      <xdr:row>4</xdr:row>
      <xdr:rowOff>88900</xdr:rowOff>
    </xdr:from>
    <xdr:to>
      <xdr:col>18</xdr:col>
      <xdr:colOff>63500</xdr:colOff>
      <xdr:row>4</xdr:row>
      <xdr:rowOff>139700</xdr:rowOff>
    </xdr:to>
    <xdr:pic>
      <xdr:nvPicPr>
        <xdr:cNvPr id="36" name="BExGPPPFU5C2P5R86700EWHOREZ6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14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19</xdr:col>
      <xdr:colOff>28575</xdr:colOff>
      <xdr:row>4</xdr:row>
      <xdr:rowOff>12700</xdr:rowOff>
    </xdr:from>
    <xdr:to>
      <xdr:col>19</xdr:col>
      <xdr:colOff>85725</xdr:colOff>
      <xdr:row>4</xdr:row>
      <xdr:rowOff>63500</xdr:rowOff>
    </xdr:to>
    <xdr:pic>
      <xdr:nvPicPr>
        <xdr:cNvPr id="37" name="BExEQY0VWXCI8YOWX9EH6GT255GW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34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19</xdr:col>
      <xdr:colOff>28575</xdr:colOff>
      <xdr:row>4</xdr:row>
      <xdr:rowOff>88900</xdr:rowOff>
    </xdr:from>
    <xdr:to>
      <xdr:col>19</xdr:col>
      <xdr:colOff>85725</xdr:colOff>
      <xdr:row>4</xdr:row>
      <xdr:rowOff>139700</xdr:rowOff>
    </xdr:to>
    <xdr:pic>
      <xdr:nvPicPr>
        <xdr:cNvPr id="38" name="BExOLRCFC42U2ZDIUZ4WCA9CE4XP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734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20</xdr:col>
      <xdr:colOff>22225</xdr:colOff>
      <xdr:row>4</xdr:row>
      <xdr:rowOff>12700</xdr:rowOff>
    </xdr:from>
    <xdr:to>
      <xdr:col>20</xdr:col>
      <xdr:colOff>73025</xdr:colOff>
      <xdr:row>4</xdr:row>
      <xdr:rowOff>63500</xdr:rowOff>
    </xdr:to>
    <xdr:pic>
      <xdr:nvPicPr>
        <xdr:cNvPr id="39" name="BExOJTTDQZHFF1DZN9MZ2O0NRFZL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20</xdr:col>
      <xdr:colOff>22225</xdr:colOff>
      <xdr:row>4</xdr:row>
      <xdr:rowOff>88900</xdr:rowOff>
    </xdr:from>
    <xdr:to>
      <xdr:col>20</xdr:col>
      <xdr:colOff>73025</xdr:colOff>
      <xdr:row>4</xdr:row>
      <xdr:rowOff>139700</xdr:rowOff>
    </xdr:to>
    <xdr:pic>
      <xdr:nvPicPr>
        <xdr:cNvPr id="40" name="BEx1RRMZ8E2ZFFY0RC5MSSK6KLLB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21</xdr:col>
      <xdr:colOff>28575</xdr:colOff>
      <xdr:row>4</xdr:row>
      <xdr:rowOff>12700</xdr:rowOff>
    </xdr:from>
    <xdr:to>
      <xdr:col>21</xdr:col>
      <xdr:colOff>85725</xdr:colOff>
      <xdr:row>4</xdr:row>
      <xdr:rowOff>63500</xdr:rowOff>
    </xdr:to>
    <xdr:pic>
      <xdr:nvPicPr>
        <xdr:cNvPr id="41" name="BEx1U5NFA0B5QY518I9A3OOSM5BR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117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21</xdr:col>
      <xdr:colOff>28575</xdr:colOff>
      <xdr:row>4</xdr:row>
      <xdr:rowOff>88900</xdr:rowOff>
    </xdr:from>
    <xdr:to>
      <xdr:col>21</xdr:col>
      <xdr:colOff>85725</xdr:colOff>
      <xdr:row>4</xdr:row>
      <xdr:rowOff>139700</xdr:rowOff>
    </xdr:to>
    <xdr:pic>
      <xdr:nvPicPr>
        <xdr:cNvPr id="42" name="BExMHN3YIXXBP3TTA2RMT5PSHZXA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117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22</xdr:col>
      <xdr:colOff>19050</xdr:colOff>
      <xdr:row>4</xdr:row>
      <xdr:rowOff>12700</xdr:rowOff>
    </xdr:from>
    <xdr:to>
      <xdr:col>22</xdr:col>
      <xdr:colOff>63500</xdr:colOff>
      <xdr:row>4</xdr:row>
      <xdr:rowOff>63500</xdr:rowOff>
    </xdr:to>
    <xdr:pic>
      <xdr:nvPicPr>
        <xdr:cNvPr id="43" name="BExS2LYRKTVBJOV5UO68GI1EAFSU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356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22</xdr:col>
      <xdr:colOff>19050</xdr:colOff>
      <xdr:row>4</xdr:row>
      <xdr:rowOff>88900</xdr:rowOff>
    </xdr:from>
    <xdr:to>
      <xdr:col>22</xdr:col>
      <xdr:colOff>63500</xdr:colOff>
      <xdr:row>4</xdr:row>
      <xdr:rowOff>139700</xdr:rowOff>
    </xdr:to>
    <xdr:pic>
      <xdr:nvPicPr>
        <xdr:cNvPr id="44" name="BExVVGLB207KUHOF4LX9W4GULYKP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356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23</xdr:col>
      <xdr:colOff>19050</xdr:colOff>
      <xdr:row>4</xdr:row>
      <xdr:rowOff>12700</xdr:rowOff>
    </xdr:from>
    <xdr:to>
      <xdr:col>23</xdr:col>
      <xdr:colOff>63500</xdr:colOff>
      <xdr:row>4</xdr:row>
      <xdr:rowOff>63500</xdr:rowOff>
    </xdr:to>
    <xdr:pic>
      <xdr:nvPicPr>
        <xdr:cNvPr id="45" name="BExQFBEZ6T4C6KL7CL8FFYYBHGIA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976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23</xdr:col>
      <xdr:colOff>19050</xdr:colOff>
      <xdr:row>4</xdr:row>
      <xdr:rowOff>88900</xdr:rowOff>
    </xdr:from>
    <xdr:to>
      <xdr:col>23</xdr:col>
      <xdr:colOff>63500</xdr:colOff>
      <xdr:row>4</xdr:row>
      <xdr:rowOff>139700</xdr:rowOff>
    </xdr:to>
    <xdr:pic>
      <xdr:nvPicPr>
        <xdr:cNvPr id="46" name="BExTUOOLS9R02Q6H0D49KTV5SCNL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976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24</xdr:col>
      <xdr:colOff>19050</xdr:colOff>
      <xdr:row>4</xdr:row>
      <xdr:rowOff>12700</xdr:rowOff>
    </xdr:from>
    <xdr:to>
      <xdr:col>24</xdr:col>
      <xdr:colOff>63500</xdr:colOff>
      <xdr:row>4</xdr:row>
      <xdr:rowOff>63500</xdr:rowOff>
    </xdr:to>
    <xdr:pic>
      <xdr:nvPicPr>
        <xdr:cNvPr id="47" name="BExZQ4PN0EWPBMAU8D4MXX7MBR6K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596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24</xdr:col>
      <xdr:colOff>19050</xdr:colOff>
      <xdr:row>4</xdr:row>
      <xdr:rowOff>88900</xdr:rowOff>
    </xdr:from>
    <xdr:to>
      <xdr:col>24</xdr:col>
      <xdr:colOff>63500</xdr:colOff>
      <xdr:row>4</xdr:row>
      <xdr:rowOff>139700</xdr:rowOff>
    </xdr:to>
    <xdr:pic>
      <xdr:nvPicPr>
        <xdr:cNvPr id="48" name="BEx3LJ1T7SBM7Y3NFDAX7LTVGNX5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596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25</xdr:col>
      <xdr:colOff>19050</xdr:colOff>
      <xdr:row>4</xdr:row>
      <xdr:rowOff>12700</xdr:rowOff>
    </xdr:from>
    <xdr:to>
      <xdr:col>25</xdr:col>
      <xdr:colOff>63500</xdr:colOff>
      <xdr:row>4</xdr:row>
      <xdr:rowOff>63500</xdr:rowOff>
    </xdr:to>
    <xdr:pic>
      <xdr:nvPicPr>
        <xdr:cNvPr id="49" name="BExMN6V06N0Q5MFSKKJHHSU62TJQ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216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25</xdr:col>
      <xdr:colOff>19050</xdr:colOff>
      <xdr:row>4</xdr:row>
      <xdr:rowOff>88900</xdr:rowOff>
    </xdr:from>
    <xdr:to>
      <xdr:col>25</xdr:col>
      <xdr:colOff>63500</xdr:colOff>
      <xdr:row>4</xdr:row>
      <xdr:rowOff>139700</xdr:rowOff>
    </xdr:to>
    <xdr:pic>
      <xdr:nvPicPr>
        <xdr:cNvPr id="50" name="BEx1MEXKWZ8NPT6P88PHF8PGAS2E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216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26</xdr:col>
      <xdr:colOff>19050</xdr:colOff>
      <xdr:row>4</xdr:row>
      <xdr:rowOff>12700</xdr:rowOff>
    </xdr:from>
    <xdr:to>
      <xdr:col>26</xdr:col>
      <xdr:colOff>63500</xdr:colOff>
      <xdr:row>4</xdr:row>
      <xdr:rowOff>63500</xdr:rowOff>
    </xdr:to>
    <xdr:pic>
      <xdr:nvPicPr>
        <xdr:cNvPr id="51" name="BExUBKBPT53VBHB7L2JOO9IX4FJC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836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26</xdr:col>
      <xdr:colOff>19050</xdr:colOff>
      <xdr:row>4</xdr:row>
      <xdr:rowOff>88900</xdr:rowOff>
    </xdr:from>
    <xdr:to>
      <xdr:col>26</xdr:col>
      <xdr:colOff>63500</xdr:colOff>
      <xdr:row>4</xdr:row>
      <xdr:rowOff>139700</xdr:rowOff>
    </xdr:to>
    <xdr:pic>
      <xdr:nvPicPr>
        <xdr:cNvPr id="52" name="BExW6ZOB0A2LQNKSTGQKD2N0194S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836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27</xdr:col>
      <xdr:colOff>28575</xdr:colOff>
      <xdr:row>4</xdr:row>
      <xdr:rowOff>12700</xdr:rowOff>
    </xdr:from>
    <xdr:to>
      <xdr:col>27</xdr:col>
      <xdr:colOff>85725</xdr:colOff>
      <xdr:row>4</xdr:row>
      <xdr:rowOff>63500</xdr:rowOff>
    </xdr:to>
    <xdr:pic>
      <xdr:nvPicPr>
        <xdr:cNvPr id="53" name="BEx3PBPR1SGTAZ0KHOAG7NVPEDG9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27</xdr:col>
      <xdr:colOff>28575</xdr:colOff>
      <xdr:row>4</xdr:row>
      <xdr:rowOff>88900</xdr:rowOff>
    </xdr:from>
    <xdr:to>
      <xdr:col>27</xdr:col>
      <xdr:colOff>85725</xdr:colOff>
      <xdr:row>4</xdr:row>
      <xdr:rowOff>139700</xdr:rowOff>
    </xdr:to>
    <xdr:pic>
      <xdr:nvPicPr>
        <xdr:cNvPr id="54" name="BEx1UNXMF4UMY1WOU5YRI89WO1D7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28</xdr:col>
      <xdr:colOff>25400</xdr:colOff>
      <xdr:row>4</xdr:row>
      <xdr:rowOff>12700</xdr:rowOff>
    </xdr:from>
    <xdr:to>
      <xdr:col>28</xdr:col>
      <xdr:colOff>76200</xdr:colOff>
      <xdr:row>4</xdr:row>
      <xdr:rowOff>63500</xdr:rowOff>
    </xdr:to>
    <xdr:pic>
      <xdr:nvPicPr>
        <xdr:cNvPr id="55" name="BExZOLPT7FLBBMGCU6G8FAEU5BQK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568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28</xdr:col>
      <xdr:colOff>25400</xdr:colOff>
      <xdr:row>4</xdr:row>
      <xdr:rowOff>88900</xdr:rowOff>
    </xdr:from>
    <xdr:to>
      <xdr:col>28</xdr:col>
      <xdr:colOff>76200</xdr:colOff>
      <xdr:row>4</xdr:row>
      <xdr:rowOff>139700</xdr:rowOff>
    </xdr:to>
    <xdr:pic>
      <xdr:nvPicPr>
        <xdr:cNvPr id="56" name="BEx5N3FJMTVPM2B7SR5WJ7ZY4880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568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29</xdr:col>
      <xdr:colOff>22225</xdr:colOff>
      <xdr:row>4</xdr:row>
      <xdr:rowOff>12700</xdr:rowOff>
    </xdr:from>
    <xdr:to>
      <xdr:col>29</xdr:col>
      <xdr:colOff>73025</xdr:colOff>
      <xdr:row>4</xdr:row>
      <xdr:rowOff>63500</xdr:rowOff>
    </xdr:to>
    <xdr:pic>
      <xdr:nvPicPr>
        <xdr:cNvPr id="57" name="BEx78P4ZSHR5L2C3BA5AEF0NTMXM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061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29</xdr:col>
      <xdr:colOff>22225</xdr:colOff>
      <xdr:row>4</xdr:row>
      <xdr:rowOff>88900</xdr:rowOff>
    </xdr:from>
    <xdr:to>
      <xdr:col>29</xdr:col>
      <xdr:colOff>73025</xdr:colOff>
      <xdr:row>4</xdr:row>
      <xdr:rowOff>139700</xdr:rowOff>
    </xdr:to>
    <xdr:pic>
      <xdr:nvPicPr>
        <xdr:cNvPr id="58" name="BExU7S9JLLKC6T3QNA5K3W0EHHD9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061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30</xdr:col>
      <xdr:colOff>28575</xdr:colOff>
      <xdr:row>4</xdr:row>
      <xdr:rowOff>12700</xdr:rowOff>
    </xdr:from>
    <xdr:to>
      <xdr:col>30</xdr:col>
      <xdr:colOff>85725</xdr:colOff>
      <xdr:row>4</xdr:row>
      <xdr:rowOff>63500</xdr:rowOff>
    </xdr:to>
    <xdr:pic>
      <xdr:nvPicPr>
        <xdr:cNvPr id="59" name="BExKSXRKIUDQCJLDPKUNBJ6M0JI3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554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30</xdr:col>
      <xdr:colOff>28575</xdr:colOff>
      <xdr:row>4</xdr:row>
      <xdr:rowOff>88900</xdr:rowOff>
    </xdr:from>
    <xdr:to>
      <xdr:col>30</xdr:col>
      <xdr:colOff>85725</xdr:colOff>
      <xdr:row>4</xdr:row>
      <xdr:rowOff>139700</xdr:rowOff>
    </xdr:to>
    <xdr:pic>
      <xdr:nvPicPr>
        <xdr:cNvPr id="60" name="BEx3JR2B8LRPGSO7L3GI6276XVKJ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55400" y="6184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31</xdr:col>
      <xdr:colOff>25400</xdr:colOff>
      <xdr:row>4</xdr:row>
      <xdr:rowOff>12700</xdr:rowOff>
    </xdr:from>
    <xdr:to>
      <xdr:col>31</xdr:col>
      <xdr:colOff>76200</xdr:colOff>
      <xdr:row>4</xdr:row>
      <xdr:rowOff>63500</xdr:rowOff>
    </xdr:to>
    <xdr:pic>
      <xdr:nvPicPr>
        <xdr:cNvPr id="61" name="BExGRMXUJ8BVYONZO1T3K5S3RWGW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04700" y="6108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31</xdr:col>
      <xdr:colOff>25400</xdr:colOff>
      <xdr:row>4</xdr:row>
      <xdr:rowOff>88900</xdr:rowOff>
    </xdr:from>
    <xdr:to>
      <xdr:col>31</xdr:col>
      <xdr:colOff>76200</xdr:colOff>
      <xdr:row>4</xdr:row>
      <xdr:rowOff>139700</xdr:rowOff>
    </xdr:to>
    <xdr:pic>
      <xdr:nvPicPr>
        <xdr:cNvPr id="62" name="BExMAR3WO0R9TKFJ85KX6X2ONYWF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04700" y="6184900"/>
          <a:ext cx="50800" cy="50800"/>
        </a:xfrm>
        <a:prstGeom prst="rect">
          <a:avLst/>
        </a:prstGeom>
      </xdr:spPr>
    </xdr:pic>
    <xdr:clientData/>
  </xdr:twoCellAnchor>
  <xdr:twoCellAnchor>
    <xdr:from>
      <xdr:col>3</xdr:col>
      <xdr:colOff>28575</xdr:colOff>
      <xdr:row>17</xdr:row>
      <xdr:rowOff>19050</xdr:rowOff>
    </xdr:from>
    <xdr:to>
      <xdr:col>3</xdr:col>
      <xdr:colOff>76200</xdr:colOff>
      <xdr:row>17</xdr:row>
      <xdr:rowOff>66675</xdr:rowOff>
    </xdr:to>
    <xdr:pic>
      <xdr:nvPicPr>
        <xdr:cNvPr id="63" name="BExH1S9RU107ESDO046H06YHQWHU" descr="SortAscending.gif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3457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28575</xdr:colOff>
      <xdr:row>17</xdr:row>
      <xdr:rowOff>95250</xdr:rowOff>
    </xdr:from>
    <xdr:to>
      <xdr:col>3</xdr:col>
      <xdr:colOff>76200</xdr:colOff>
      <xdr:row>17</xdr:row>
      <xdr:rowOff>142875</xdr:rowOff>
    </xdr:to>
    <xdr:pic>
      <xdr:nvPicPr>
        <xdr:cNvPr id="64" name="BExMNM58ZC50IDYGJZJBPOSEST60" descr="SortDescending.gif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3533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28575</xdr:colOff>
      <xdr:row>17</xdr:row>
      <xdr:rowOff>19050</xdr:rowOff>
    </xdr:from>
    <xdr:to>
      <xdr:col>4</xdr:col>
      <xdr:colOff>76200</xdr:colOff>
      <xdr:row>17</xdr:row>
      <xdr:rowOff>66675</xdr:rowOff>
    </xdr:to>
    <xdr:pic>
      <xdr:nvPicPr>
        <xdr:cNvPr id="65" name="BEx75UCAYAYTDK29951I2KVOIOH3" descr="SortAscending.gif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3457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28575</xdr:colOff>
      <xdr:row>17</xdr:row>
      <xdr:rowOff>95250</xdr:rowOff>
    </xdr:from>
    <xdr:to>
      <xdr:col>4</xdr:col>
      <xdr:colOff>76200</xdr:colOff>
      <xdr:row>17</xdr:row>
      <xdr:rowOff>142875</xdr:rowOff>
    </xdr:to>
    <xdr:pic>
      <xdr:nvPicPr>
        <xdr:cNvPr id="66" name="BExF5LNBVMA12622Q6Q71BRPJQAQ" descr="SortDescending.gif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3533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17</xdr:row>
      <xdr:rowOff>19050</xdr:rowOff>
    </xdr:from>
    <xdr:to>
      <xdr:col>5</xdr:col>
      <xdr:colOff>76200</xdr:colOff>
      <xdr:row>17</xdr:row>
      <xdr:rowOff>66675</xdr:rowOff>
    </xdr:to>
    <xdr:pic>
      <xdr:nvPicPr>
        <xdr:cNvPr id="67" name="BEx5AVH092ZUAV9F4EFUX9WMCFQY" descr="SortAscending.gif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3457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28575</xdr:colOff>
      <xdr:row>17</xdr:row>
      <xdr:rowOff>95250</xdr:rowOff>
    </xdr:from>
    <xdr:to>
      <xdr:col>5</xdr:col>
      <xdr:colOff>76200</xdr:colOff>
      <xdr:row>17</xdr:row>
      <xdr:rowOff>142875</xdr:rowOff>
    </xdr:to>
    <xdr:pic>
      <xdr:nvPicPr>
        <xdr:cNvPr id="68" name="BEx79K5MTICXBC83QYTAQTEOJ52D" descr="SortDescending.gif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3533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19050</xdr:colOff>
      <xdr:row>17</xdr:row>
      <xdr:rowOff>19050</xdr:rowOff>
    </xdr:from>
    <xdr:to>
      <xdr:col>6</xdr:col>
      <xdr:colOff>76200</xdr:colOff>
      <xdr:row>17</xdr:row>
      <xdr:rowOff>66675</xdr:rowOff>
    </xdr:to>
    <xdr:pic>
      <xdr:nvPicPr>
        <xdr:cNvPr id="69" name="BEx5QRWDQN3YD2K0BPBWXYIJJVDR" descr="SortAscending.gif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345757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19050</xdr:colOff>
      <xdr:row>17</xdr:row>
      <xdr:rowOff>95250</xdr:rowOff>
    </xdr:from>
    <xdr:to>
      <xdr:col>6</xdr:col>
      <xdr:colOff>76200</xdr:colOff>
      <xdr:row>17</xdr:row>
      <xdr:rowOff>142875</xdr:rowOff>
    </xdr:to>
    <xdr:pic>
      <xdr:nvPicPr>
        <xdr:cNvPr id="70" name="BExXZP6DK18IRECLA1ZYIX5JSHW5" descr="SortDescending.gif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353377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28575</xdr:colOff>
      <xdr:row>17</xdr:row>
      <xdr:rowOff>19050</xdr:rowOff>
    </xdr:from>
    <xdr:to>
      <xdr:col>7</xdr:col>
      <xdr:colOff>76200</xdr:colOff>
      <xdr:row>17</xdr:row>
      <xdr:rowOff>66675</xdr:rowOff>
    </xdr:to>
    <xdr:pic>
      <xdr:nvPicPr>
        <xdr:cNvPr id="71" name="BExS50A0J3T2UVBQ76CODWN7J4KK" descr="SortAscending.gif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457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7</xdr:col>
      <xdr:colOff>28575</xdr:colOff>
      <xdr:row>17</xdr:row>
      <xdr:rowOff>95250</xdr:rowOff>
    </xdr:from>
    <xdr:to>
      <xdr:col>7</xdr:col>
      <xdr:colOff>76200</xdr:colOff>
      <xdr:row>17</xdr:row>
      <xdr:rowOff>142875</xdr:rowOff>
    </xdr:to>
    <xdr:pic>
      <xdr:nvPicPr>
        <xdr:cNvPr id="72" name="BExGZ1DD93QUMHVORRERP98VRHMK" descr="SortDescending.gif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3533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</xdr:colOff>
      <xdr:row>17</xdr:row>
      <xdr:rowOff>19050</xdr:rowOff>
    </xdr:from>
    <xdr:to>
      <xdr:col>8</xdr:col>
      <xdr:colOff>66675</xdr:colOff>
      <xdr:row>17</xdr:row>
      <xdr:rowOff>66675</xdr:rowOff>
    </xdr:to>
    <xdr:pic>
      <xdr:nvPicPr>
        <xdr:cNvPr id="73" name="BExXY4U1OCO7GRGWV6B3KCPIXLCL" descr="SortAscending.gif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3457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8</xdr:col>
      <xdr:colOff>19050</xdr:colOff>
      <xdr:row>17</xdr:row>
      <xdr:rowOff>95250</xdr:rowOff>
    </xdr:from>
    <xdr:to>
      <xdr:col>8</xdr:col>
      <xdr:colOff>66675</xdr:colOff>
      <xdr:row>17</xdr:row>
      <xdr:rowOff>142875</xdr:rowOff>
    </xdr:to>
    <xdr:pic>
      <xdr:nvPicPr>
        <xdr:cNvPr id="74" name="BExEU7YJK67EKU02ZDHXIODYOAGA" descr="SortDescending.gif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3533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28575</xdr:colOff>
      <xdr:row>17</xdr:row>
      <xdr:rowOff>19050</xdr:rowOff>
    </xdr:from>
    <xdr:to>
      <xdr:col>9</xdr:col>
      <xdr:colOff>76200</xdr:colOff>
      <xdr:row>17</xdr:row>
      <xdr:rowOff>66675</xdr:rowOff>
    </xdr:to>
    <xdr:pic>
      <xdr:nvPicPr>
        <xdr:cNvPr id="75" name="BExKK2QJR5GEXPTPMD4K1UPBI6GD" descr="SortAscending.gif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3457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9</xdr:col>
      <xdr:colOff>28575</xdr:colOff>
      <xdr:row>17</xdr:row>
      <xdr:rowOff>95250</xdr:rowOff>
    </xdr:from>
    <xdr:to>
      <xdr:col>9</xdr:col>
      <xdr:colOff>76200</xdr:colOff>
      <xdr:row>17</xdr:row>
      <xdr:rowOff>142875</xdr:rowOff>
    </xdr:to>
    <xdr:pic>
      <xdr:nvPicPr>
        <xdr:cNvPr id="76" name="BExCYPWNKZ4387R3GEJMFNATSBXJ" descr="SortDescending.gif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3533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28575</xdr:colOff>
      <xdr:row>17</xdr:row>
      <xdr:rowOff>19050</xdr:rowOff>
    </xdr:from>
    <xdr:to>
      <xdr:col>10</xdr:col>
      <xdr:colOff>76200</xdr:colOff>
      <xdr:row>17</xdr:row>
      <xdr:rowOff>66675</xdr:rowOff>
    </xdr:to>
    <xdr:pic>
      <xdr:nvPicPr>
        <xdr:cNvPr id="77" name="BExQH099GJG551NJAA83W0H7T3AO" descr="SortAscending.gif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3457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10</xdr:col>
      <xdr:colOff>28575</xdr:colOff>
      <xdr:row>17</xdr:row>
      <xdr:rowOff>95250</xdr:rowOff>
    </xdr:from>
    <xdr:to>
      <xdr:col>10</xdr:col>
      <xdr:colOff>76200</xdr:colOff>
      <xdr:row>17</xdr:row>
      <xdr:rowOff>142875</xdr:rowOff>
    </xdr:to>
    <xdr:pic>
      <xdr:nvPicPr>
        <xdr:cNvPr id="78" name="BExIV5LISKMH226SIJC8PQX0XOVZ" descr="SortDescending.gif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3533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28575</xdr:colOff>
      <xdr:row>17</xdr:row>
      <xdr:rowOff>19050</xdr:rowOff>
    </xdr:from>
    <xdr:to>
      <xdr:col>11</xdr:col>
      <xdr:colOff>85725</xdr:colOff>
      <xdr:row>17</xdr:row>
      <xdr:rowOff>66675</xdr:rowOff>
    </xdr:to>
    <xdr:pic>
      <xdr:nvPicPr>
        <xdr:cNvPr id="79" name="BExME1HMOD0OW4CY2I6YXBGO6MQW" descr="SortAscending.gif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345757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11</xdr:col>
      <xdr:colOff>28575</xdr:colOff>
      <xdr:row>17</xdr:row>
      <xdr:rowOff>95250</xdr:rowOff>
    </xdr:from>
    <xdr:to>
      <xdr:col>11</xdr:col>
      <xdr:colOff>85725</xdr:colOff>
      <xdr:row>17</xdr:row>
      <xdr:rowOff>142875</xdr:rowOff>
    </xdr:to>
    <xdr:pic>
      <xdr:nvPicPr>
        <xdr:cNvPr id="80" name="BExGVVS9HUM5TM9G4JZNP9FX9L7H" descr="SortDescending.gif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353377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28575</xdr:colOff>
      <xdr:row>17</xdr:row>
      <xdr:rowOff>19050</xdr:rowOff>
    </xdr:from>
    <xdr:to>
      <xdr:col>12</xdr:col>
      <xdr:colOff>76200</xdr:colOff>
      <xdr:row>17</xdr:row>
      <xdr:rowOff>66675</xdr:rowOff>
    </xdr:to>
    <xdr:pic>
      <xdr:nvPicPr>
        <xdr:cNvPr id="81" name="BExMQMS9GRHF2452BDUX07GCRRJ4" descr="SortAscending.gif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3457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12</xdr:col>
      <xdr:colOff>28575</xdr:colOff>
      <xdr:row>17</xdr:row>
      <xdr:rowOff>95250</xdr:rowOff>
    </xdr:from>
    <xdr:to>
      <xdr:col>12</xdr:col>
      <xdr:colOff>76200</xdr:colOff>
      <xdr:row>17</xdr:row>
      <xdr:rowOff>142875</xdr:rowOff>
    </xdr:to>
    <xdr:pic>
      <xdr:nvPicPr>
        <xdr:cNvPr id="82" name="BExQHHSF0F2PIHXIDTTRIS3MTHLF" descr="SortDescending.gif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3533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19050</xdr:colOff>
      <xdr:row>17</xdr:row>
      <xdr:rowOff>19050</xdr:rowOff>
    </xdr:from>
    <xdr:to>
      <xdr:col>13</xdr:col>
      <xdr:colOff>76200</xdr:colOff>
      <xdr:row>17</xdr:row>
      <xdr:rowOff>66675</xdr:rowOff>
    </xdr:to>
    <xdr:pic>
      <xdr:nvPicPr>
        <xdr:cNvPr id="83" name="BExY3HDZSWAXT76GVG7EL4GXAJ2Z" descr="SortAscending.gif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345757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13</xdr:col>
      <xdr:colOff>19050</xdr:colOff>
      <xdr:row>17</xdr:row>
      <xdr:rowOff>95250</xdr:rowOff>
    </xdr:from>
    <xdr:to>
      <xdr:col>13</xdr:col>
      <xdr:colOff>76200</xdr:colOff>
      <xdr:row>17</xdr:row>
      <xdr:rowOff>142875</xdr:rowOff>
    </xdr:to>
    <xdr:pic>
      <xdr:nvPicPr>
        <xdr:cNvPr id="84" name="BExMOU771C9T8W082KBSOZMO3OT6" descr="SortDescending.gif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3533775"/>
          <a:ext cx="571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28575</xdr:colOff>
      <xdr:row>17</xdr:row>
      <xdr:rowOff>19050</xdr:rowOff>
    </xdr:from>
    <xdr:to>
      <xdr:col>14</xdr:col>
      <xdr:colOff>76200</xdr:colOff>
      <xdr:row>17</xdr:row>
      <xdr:rowOff>66675</xdr:rowOff>
    </xdr:to>
    <xdr:pic>
      <xdr:nvPicPr>
        <xdr:cNvPr id="85" name="BEx76R5PRQJO5YZQAEPGBZOLOK2X" descr="SortAscending.gif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1875" y="34575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14</xdr:col>
      <xdr:colOff>28575</xdr:colOff>
      <xdr:row>17</xdr:row>
      <xdr:rowOff>95250</xdr:rowOff>
    </xdr:from>
    <xdr:to>
      <xdr:col>14</xdr:col>
      <xdr:colOff>76200</xdr:colOff>
      <xdr:row>17</xdr:row>
      <xdr:rowOff>142875</xdr:rowOff>
    </xdr:to>
    <xdr:pic>
      <xdr:nvPicPr>
        <xdr:cNvPr id="86" name="BEx1NKACL2NK7A4QUKSUG2KSLPHR" descr="SortDescending.gif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1875" y="35337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17</xdr:row>
      <xdr:rowOff>0</xdr:rowOff>
    </xdr:from>
    <xdr:to>
      <xdr:col>14</xdr:col>
      <xdr:colOff>587375</xdr:colOff>
      <xdr:row>23</xdr:row>
      <xdr:rowOff>149225</xdr:rowOff>
    </xdr:to>
    <xdr:pic>
      <xdr:nvPicPr>
        <xdr:cNvPr id="87" name="BEx3TD7VVA5JC0HV6ARSZ23AUS8Z" descr="analysis_prev" hidden="1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3438525"/>
          <a:ext cx="10798175" cy="1120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25400</xdr:colOff>
      <xdr:row>17</xdr:row>
      <xdr:rowOff>15875</xdr:rowOff>
    </xdr:from>
    <xdr:to>
      <xdr:col>3</xdr:col>
      <xdr:colOff>76200</xdr:colOff>
      <xdr:row>17</xdr:row>
      <xdr:rowOff>66675</xdr:rowOff>
    </xdr:to>
    <xdr:pic>
      <xdr:nvPicPr>
        <xdr:cNvPr id="88" name="BEx7F5PGOZGKP3P0MUVX5JOPOJ6D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900" y="34544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25400</xdr:colOff>
      <xdr:row>17</xdr:row>
      <xdr:rowOff>92075</xdr:rowOff>
    </xdr:from>
    <xdr:to>
      <xdr:col>3</xdr:col>
      <xdr:colOff>76200</xdr:colOff>
      <xdr:row>17</xdr:row>
      <xdr:rowOff>142875</xdr:rowOff>
    </xdr:to>
    <xdr:pic>
      <xdr:nvPicPr>
        <xdr:cNvPr id="89" name="BExQF481YIEO85APOIB2PNIURZ3R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7900" y="35306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4</xdr:col>
      <xdr:colOff>28575</xdr:colOff>
      <xdr:row>17</xdr:row>
      <xdr:rowOff>15875</xdr:rowOff>
    </xdr:from>
    <xdr:to>
      <xdr:col>4</xdr:col>
      <xdr:colOff>85725</xdr:colOff>
      <xdr:row>17</xdr:row>
      <xdr:rowOff>66675</xdr:rowOff>
    </xdr:to>
    <xdr:pic>
      <xdr:nvPicPr>
        <xdr:cNvPr id="90" name="BExQ926Z1LXMCU1WX7BH7ETMP8FT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34544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4</xdr:col>
      <xdr:colOff>28575</xdr:colOff>
      <xdr:row>17</xdr:row>
      <xdr:rowOff>92075</xdr:rowOff>
    </xdr:from>
    <xdr:to>
      <xdr:col>4</xdr:col>
      <xdr:colOff>85725</xdr:colOff>
      <xdr:row>17</xdr:row>
      <xdr:rowOff>142875</xdr:rowOff>
    </xdr:to>
    <xdr:pic>
      <xdr:nvPicPr>
        <xdr:cNvPr id="91" name="BExD9KV5HZF3LDEUQXOXYKSBBSHX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35306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5</xdr:col>
      <xdr:colOff>22225</xdr:colOff>
      <xdr:row>17</xdr:row>
      <xdr:rowOff>15875</xdr:rowOff>
    </xdr:from>
    <xdr:to>
      <xdr:col>5</xdr:col>
      <xdr:colOff>73025</xdr:colOff>
      <xdr:row>17</xdr:row>
      <xdr:rowOff>66675</xdr:rowOff>
    </xdr:to>
    <xdr:pic>
      <xdr:nvPicPr>
        <xdr:cNvPr id="92" name="BExS0SXF1E8A6EJ0QQ94U1PHRPTR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7800" y="34544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5</xdr:col>
      <xdr:colOff>22225</xdr:colOff>
      <xdr:row>17</xdr:row>
      <xdr:rowOff>92075</xdr:rowOff>
    </xdr:from>
    <xdr:to>
      <xdr:col>5</xdr:col>
      <xdr:colOff>73025</xdr:colOff>
      <xdr:row>17</xdr:row>
      <xdr:rowOff>142875</xdr:rowOff>
    </xdr:to>
    <xdr:pic>
      <xdr:nvPicPr>
        <xdr:cNvPr id="93" name="BExQ6X60ZE4CPW8O13LEF0FH45BV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7800" y="35306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17</xdr:row>
      <xdr:rowOff>15875</xdr:rowOff>
    </xdr:from>
    <xdr:to>
      <xdr:col>6</xdr:col>
      <xdr:colOff>85725</xdr:colOff>
      <xdr:row>17</xdr:row>
      <xdr:rowOff>66675</xdr:rowOff>
    </xdr:to>
    <xdr:pic>
      <xdr:nvPicPr>
        <xdr:cNvPr id="94" name="BExGP5BPHPS4J6KNTGT6ICDXM0GF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34544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6</xdr:col>
      <xdr:colOff>28575</xdr:colOff>
      <xdr:row>17</xdr:row>
      <xdr:rowOff>92075</xdr:rowOff>
    </xdr:from>
    <xdr:to>
      <xdr:col>6</xdr:col>
      <xdr:colOff>85725</xdr:colOff>
      <xdr:row>17</xdr:row>
      <xdr:rowOff>142875</xdr:rowOff>
    </xdr:to>
    <xdr:pic>
      <xdr:nvPicPr>
        <xdr:cNvPr id="95" name="BExMPIRXGYD1UM9TUFPX8X7YNZB5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35306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7</xdr:col>
      <xdr:colOff>25400</xdr:colOff>
      <xdr:row>17</xdr:row>
      <xdr:rowOff>15875</xdr:rowOff>
    </xdr:from>
    <xdr:to>
      <xdr:col>7</xdr:col>
      <xdr:colOff>76200</xdr:colOff>
      <xdr:row>17</xdr:row>
      <xdr:rowOff>66675</xdr:rowOff>
    </xdr:to>
    <xdr:pic>
      <xdr:nvPicPr>
        <xdr:cNvPr id="96" name="BExSBQL1ZG7C68TX9CITQ5PONZQI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8900" y="34544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7</xdr:col>
      <xdr:colOff>25400</xdr:colOff>
      <xdr:row>17</xdr:row>
      <xdr:rowOff>92075</xdr:rowOff>
    </xdr:from>
    <xdr:to>
      <xdr:col>7</xdr:col>
      <xdr:colOff>76200</xdr:colOff>
      <xdr:row>17</xdr:row>
      <xdr:rowOff>142875</xdr:rowOff>
    </xdr:to>
    <xdr:pic>
      <xdr:nvPicPr>
        <xdr:cNvPr id="97" name="BExGM6MSHL0ULXY9T283LHRNW7I1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8900" y="35306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8</xdr:col>
      <xdr:colOff>28575</xdr:colOff>
      <xdr:row>17</xdr:row>
      <xdr:rowOff>15875</xdr:rowOff>
    </xdr:from>
    <xdr:to>
      <xdr:col>8</xdr:col>
      <xdr:colOff>85725</xdr:colOff>
      <xdr:row>17</xdr:row>
      <xdr:rowOff>66675</xdr:rowOff>
    </xdr:to>
    <xdr:pic>
      <xdr:nvPicPr>
        <xdr:cNvPr id="98" name="BEx1L1XJRRFTMYEUQKNL91PUDRY9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0" y="34544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8</xdr:col>
      <xdr:colOff>28575</xdr:colOff>
      <xdr:row>17</xdr:row>
      <xdr:rowOff>92075</xdr:rowOff>
    </xdr:from>
    <xdr:to>
      <xdr:col>8</xdr:col>
      <xdr:colOff>85725</xdr:colOff>
      <xdr:row>17</xdr:row>
      <xdr:rowOff>142875</xdr:rowOff>
    </xdr:to>
    <xdr:pic>
      <xdr:nvPicPr>
        <xdr:cNvPr id="99" name="BExBBB5ZVKSJX9CLJXX4HECRA4LI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0" y="35306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9</xdr:col>
      <xdr:colOff>25400</xdr:colOff>
      <xdr:row>17</xdr:row>
      <xdr:rowOff>15875</xdr:rowOff>
    </xdr:from>
    <xdr:to>
      <xdr:col>9</xdr:col>
      <xdr:colOff>76200</xdr:colOff>
      <xdr:row>17</xdr:row>
      <xdr:rowOff>66675</xdr:rowOff>
    </xdr:to>
    <xdr:pic>
      <xdr:nvPicPr>
        <xdr:cNvPr id="100" name="BExZVW3S17CUWU4T9A7TAPG9Z5O3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8100" y="34544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9</xdr:col>
      <xdr:colOff>25400</xdr:colOff>
      <xdr:row>17</xdr:row>
      <xdr:rowOff>92075</xdr:rowOff>
    </xdr:from>
    <xdr:to>
      <xdr:col>9</xdr:col>
      <xdr:colOff>76200</xdr:colOff>
      <xdr:row>17</xdr:row>
      <xdr:rowOff>142875</xdr:rowOff>
    </xdr:to>
    <xdr:pic>
      <xdr:nvPicPr>
        <xdr:cNvPr id="101" name="BExS13F2K7LZO4ZF6DOEBWUNG927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8100" y="35306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10</xdr:col>
      <xdr:colOff>22225</xdr:colOff>
      <xdr:row>17</xdr:row>
      <xdr:rowOff>15875</xdr:rowOff>
    </xdr:from>
    <xdr:to>
      <xdr:col>10</xdr:col>
      <xdr:colOff>73025</xdr:colOff>
      <xdr:row>17</xdr:row>
      <xdr:rowOff>66675</xdr:rowOff>
    </xdr:to>
    <xdr:pic>
      <xdr:nvPicPr>
        <xdr:cNvPr id="102" name="BEx7JNE83V0ZQ4G1DFWPLZSWVLYM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9300" y="34544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10</xdr:col>
      <xdr:colOff>22225</xdr:colOff>
      <xdr:row>17</xdr:row>
      <xdr:rowOff>92075</xdr:rowOff>
    </xdr:from>
    <xdr:to>
      <xdr:col>10</xdr:col>
      <xdr:colOff>73025</xdr:colOff>
      <xdr:row>17</xdr:row>
      <xdr:rowOff>142875</xdr:rowOff>
    </xdr:to>
    <xdr:pic>
      <xdr:nvPicPr>
        <xdr:cNvPr id="103" name="BExQHLOOC6LLLIXEH7PD95JU66FY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9300" y="35306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17</xdr:row>
      <xdr:rowOff>15875</xdr:rowOff>
    </xdr:from>
    <xdr:to>
      <xdr:col>11</xdr:col>
      <xdr:colOff>85725</xdr:colOff>
      <xdr:row>17</xdr:row>
      <xdr:rowOff>66675</xdr:rowOff>
    </xdr:to>
    <xdr:pic>
      <xdr:nvPicPr>
        <xdr:cNvPr id="104" name="BExVSJ8ZQ4RBSJ7QQWDINMIXOPKO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34544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11</xdr:col>
      <xdr:colOff>28575</xdr:colOff>
      <xdr:row>17</xdr:row>
      <xdr:rowOff>92075</xdr:rowOff>
    </xdr:from>
    <xdr:to>
      <xdr:col>11</xdr:col>
      <xdr:colOff>85725</xdr:colOff>
      <xdr:row>17</xdr:row>
      <xdr:rowOff>142875</xdr:rowOff>
    </xdr:to>
    <xdr:pic>
      <xdr:nvPicPr>
        <xdr:cNvPr id="105" name="BExQCGRRSICMNR21RENI80MIC27G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35306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12</xdr:col>
      <xdr:colOff>25400</xdr:colOff>
      <xdr:row>17</xdr:row>
      <xdr:rowOff>15875</xdr:rowOff>
    </xdr:from>
    <xdr:to>
      <xdr:col>12</xdr:col>
      <xdr:colOff>76200</xdr:colOff>
      <xdr:row>17</xdr:row>
      <xdr:rowOff>66675</xdr:rowOff>
    </xdr:to>
    <xdr:pic>
      <xdr:nvPicPr>
        <xdr:cNvPr id="106" name="BExY3O4V7XX67P50T4OFJVTMI4AW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8400" y="34544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12</xdr:col>
      <xdr:colOff>25400</xdr:colOff>
      <xdr:row>17</xdr:row>
      <xdr:rowOff>92075</xdr:rowOff>
    </xdr:from>
    <xdr:to>
      <xdr:col>12</xdr:col>
      <xdr:colOff>76200</xdr:colOff>
      <xdr:row>17</xdr:row>
      <xdr:rowOff>142875</xdr:rowOff>
    </xdr:to>
    <xdr:pic>
      <xdr:nvPicPr>
        <xdr:cNvPr id="107" name="BExBDZ2JBXLZIN8F9XK9NLTUSSAR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8400" y="35306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</xdr:colOff>
      <xdr:row>17</xdr:row>
      <xdr:rowOff>15875</xdr:rowOff>
    </xdr:from>
    <xdr:to>
      <xdr:col>13</xdr:col>
      <xdr:colOff>63500</xdr:colOff>
      <xdr:row>17</xdr:row>
      <xdr:rowOff>66675</xdr:rowOff>
    </xdr:to>
    <xdr:pic>
      <xdr:nvPicPr>
        <xdr:cNvPr id="108" name="BExISZ2RG9UJ0U65WA2PQTGQTMB2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800" y="34544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13</xdr:col>
      <xdr:colOff>19050</xdr:colOff>
      <xdr:row>17</xdr:row>
      <xdr:rowOff>92075</xdr:rowOff>
    </xdr:from>
    <xdr:to>
      <xdr:col>13</xdr:col>
      <xdr:colOff>63500</xdr:colOff>
      <xdr:row>17</xdr:row>
      <xdr:rowOff>142875</xdr:rowOff>
    </xdr:to>
    <xdr:pic>
      <xdr:nvPicPr>
        <xdr:cNvPr id="109" name="BExEVPR719059QL78ULKSAER4TDN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800" y="35306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14</xdr:col>
      <xdr:colOff>25400</xdr:colOff>
      <xdr:row>17</xdr:row>
      <xdr:rowOff>15875</xdr:rowOff>
    </xdr:from>
    <xdr:to>
      <xdr:col>14</xdr:col>
      <xdr:colOff>76200</xdr:colOff>
      <xdr:row>17</xdr:row>
      <xdr:rowOff>66675</xdr:rowOff>
    </xdr:to>
    <xdr:pic>
      <xdr:nvPicPr>
        <xdr:cNvPr id="110" name="BExO7CF2MUCL5PF77SBPY5A7FZKC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8700" y="34544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14</xdr:col>
      <xdr:colOff>25400</xdr:colOff>
      <xdr:row>17</xdr:row>
      <xdr:rowOff>92075</xdr:rowOff>
    </xdr:from>
    <xdr:to>
      <xdr:col>14</xdr:col>
      <xdr:colOff>76200</xdr:colOff>
      <xdr:row>17</xdr:row>
      <xdr:rowOff>142875</xdr:rowOff>
    </xdr:to>
    <xdr:pic>
      <xdr:nvPicPr>
        <xdr:cNvPr id="111" name="BExEZ7MOY4O153SWFJV8ZF7GT696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8700" y="3530600"/>
          <a:ext cx="50800" cy="5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7EE13-C77B-4AFF-92FD-C08F1F1D2E3B}">
  <dimension ref="A1:A22"/>
  <sheetViews>
    <sheetView tabSelected="1" zoomScaleNormal="100" workbookViewId="0">
      <selection activeCell="K13" sqref="K13"/>
    </sheetView>
  </sheetViews>
  <sheetFormatPr defaultRowHeight="12.75"/>
  <sheetData>
    <row r="1" spans="1:1">
      <c r="A1" s="261" t="s">
        <v>147</v>
      </c>
    </row>
    <row r="2" spans="1:1">
      <c r="A2" s="261" t="s">
        <v>178</v>
      </c>
    </row>
    <row r="3" spans="1:1">
      <c r="A3" s="261" t="s">
        <v>179</v>
      </c>
    </row>
    <row r="4" spans="1:1">
      <c r="A4" s="262" t="s">
        <v>189</v>
      </c>
    </row>
    <row r="5" spans="1:1">
      <c r="A5" s="30" t="s">
        <v>190</v>
      </c>
    </row>
    <row r="8" spans="1:1">
      <c r="A8" s="261" t="s">
        <v>180</v>
      </c>
    </row>
    <row r="9" spans="1:1">
      <c r="A9" s="264" t="s">
        <v>181</v>
      </c>
    </row>
    <row r="10" spans="1:1">
      <c r="A10" s="264" t="s">
        <v>186</v>
      </c>
    </row>
    <row r="11" spans="1:1">
      <c r="A11" s="264" t="s">
        <v>187</v>
      </c>
    </row>
    <row r="12" spans="1:1">
      <c r="A12" s="264" t="s">
        <v>182</v>
      </c>
    </row>
    <row r="13" spans="1:1">
      <c r="A13" s="30"/>
    </row>
    <row r="14" spans="1:1">
      <c r="A14" s="264" t="s">
        <v>183</v>
      </c>
    </row>
    <row r="15" spans="1:1">
      <c r="A15" s="30"/>
    </row>
    <row r="16" spans="1:1">
      <c r="A16" s="265" t="s">
        <v>184</v>
      </c>
    </row>
    <row r="17" spans="1:1">
      <c r="A17" s="266" t="s">
        <v>185</v>
      </c>
    </row>
    <row r="20" spans="1:1">
      <c r="A20" s="264" t="s">
        <v>188</v>
      </c>
    </row>
    <row r="21" spans="1:1">
      <c r="A21" s="30"/>
    </row>
    <row r="22" spans="1:1">
      <c r="A22" s="267" t="s">
        <v>191</v>
      </c>
    </row>
  </sheetData>
  <pageMargins left="0.7" right="0.7" top="0.75" bottom="0.75" header="0.3" footer="0.3"/>
  <pageSetup orientation="portrait" horizontalDpi="0" verticalDpi="0" r:id="rId1"/>
  <headerFooter>
    <oddHeader>&amp;RExh. RJW-2 Wyman WP4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28393-465A-425B-A95B-3A32F6127A68}">
  <sheetPr>
    <tabColor theme="6" tint="0.79998168889431442"/>
  </sheetPr>
  <dimension ref="A1:H55"/>
  <sheetViews>
    <sheetView topLeftCell="A3" zoomScaleNormal="100" workbookViewId="0">
      <selection activeCell="B67" sqref="B67"/>
    </sheetView>
  </sheetViews>
  <sheetFormatPr defaultRowHeight="12.75"/>
  <cols>
    <col min="7" max="7" width="13.83203125" bestFit="1" customWidth="1"/>
  </cols>
  <sheetData>
    <row r="1" spans="1:7" s="30" customFormat="1">
      <c r="A1" s="261" t="s">
        <v>147</v>
      </c>
    </row>
    <row r="2" spans="1:7" s="30" customFormat="1">
      <c r="A2" s="261" t="s">
        <v>178</v>
      </c>
    </row>
    <row r="3" spans="1:7" s="30" customFormat="1">
      <c r="A3" s="261" t="s">
        <v>179</v>
      </c>
    </row>
    <row r="4" spans="1:7">
      <c r="A4" s="262" t="s">
        <v>192</v>
      </c>
    </row>
    <row r="5" spans="1:7">
      <c r="A5" s="262" t="s">
        <v>189</v>
      </c>
    </row>
    <row r="6" spans="1:7" s="30" customFormat="1">
      <c r="A6" s="263" t="s">
        <v>169</v>
      </c>
    </row>
    <row r="7" spans="1:7" s="30" customFormat="1"/>
    <row r="9" spans="1:7">
      <c r="C9" s="174" t="s">
        <v>136</v>
      </c>
    </row>
    <row r="11" spans="1:7">
      <c r="C11" s="30" t="s">
        <v>126</v>
      </c>
    </row>
    <row r="12" spans="1:7">
      <c r="D12" s="160" t="s">
        <v>127</v>
      </c>
    </row>
    <row r="13" spans="1:7">
      <c r="D13" s="157" t="s">
        <v>131</v>
      </c>
      <c r="G13">
        <f>'11200 Gas Storage Ops'!U86</f>
        <v>30.2</v>
      </c>
    </row>
    <row r="14" spans="1:7">
      <c r="D14" s="157" t="s">
        <v>128</v>
      </c>
      <c r="G14" s="50">
        <f>'11200 Gas Storage Ops'!W88</f>
        <v>62815.999999999993</v>
      </c>
    </row>
    <row r="15" spans="1:7">
      <c r="D15" s="157" t="s">
        <v>66</v>
      </c>
      <c r="G15" s="158">
        <f>'11200 Gas Storage Ops'!W93</f>
        <v>70.735493725361493</v>
      </c>
    </row>
    <row r="16" spans="1:7">
      <c r="D16" s="157" t="s">
        <v>129</v>
      </c>
      <c r="G16" s="161">
        <f>G14*G15</f>
        <v>4443320.7738523073</v>
      </c>
    </row>
    <row r="17" spans="3:8">
      <c r="D17" s="159" t="s">
        <v>130</v>
      </c>
    </row>
    <row r="18" spans="3:8">
      <c r="D18" s="157" t="s">
        <v>131</v>
      </c>
      <c r="G18">
        <f>'11300 Gas Control'!T40</f>
        <v>14</v>
      </c>
    </row>
    <row r="19" spans="3:8">
      <c r="D19" s="157" t="s">
        <v>128</v>
      </c>
      <c r="G19" s="50">
        <f>'11300 Gas Control'!W42</f>
        <v>29120.000000000004</v>
      </c>
    </row>
    <row r="20" spans="3:8">
      <c r="D20" s="157" t="s">
        <v>66</v>
      </c>
      <c r="G20" s="158">
        <f>'11300 Gas Control'!W47</f>
        <v>78.204801726338943</v>
      </c>
    </row>
    <row r="21" spans="3:8">
      <c r="D21" s="157" t="s">
        <v>129</v>
      </c>
      <c r="G21" s="161">
        <f>G19*G20</f>
        <v>2277323.8262709901</v>
      </c>
    </row>
    <row r="22" spans="3:8" s="30" customFormat="1" ht="6.6" customHeight="1">
      <c r="C22" s="162"/>
      <c r="D22" s="163"/>
      <c r="E22" s="164"/>
      <c r="F22" s="164"/>
      <c r="G22" s="165"/>
      <c r="H22" s="166"/>
    </row>
    <row r="23" spans="3:8">
      <c r="C23" s="167"/>
      <c r="D23" s="168" t="s">
        <v>133</v>
      </c>
      <c r="E23" s="129"/>
      <c r="F23" s="129"/>
      <c r="G23" s="129">
        <f>G13+G18</f>
        <v>44.2</v>
      </c>
      <c r="H23" s="169"/>
    </row>
    <row r="24" spans="3:8">
      <c r="C24" s="167"/>
      <c r="D24" s="168" t="s">
        <v>134</v>
      </c>
      <c r="E24" s="129"/>
      <c r="F24" s="129"/>
      <c r="G24" s="170">
        <f>G14+G19</f>
        <v>91936</v>
      </c>
      <c r="H24" s="169"/>
    </row>
    <row r="25" spans="3:8">
      <c r="C25" s="167"/>
      <c r="D25" s="168" t="s">
        <v>135</v>
      </c>
      <c r="E25" s="129"/>
      <c r="F25" s="129"/>
      <c r="G25" s="139">
        <f>(G15*(G13/G23)+(G20*(G18/G23)))</f>
        <v>73.101337888567016</v>
      </c>
      <c r="H25" s="169"/>
    </row>
    <row r="26" spans="3:8" ht="6.6" customHeight="1">
      <c r="C26" s="171"/>
      <c r="D26" s="172"/>
      <c r="E26" s="172"/>
      <c r="F26" s="172"/>
      <c r="G26" s="172"/>
      <c r="H26" s="173"/>
    </row>
    <row r="28" spans="3:8">
      <c r="C28" s="30" t="s">
        <v>141</v>
      </c>
    </row>
    <row r="29" spans="3:8">
      <c r="D29" s="157" t="s">
        <v>131</v>
      </c>
      <c r="G29" s="30">
        <f>'11150 Gas Acquisition'!S44</f>
        <v>6</v>
      </c>
    </row>
    <row r="30" spans="3:8">
      <c r="D30" s="157" t="s">
        <v>128</v>
      </c>
      <c r="G30" s="50">
        <f>'11150 Gas Acquisition'!V46</f>
        <v>12480</v>
      </c>
    </row>
    <row r="31" spans="3:8">
      <c r="D31" s="157" t="s">
        <v>66</v>
      </c>
      <c r="G31" s="158">
        <f>'11150 Gas Acquisition'!V51</f>
        <v>85.975964120995727</v>
      </c>
    </row>
    <row r="32" spans="3:8">
      <c r="D32" s="157" t="s">
        <v>129</v>
      </c>
      <c r="G32" s="161">
        <f>G30*G31</f>
        <v>1072980.0322300266</v>
      </c>
    </row>
    <row r="34" spans="3:7">
      <c r="C34" s="30" t="s">
        <v>142</v>
      </c>
    </row>
    <row r="35" spans="3:7">
      <c r="C35" s="30"/>
      <c r="D35" s="157" t="s">
        <v>131</v>
      </c>
      <c r="E35" s="30"/>
      <c r="G35" s="30">
        <f>'13600 Account Services'!Q46</f>
        <v>15</v>
      </c>
    </row>
    <row r="36" spans="3:7">
      <c r="D36" s="157" t="s">
        <v>128</v>
      </c>
      <c r="G36" s="50">
        <f>'13600 Account Services'!U48</f>
        <v>31200</v>
      </c>
    </row>
    <row r="37" spans="3:7">
      <c r="D37" s="157" t="s">
        <v>66</v>
      </c>
      <c r="G37" s="158">
        <f>'13600 Account Services'!U53</f>
        <v>52.714888145403712</v>
      </c>
    </row>
    <row r="38" spans="3:7">
      <c r="D38" s="157" t="s">
        <v>129</v>
      </c>
      <c r="G38" s="161">
        <f>G36*G37</f>
        <v>1644704.5101365959</v>
      </c>
    </row>
    <row r="40" spans="3:7">
      <c r="C40" s="30" t="s">
        <v>132</v>
      </c>
    </row>
    <row r="41" spans="3:7">
      <c r="D41" s="159" t="s">
        <v>145</v>
      </c>
    </row>
    <row r="42" spans="3:7">
      <c r="D42" s="157" t="s">
        <v>131</v>
      </c>
      <c r="G42" s="30">
        <f>'11325 MAS'!R29</f>
        <v>5.4</v>
      </c>
    </row>
    <row r="43" spans="3:7">
      <c r="D43" s="157" t="s">
        <v>128</v>
      </c>
      <c r="G43" s="50">
        <f>'11325 MAS'!V31</f>
        <v>11232.000000000002</v>
      </c>
    </row>
    <row r="44" spans="3:7">
      <c r="D44" s="157" t="s">
        <v>66</v>
      </c>
      <c r="G44" s="158">
        <f>'11325 MAS'!V36</f>
        <v>79.055502136752139</v>
      </c>
    </row>
    <row r="45" spans="3:7">
      <c r="D45" s="157" t="s">
        <v>129</v>
      </c>
      <c r="G45" s="161">
        <f>G43*G44</f>
        <v>887951.40000000014</v>
      </c>
    </row>
    <row r="46" spans="3:7">
      <c r="D46" s="159" t="s">
        <v>146</v>
      </c>
    </row>
    <row r="47" spans="3:7">
      <c r="D47" s="157" t="s">
        <v>131</v>
      </c>
      <c r="G47" s="30">
        <f>'11348 MAST'!Q32</f>
        <v>4.5</v>
      </c>
    </row>
    <row r="48" spans="3:7">
      <c r="D48" s="157" t="s">
        <v>128</v>
      </c>
      <c r="G48" s="50">
        <f>'11348 MAST'!U34</f>
        <v>9360</v>
      </c>
    </row>
    <row r="49" spans="3:8">
      <c r="D49" s="157" t="s">
        <v>66</v>
      </c>
      <c r="G49" s="158">
        <f>'11348 MAST'!U39</f>
        <v>47.561516365565694</v>
      </c>
    </row>
    <row r="50" spans="3:8">
      <c r="D50" s="157" t="s">
        <v>129</v>
      </c>
      <c r="G50" s="161">
        <f>G48*G49</f>
        <v>445175.79318169493</v>
      </c>
    </row>
    <row r="51" spans="3:8" s="30" customFormat="1" ht="6.6" customHeight="1">
      <c r="C51" s="162"/>
      <c r="D51" s="163"/>
      <c r="E51" s="164"/>
      <c r="F51" s="164"/>
      <c r="G51" s="165"/>
      <c r="H51" s="166"/>
    </row>
    <row r="52" spans="3:8" s="30" customFormat="1">
      <c r="C52" s="167"/>
      <c r="D52" s="168" t="s">
        <v>133</v>
      </c>
      <c r="E52" s="129"/>
      <c r="F52" s="129"/>
      <c r="G52" s="129">
        <f>G42+G47</f>
        <v>9.9</v>
      </c>
      <c r="H52" s="169"/>
    </row>
    <row r="53" spans="3:8" s="30" customFormat="1">
      <c r="C53" s="167"/>
      <c r="D53" s="168" t="s">
        <v>134</v>
      </c>
      <c r="E53" s="129"/>
      <c r="F53" s="129"/>
      <c r="G53" s="170">
        <f>G43+G48</f>
        <v>20592</v>
      </c>
      <c r="H53" s="169"/>
    </row>
    <row r="54" spans="3:8" s="30" customFormat="1">
      <c r="C54" s="167"/>
      <c r="D54" s="168" t="s">
        <v>135</v>
      </c>
      <c r="E54" s="129"/>
      <c r="F54" s="129"/>
      <c r="G54" s="139">
        <f>(G44*(G42/G52)+(G49*(G47/G52)))</f>
        <v>64.740054058940132</v>
      </c>
      <c r="H54" s="169"/>
    </row>
    <row r="55" spans="3:8" s="30" customFormat="1" ht="6.6" customHeight="1">
      <c r="C55" s="171"/>
      <c r="D55" s="172"/>
      <c r="E55" s="172"/>
      <c r="F55" s="172"/>
      <c r="G55" s="172"/>
      <c r="H55" s="173"/>
    </row>
  </sheetData>
  <pageMargins left="0.7" right="0.7" top="0.75" bottom="0.75" header="0.3" footer="0.3"/>
  <pageSetup orientation="portrait" horizontalDpi="0" verticalDpi="0" r:id="rId1"/>
  <headerFooter>
    <oddHeader>&amp;RExh. RJW-2 Wyman WP4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01"/>
  <sheetViews>
    <sheetView zoomScaleNormal="100" workbookViewId="0">
      <selection activeCell="B67" sqref="B67"/>
    </sheetView>
  </sheetViews>
  <sheetFormatPr defaultRowHeight="12.75"/>
  <cols>
    <col min="6" max="6" width="17.83203125" bestFit="1" customWidth="1"/>
    <col min="7" max="7" width="26.83203125" bestFit="1" customWidth="1"/>
    <col min="8" max="8" width="13.6640625" bestFit="1" customWidth="1"/>
    <col min="9" max="10" width="12.6640625" bestFit="1" customWidth="1"/>
    <col min="11" max="11" width="12.83203125" bestFit="1" customWidth="1"/>
    <col min="12" max="12" width="12.5" bestFit="1" customWidth="1"/>
    <col min="13" max="13" width="12.83203125" bestFit="1" customWidth="1"/>
    <col min="14" max="14" width="12" bestFit="1" customWidth="1"/>
    <col min="15" max="15" width="11.6640625" bestFit="1" customWidth="1"/>
    <col min="16" max="16" width="12.6640625" bestFit="1" customWidth="1"/>
    <col min="17" max="17" width="12.5" bestFit="1" customWidth="1"/>
    <col min="18" max="18" width="12.33203125" bestFit="1" customWidth="1"/>
    <col min="19" max="19" width="12.6640625" bestFit="1" customWidth="1"/>
    <col min="20" max="20" width="12.5" bestFit="1" customWidth="1"/>
    <col min="21" max="21" width="12" bestFit="1" customWidth="1"/>
    <col min="22" max="22" width="12.33203125" bestFit="1" customWidth="1"/>
    <col min="23" max="23" width="12.83203125" bestFit="1" customWidth="1"/>
    <col min="24" max="24" width="12.5" bestFit="1" customWidth="1"/>
    <col min="25" max="25" width="12.83203125" bestFit="1" customWidth="1"/>
    <col min="26" max="26" width="12" bestFit="1" customWidth="1"/>
    <col min="27" max="27" width="11.6640625" bestFit="1" customWidth="1"/>
    <col min="28" max="28" width="12.6640625" bestFit="1" customWidth="1"/>
    <col min="29" max="29" width="12.5" bestFit="1" customWidth="1"/>
    <col min="30" max="30" width="12.33203125" bestFit="1" customWidth="1"/>
    <col min="31" max="31" width="12.6640625" bestFit="1" customWidth="1"/>
    <col min="32" max="32" width="12.5" bestFit="1" customWidth="1"/>
    <col min="33" max="33" width="11.5" customWidth="1"/>
  </cols>
  <sheetData>
    <row r="1" spans="1:32" s="30" customFormat="1"/>
    <row r="2" spans="1:32" s="30" customFormat="1">
      <c r="A2" s="174" t="s">
        <v>148</v>
      </c>
    </row>
    <row r="5" spans="1:32">
      <c r="F5" s="57" t="s">
        <v>0</v>
      </c>
      <c r="G5" s="57" t="s">
        <v>1</v>
      </c>
      <c r="H5" s="53" t="s">
        <v>2</v>
      </c>
      <c r="I5" s="53" t="s">
        <v>67</v>
      </c>
      <c r="J5" s="53" t="s">
        <v>68</v>
      </c>
      <c r="K5" s="53" t="s">
        <v>69</v>
      </c>
      <c r="L5" s="53" t="s">
        <v>70</v>
      </c>
      <c r="M5" s="53" t="s">
        <v>71</v>
      </c>
      <c r="N5" s="53" t="s">
        <v>72</v>
      </c>
      <c r="O5" s="53" t="s">
        <v>73</v>
      </c>
      <c r="P5" s="53" t="s">
        <v>74</v>
      </c>
      <c r="Q5" s="53" t="s">
        <v>75</v>
      </c>
      <c r="R5" s="53" t="s">
        <v>76</v>
      </c>
      <c r="S5" s="53" t="s">
        <v>77</v>
      </c>
      <c r="T5" s="53" t="s">
        <v>78</v>
      </c>
      <c r="U5" s="53" t="s">
        <v>80</v>
      </c>
      <c r="V5" s="53" t="s">
        <v>81</v>
      </c>
      <c r="W5" s="53" t="s">
        <v>82</v>
      </c>
      <c r="X5" s="53" t="s">
        <v>83</v>
      </c>
      <c r="Y5" s="53" t="s">
        <v>84</v>
      </c>
      <c r="Z5" s="53" t="s">
        <v>85</v>
      </c>
      <c r="AA5" s="53" t="s">
        <v>86</v>
      </c>
      <c r="AB5" s="53" t="s">
        <v>87</v>
      </c>
      <c r="AC5" s="53" t="s">
        <v>88</v>
      </c>
      <c r="AD5" s="53" t="s">
        <v>89</v>
      </c>
      <c r="AE5" s="53" t="s">
        <v>90</v>
      </c>
      <c r="AF5" s="53" t="s">
        <v>91</v>
      </c>
    </row>
    <row r="6" spans="1:32" s="30" customFormat="1">
      <c r="F6" s="53" t="s">
        <v>15</v>
      </c>
      <c r="G6" s="53" t="s">
        <v>18</v>
      </c>
      <c r="H6" s="55">
        <v>4</v>
      </c>
      <c r="I6" s="55">
        <v>4</v>
      </c>
      <c r="J6" s="55">
        <v>4</v>
      </c>
      <c r="K6" s="55">
        <v>4</v>
      </c>
      <c r="L6" s="55">
        <v>4</v>
      </c>
      <c r="M6" s="55">
        <v>4</v>
      </c>
      <c r="N6" s="55">
        <v>4</v>
      </c>
      <c r="O6" s="55">
        <v>4</v>
      </c>
      <c r="P6" s="55">
        <v>4</v>
      </c>
      <c r="Q6" s="55">
        <v>4</v>
      </c>
      <c r="R6" s="55">
        <v>4</v>
      </c>
      <c r="S6" s="55">
        <v>4</v>
      </c>
      <c r="T6" s="55">
        <v>4</v>
      </c>
      <c r="U6" s="55">
        <v>4</v>
      </c>
      <c r="V6" s="55">
        <v>4</v>
      </c>
      <c r="W6" s="55">
        <v>4</v>
      </c>
      <c r="X6" s="55">
        <v>4</v>
      </c>
      <c r="Y6" s="55">
        <v>4</v>
      </c>
      <c r="Z6" s="55">
        <v>4</v>
      </c>
      <c r="AA6" s="55">
        <v>4</v>
      </c>
      <c r="AB6" s="55">
        <v>4</v>
      </c>
      <c r="AC6" s="55">
        <v>4</v>
      </c>
      <c r="AD6" s="55">
        <v>4</v>
      </c>
      <c r="AE6" s="55">
        <v>4</v>
      </c>
      <c r="AF6" s="55">
        <v>4</v>
      </c>
    </row>
    <row r="7" spans="1:32" s="30" customFormat="1">
      <c r="F7" s="53" t="s">
        <v>17</v>
      </c>
      <c r="G7" s="53" t="s">
        <v>21</v>
      </c>
      <c r="H7" s="55">
        <v>3</v>
      </c>
      <c r="I7" s="55">
        <v>3</v>
      </c>
      <c r="J7" s="55">
        <v>3</v>
      </c>
      <c r="K7" s="55">
        <v>3</v>
      </c>
      <c r="L7" s="55">
        <v>3</v>
      </c>
      <c r="M7" s="55">
        <v>3</v>
      </c>
      <c r="N7" s="55">
        <v>3</v>
      </c>
      <c r="O7" s="55">
        <v>3</v>
      </c>
      <c r="P7" s="55">
        <v>3</v>
      </c>
      <c r="Q7" s="55">
        <v>3</v>
      </c>
      <c r="R7" s="55">
        <v>3</v>
      </c>
      <c r="S7" s="55">
        <v>3</v>
      </c>
      <c r="T7" s="55">
        <v>3</v>
      </c>
      <c r="U7" s="55">
        <v>3</v>
      </c>
      <c r="V7" s="55">
        <v>3</v>
      </c>
      <c r="W7" s="55">
        <v>3</v>
      </c>
      <c r="X7" s="55">
        <v>3</v>
      </c>
      <c r="Y7" s="55">
        <v>3</v>
      </c>
      <c r="Z7" s="55">
        <v>3</v>
      </c>
      <c r="AA7" s="55">
        <v>3</v>
      </c>
      <c r="AB7" s="55">
        <v>3</v>
      </c>
      <c r="AC7" s="55">
        <v>3</v>
      </c>
      <c r="AD7" s="55">
        <v>3</v>
      </c>
      <c r="AE7" s="55">
        <v>3</v>
      </c>
      <c r="AF7" s="55">
        <v>3</v>
      </c>
    </row>
    <row r="8" spans="1:32" s="30" customFormat="1">
      <c r="F8" s="53" t="s">
        <v>22</v>
      </c>
      <c r="G8" s="53" t="s">
        <v>16</v>
      </c>
      <c r="H8" s="55">
        <v>0.5</v>
      </c>
      <c r="I8" s="55">
        <v>1</v>
      </c>
      <c r="J8" s="55">
        <v>1</v>
      </c>
      <c r="K8" s="55">
        <v>1</v>
      </c>
      <c r="L8" s="55">
        <v>1</v>
      </c>
      <c r="M8" s="55">
        <v>1</v>
      </c>
      <c r="N8" s="55">
        <v>1</v>
      </c>
      <c r="O8" s="55">
        <v>1</v>
      </c>
      <c r="P8" s="55">
        <v>1</v>
      </c>
      <c r="Q8" s="55">
        <v>1</v>
      </c>
      <c r="R8" s="55">
        <v>1</v>
      </c>
      <c r="S8" s="55">
        <v>1</v>
      </c>
      <c r="T8" s="55">
        <v>1</v>
      </c>
      <c r="U8" s="55">
        <v>1</v>
      </c>
      <c r="V8" s="55">
        <v>1</v>
      </c>
      <c r="W8" s="55">
        <v>1</v>
      </c>
      <c r="X8" s="55">
        <v>1</v>
      </c>
      <c r="Y8" s="55">
        <v>1</v>
      </c>
      <c r="Z8" s="55">
        <v>1</v>
      </c>
      <c r="AA8" s="55">
        <v>1</v>
      </c>
      <c r="AB8" s="55">
        <v>1</v>
      </c>
      <c r="AC8" s="55">
        <v>1</v>
      </c>
      <c r="AD8" s="55">
        <v>1</v>
      </c>
      <c r="AE8" s="55">
        <v>1</v>
      </c>
      <c r="AF8" s="55">
        <v>1</v>
      </c>
    </row>
    <row r="9" spans="1:32" s="30" customFormat="1">
      <c r="F9" s="54" t="s">
        <v>23</v>
      </c>
      <c r="G9" s="54" t="s">
        <v>17</v>
      </c>
      <c r="H9" s="56">
        <v>7.5</v>
      </c>
      <c r="I9" s="56">
        <v>8</v>
      </c>
      <c r="J9" s="56">
        <v>8</v>
      </c>
      <c r="K9" s="56">
        <v>8</v>
      </c>
      <c r="L9" s="56">
        <v>8</v>
      </c>
      <c r="M9" s="56">
        <v>8</v>
      </c>
      <c r="N9" s="56">
        <v>8</v>
      </c>
      <c r="O9" s="56">
        <v>8</v>
      </c>
      <c r="P9" s="56">
        <v>8</v>
      </c>
      <c r="Q9" s="56">
        <v>8</v>
      </c>
      <c r="R9" s="56">
        <v>8</v>
      </c>
      <c r="S9" s="56">
        <v>8</v>
      </c>
      <c r="T9" s="56">
        <v>8</v>
      </c>
      <c r="U9" s="56">
        <v>8</v>
      </c>
      <c r="V9" s="56">
        <v>8</v>
      </c>
      <c r="W9" s="56">
        <v>8</v>
      </c>
      <c r="X9" s="56">
        <v>8</v>
      </c>
      <c r="Y9" s="56">
        <v>8</v>
      </c>
      <c r="Z9" s="56">
        <v>8</v>
      </c>
      <c r="AA9" s="56">
        <v>8</v>
      </c>
      <c r="AB9" s="56">
        <v>8</v>
      </c>
      <c r="AC9" s="56">
        <v>8</v>
      </c>
      <c r="AD9" s="56">
        <v>8</v>
      </c>
      <c r="AE9" s="56">
        <v>8</v>
      </c>
      <c r="AF9" s="56">
        <v>8</v>
      </c>
    </row>
    <row r="10" spans="1:32" s="30" customFormat="1"/>
    <row r="11" spans="1:32" s="30" customFormat="1"/>
    <row r="12" spans="1:32" s="30" customFormat="1">
      <c r="F12" s="63" t="s">
        <v>0</v>
      </c>
      <c r="G12" s="63" t="s">
        <v>1</v>
      </c>
      <c r="H12" s="59" t="s">
        <v>2</v>
      </c>
      <c r="I12" s="59" t="s">
        <v>67</v>
      </c>
      <c r="J12" s="59" t="s">
        <v>68</v>
      </c>
      <c r="K12" s="59" t="s">
        <v>69</v>
      </c>
      <c r="L12" s="59" t="s">
        <v>70</v>
      </c>
      <c r="M12" s="59" t="s">
        <v>71</v>
      </c>
      <c r="N12" s="59" t="s">
        <v>72</v>
      </c>
      <c r="O12" s="59" t="s">
        <v>73</v>
      </c>
      <c r="P12" s="59" t="s">
        <v>74</v>
      </c>
      <c r="Q12" s="59" t="s">
        <v>75</v>
      </c>
      <c r="R12" s="59" t="s">
        <v>76</v>
      </c>
      <c r="S12" s="59" t="s">
        <v>77</v>
      </c>
      <c r="T12" s="59" t="s">
        <v>78</v>
      </c>
      <c r="U12" s="59" t="s">
        <v>80</v>
      </c>
      <c r="V12" s="59" t="s">
        <v>81</v>
      </c>
      <c r="W12" s="59" t="s">
        <v>82</v>
      </c>
      <c r="X12" s="59" t="s">
        <v>83</v>
      </c>
      <c r="Y12" s="59" t="s">
        <v>84</v>
      </c>
      <c r="Z12" s="59" t="s">
        <v>85</v>
      </c>
      <c r="AA12" s="59" t="s">
        <v>86</v>
      </c>
      <c r="AB12" s="59" t="s">
        <v>87</v>
      </c>
      <c r="AC12" s="59" t="s">
        <v>88</v>
      </c>
      <c r="AD12" s="59" t="s">
        <v>89</v>
      </c>
      <c r="AE12" s="59" t="s">
        <v>90</v>
      </c>
      <c r="AF12" s="59" t="s">
        <v>91</v>
      </c>
    </row>
    <row r="13" spans="1:32" s="30" customFormat="1">
      <c r="F13" s="59" t="s">
        <v>15</v>
      </c>
      <c r="G13" s="59" t="s">
        <v>16</v>
      </c>
      <c r="H13" s="61">
        <v>1</v>
      </c>
      <c r="I13" s="61">
        <v>1</v>
      </c>
      <c r="J13" s="61">
        <v>1</v>
      </c>
      <c r="K13" s="61">
        <v>1</v>
      </c>
      <c r="L13" s="61">
        <v>1</v>
      </c>
      <c r="M13" s="61">
        <v>1</v>
      </c>
      <c r="N13" s="61">
        <v>1</v>
      </c>
      <c r="O13" s="61">
        <v>1</v>
      </c>
      <c r="P13" s="61">
        <v>1</v>
      </c>
      <c r="Q13" s="61">
        <v>1</v>
      </c>
      <c r="R13" s="61">
        <v>1</v>
      </c>
      <c r="S13" s="61">
        <v>1</v>
      </c>
      <c r="T13" s="61">
        <v>1</v>
      </c>
      <c r="U13" s="61">
        <v>1</v>
      </c>
      <c r="V13" s="61">
        <v>1</v>
      </c>
      <c r="W13" s="61">
        <v>1</v>
      </c>
      <c r="X13" s="61">
        <v>1</v>
      </c>
      <c r="Y13" s="61">
        <v>1</v>
      </c>
      <c r="Z13" s="61">
        <v>1</v>
      </c>
      <c r="AA13" s="61">
        <v>1</v>
      </c>
      <c r="AB13" s="61">
        <v>1</v>
      </c>
      <c r="AC13" s="61">
        <v>1</v>
      </c>
      <c r="AD13" s="61">
        <v>1</v>
      </c>
      <c r="AE13" s="61">
        <v>1</v>
      </c>
      <c r="AF13" s="61">
        <v>1</v>
      </c>
    </row>
    <row r="14" spans="1:32" s="30" customFormat="1">
      <c r="F14" s="59" t="s">
        <v>17</v>
      </c>
      <c r="G14" s="59" t="s">
        <v>18</v>
      </c>
      <c r="H14" s="61">
        <v>2</v>
      </c>
      <c r="I14" s="61">
        <v>3</v>
      </c>
      <c r="J14" s="61">
        <v>3</v>
      </c>
      <c r="K14" s="61">
        <v>3</v>
      </c>
      <c r="L14" s="61">
        <v>3</v>
      </c>
      <c r="M14" s="61">
        <v>3</v>
      </c>
      <c r="N14" s="61">
        <v>3</v>
      </c>
      <c r="O14" s="61">
        <v>3</v>
      </c>
      <c r="P14" s="61">
        <v>3</v>
      </c>
      <c r="Q14" s="61">
        <v>3</v>
      </c>
      <c r="R14" s="61">
        <v>3</v>
      </c>
      <c r="S14" s="61">
        <v>3</v>
      </c>
      <c r="T14" s="61">
        <v>3</v>
      </c>
      <c r="U14" s="61">
        <v>3</v>
      </c>
      <c r="V14" s="61">
        <v>3</v>
      </c>
      <c r="W14" s="61">
        <v>3</v>
      </c>
      <c r="X14" s="61">
        <v>3</v>
      </c>
      <c r="Y14" s="61">
        <v>3</v>
      </c>
      <c r="Z14" s="61">
        <v>3</v>
      </c>
      <c r="AA14" s="61">
        <v>3</v>
      </c>
      <c r="AB14" s="61">
        <v>3</v>
      </c>
      <c r="AC14" s="61">
        <v>3</v>
      </c>
      <c r="AD14" s="61">
        <v>3</v>
      </c>
      <c r="AE14" s="61">
        <v>3</v>
      </c>
      <c r="AF14" s="61">
        <v>3</v>
      </c>
    </row>
    <row r="15" spans="1:32" s="30" customFormat="1">
      <c r="F15" s="59" t="s">
        <v>17</v>
      </c>
      <c r="G15" s="59" t="s">
        <v>21</v>
      </c>
      <c r="H15" s="61">
        <v>1</v>
      </c>
      <c r="I15" s="61">
        <v>2</v>
      </c>
      <c r="J15" s="61">
        <v>2</v>
      </c>
      <c r="K15" s="61">
        <v>2</v>
      </c>
      <c r="L15" s="61">
        <v>2</v>
      </c>
      <c r="M15" s="61">
        <v>2</v>
      </c>
      <c r="N15" s="61">
        <v>2</v>
      </c>
      <c r="O15" s="61">
        <v>2</v>
      </c>
      <c r="P15" s="61">
        <v>2</v>
      </c>
      <c r="Q15" s="61">
        <v>2</v>
      </c>
      <c r="R15" s="61">
        <v>2</v>
      </c>
      <c r="S15" s="61">
        <v>2</v>
      </c>
      <c r="T15" s="61">
        <v>2</v>
      </c>
      <c r="U15" s="61">
        <v>2</v>
      </c>
      <c r="V15" s="61">
        <v>2</v>
      </c>
      <c r="W15" s="61">
        <v>2</v>
      </c>
      <c r="X15" s="61">
        <v>2</v>
      </c>
      <c r="Y15" s="61">
        <v>2</v>
      </c>
      <c r="Z15" s="61">
        <v>2</v>
      </c>
      <c r="AA15" s="61">
        <v>2</v>
      </c>
      <c r="AB15" s="61">
        <v>2</v>
      </c>
      <c r="AC15" s="61">
        <v>2</v>
      </c>
      <c r="AD15" s="61">
        <v>2</v>
      </c>
      <c r="AE15" s="61">
        <v>2</v>
      </c>
      <c r="AF15" s="61">
        <v>2</v>
      </c>
    </row>
    <row r="16" spans="1:32" s="30" customFormat="1">
      <c r="F16" s="60" t="s">
        <v>23</v>
      </c>
      <c r="G16" s="60" t="s">
        <v>17</v>
      </c>
      <c r="H16" s="62">
        <v>4</v>
      </c>
      <c r="I16" s="62">
        <v>6</v>
      </c>
      <c r="J16" s="62">
        <v>6</v>
      </c>
      <c r="K16" s="62">
        <v>6</v>
      </c>
      <c r="L16" s="62">
        <v>6</v>
      </c>
      <c r="M16" s="62">
        <v>6</v>
      </c>
      <c r="N16" s="62">
        <v>6</v>
      </c>
      <c r="O16" s="62">
        <v>6</v>
      </c>
      <c r="P16" s="62">
        <v>6</v>
      </c>
      <c r="Q16" s="62">
        <v>6</v>
      </c>
      <c r="R16" s="62">
        <v>6</v>
      </c>
      <c r="S16" s="62">
        <v>6</v>
      </c>
      <c r="T16" s="62">
        <v>6</v>
      </c>
      <c r="U16" s="62">
        <v>6</v>
      </c>
      <c r="V16" s="62">
        <v>6</v>
      </c>
      <c r="W16" s="62">
        <v>6</v>
      </c>
      <c r="X16" s="62">
        <v>6</v>
      </c>
      <c r="Y16" s="62">
        <v>6</v>
      </c>
      <c r="Z16" s="62">
        <v>6</v>
      </c>
      <c r="AA16" s="62">
        <v>6</v>
      </c>
      <c r="AB16" s="62">
        <v>6</v>
      </c>
      <c r="AC16" s="62">
        <v>6</v>
      </c>
      <c r="AD16" s="62">
        <v>6</v>
      </c>
      <c r="AE16" s="62">
        <v>6</v>
      </c>
      <c r="AF16" s="62">
        <v>6</v>
      </c>
    </row>
    <row r="17" spans="6:32" s="30" customFormat="1"/>
    <row r="18" spans="6:32" s="30" customFormat="1"/>
    <row r="19" spans="6:32" s="30" customFormat="1">
      <c r="F19" s="70" t="s">
        <v>0</v>
      </c>
      <c r="G19" s="70" t="s">
        <v>1</v>
      </c>
      <c r="H19" s="65" t="s">
        <v>2</v>
      </c>
      <c r="I19" s="65" t="s">
        <v>67</v>
      </c>
      <c r="J19" s="65" t="s">
        <v>68</v>
      </c>
      <c r="K19" s="65" t="s">
        <v>69</v>
      </c>
      <c r="L19" s="65" t="s">
        <v>70</v>
      </c>
      <c r="M19" s="65" t="s">
        <v>71</v>
      </c>
      <c r="N19" s="65" t="s">
        <v>72</v>
      </c>
      <c r="O19" s="65" t="s">
        <v>73</v>
      </c>
      <c r="P19" s="65" t="s">
        <v>74</v>
      </c>
      <c r="Q19" s="65" t="s">
        <v>75</v>
      </c>
      <c r="R19" s="65" t="s">
        <v>76</v>
      </c>
      <c r="S19" s="65" t="s">
        <v>77</v>
      </c>
      <c r="T19" s="65" t="s">
        <v>78</v>
      </c>
      <c r="U19" s="65" t="s">
        <v>80</v>
      </c>
      <c r="V19" s="65" t="s">
        <v>81</v>
      </c>
      <c r="W19" s="65" t="s">
        <v>82</v>
      </c>
      <c r="X19" s="65" t="s">
        <v>83</v>
      </c>
      <c r="Y19" s="65" t="s">
        <v>84</v>
      </c>
      <c r="Z19" s="65" t="s">
        <v>85</v>
      </c>
      <c r="AA19" s="65" t="s">
        <v>86</v>
      </c>
      <c r="AB19" s="65" t="s">
        <v>87</v>
      </c>
      <c r="AC19" s="65" t="s">
        <v>88</v>
      </c>
      <c r="AD19" s="65" t="s">
        <v>89</v>
      </c>
      <c r="AE19" s="65" t="s">
        <v>90</v>
      </c>
      <c r="AF19" s="65" t="s">
        <v>91</v>
      </c>
    </row>
    <row r="20" spans="6:32" s="30" customFormat="1">
      <c r="F20" s="65" t="s">
        <v>15</v>
      </c>
      <c r="G20" s="65" t="s">
        <v>16</v>
      </c>
      <c r="H20" s="67"/>
      <c r="I20" s="68">
        <v>1</v>
      </c>
      <c r="J20" s="68">
        <v>1</v>
      </c>
      <c r="K20" s="68">
        <v>1</v>
      </c>
      <c r="L20" s="68">
        <v>1</v>
      </c>
      <c r="M20" s="68">
        <v>1</v>
      </c>
      <c r="N20" s="68">
        <v>1</v>
      </c>
      <c r="O20" s="68">
        <v>1</v>
      </c>
      <c r="P20" s="68">
        <v>1</v>
      </c>
      <c r="Q20" s="68">
        <v>1</v>
      </c>
      <c r="R20" s="68">
        <v>1</v>
      </c>
      <c r="S20" s="68">
        <v>1</v>
      </c>
      <c r="T20" s="68">
        <v>1</v>
      </c>
      <c r="U20" s="77">
        <v>1</v>
      </c>
      <c r="V20" s="77">
        <v>1</v>
      </c>
      <c r="W20" s="77">
        <v>1</v>
      </c>
      <c r="X20" s="77">
        <v>1</v>
      </c>
      <c r="Y20" s="77">
        <v>1</v>
      </c>
      <c r="Z20" s="77">
        <v>1</v>
      </c>
      <c r="AA20" s="77">
        <v>1</v>
      </c>
      <c r="AB20" s="77">
        <v>1</v>
      </c>
      <c r="AC20" s="77">
        <v>1</v>
      </c>
      <c r="AD20" s="77">
        <v>1</v>
      </c>
      <c r="AE20" s="77">
        <v>1</v>
      </c>
      <c r="AF20" s="77">
        <v>1</v>
      </c>
    </row>
    <row r="21" spans="6:32" s="30" customFormat="1">
      <c r="F21" s="65" t="s">
        <v>17</v>
      </c>
      <c r="G21" s="65" t="s">
        <v>18</v>
      </c>
      <c r="H21" s="68">
        <v>7</v>
      </c>
      <c r="I21" s="68">
        <v>7</v>
      </c>
      <c r="J21" s="68">
        <v>7</v>
      </c>
      <c r="K21" s="68">
        <v>7</v>
      </c>
      <c r="L21" s="68">
        <v>6</v>
      </c>
      <c r="M21" s="68">
        <v>6</v>
      </c>
      <c r="N21" s="68">
        <v>6</v>
      </c>
      <c r="O21" s="68">
        <v>6</v>
      </c>
      <c r="P21" s="68">
        <v>6</v>
      </c>
      <c r="Q21" s="68">
        <v>6</v>
      </c>
      <c r="R21" s="68">
        <v>6</v>
      </c>
      <c r="S21" s="68">
        <v>6</v>
      </c>
      <c r="T21" s="68">
        <v>6</v>
      </c>
      <c r="U21" s="68">
        <v>6</v>
      </c>
      <c r="V21" s="68">
        <v>6</v>
      </c>
      <c r="W21" s="68">
        <v>6</v>
      </c>
      <c r="X21" s="68">
        <v>6</v>
      </c>
      <c r="Y21" s="68">
        <v>6</v>
      </c>
      <c r="Z21" s="68">
        <v>6</v>
      </c>
      <c r="AA21" s="68">
        <v>6</v>
      </c>
      <c r="AB21" s="68">
        <v>6</v>
      </c>
      <c r="AC21" s="68">
        <v>6</v>
      </c>
      <c r="AD21" s="68">
        <v>6</v>
      </c>
      <c r="AE21" s="68">
        <v>6</v>
      </c>
      <c r="AF21" s="68">
        <v>6</v>
      </c>
    </row>
    <row r="22" spans="6:32" s="30" customFormat="1">
      <c r="F22" s="65" t="s">
        <v>17</v>
      </c>
      <c r="G22" s="65" t="s">
        <v>19</v>
      </c>
      <c r="H22" s="67"/>
      <c r="I22" s="68">
        <v>1</v>
      </c>
      <c r="J22" s="68">
        <v>1</v>
      </c>
      <c r="K22" s="68">
        <v>1</v>
      </c>
      <c r="L22" s="68">
        <v>1</v>
      </c>
      <c r="M22" s="68">
        <v>1</v>
      </c>
      <c r="N22" s="68">
        <v>1</v>
      </c>
      <c r="O22" s="68">
        <v>1</v>
      </c>
      <c r="P22" s="68">
        <v>1</v>
      </c>
      <c r="Q22" s="68">
        <v>1</v>
      </c>
      <c r="R22" s="68">
        <v>1</v>
      </c>
      <c r="S22" s="68">
        <v>1</v>
      </c>
      <c r="T22" s="68">
        <v>1</v>
      </c>
      <c r="U22" s="68">
        <v>1</v>
      </c>
      <c r="V22" s="68">
        <v>1</v>
      </c>
      <c r="W22" s="68">
        <v>1</v>
      </c>
      <c r="X22" s="68">
        <v>1</v>
      </c>
      <c r="Y22" s="68">
        <v>1</v>
      </c>
      <c r="Z22" s="68">
        <v>1</v>
      </c>
      <c r="AA22" s="68">
        <v>1</v>
      </c>
      <c r="AB22" s="68">
        <v>1</v>
      </c>
      <c r="AC22" s="68">
        <v>1</v>
      </c>
      <c r="AD22" s="68">
        <v>1</v>
      </c>
      <c r="AE22" s="68">
        <v>1</v>
      </c>
      <c r="AF22" s="68">
        <v>1</v>
      </c>
    </row>
    <row r="23" spans="6:32" s="30" customFormat="1">
      <c r="F23" s="65" t="s">
        <v>17</v>
      </c>
      <c r="G23" s="65" t="s">
        <v>20</v>
      </c>
      <c r="H23" s="68">
        <v>2</v>
      </c>
      <c r="I23" s="68">
        <v>2</v>
      </c>
      <c r="J23" s="68">
        <v>2</v>
      </c>
      <c r="K23" s="68">
        <v>2</v>
      </c>
      <c r="L23" s="68">
        <v>2</v>
      </c>
      <c r="M23" s="68">
        <v>2</v>
      </c>
      <c r="N23" s="68">
        <v>2</v>
      </c>
      <c r="O23" s="68">
        <v>2</v>
      </c>
      <c r="P23" s="68">
        <v>2</v>
      </c>
      <c r="Q23" s="68">
        <v>2</v>
      </c>
      <c r="R23" s="68">
        <v>2</v>
      </c>
      <c r="S23" s="68">
        <v>2</v>
      </c>
      <c r="T23" s="68">
        <v>2</v>
      </c>
      <c r="U23" s="68">
        <v>2</v>
      </c>
      <c r="V23" s="68">
        <v>2</v>
      </c>
      <c r="W23" s="68">
        <v>2</v>
      </c>
      <c r="X23" s="68">
        <v>2</v>
      </c>
      <c r="Y23" s="68">
        <v>2</v>
      </c>
      <c r="Z23" s="68">
        <v>2</v>
      </c>
      <c r="AA23" s="68">
        <v>2</v>
      </c>
      <c r="AB23" s="68">
        <v>2</v>
      </c>
      <c r="AC23" s="68">
        <v>2</v>
      </c>
      <c r="AD23" s="68">
        <v>2</v>
      </c>
      <c r="AE23" s="68">
        <v>2</v>
      </c>
      <c r="AF23" s="68">
        <v>2</v>
      </c>
    </row>
    <row r="24" spans="6:32" s="30" customFormat="1">
      <c r="F24" s="65" t="s">
        <v>17</v>
      </c>
      <c r="G24" s="65" t="s">
        <v>92</v>
      </c>
      <c r="H24" s="67"/>
      <c r="I24" s="67"/>
      <c r="J24" s="67"/>
      <c r="K24" s="67"/>
      <c r="L24" s="68">
        <v>1.2</v>
      </c>
      <c r="M24" s="68">
        <v>1.2</v>
      </c>
      <c r="N24" s="68">
        <v>1.2</v>
      </c>
      <c r="O24" s="68">
        <v>1.2</v>
      </c>
      <c r="P24" s="68">
        <v>1.2</v>
      </c>
      <c r="Q24" s="68">
        <v>1.2</v>
      </c>
      <c r="R24" s="68">
        <v>1.2</v>
      </c>
      <c r="S24" s="68">
        <v>1.2</v>
      </c>
      <c r="T24" s="68">
        <v>1.2</v>
      </c>
      <c r="U24" s="68">
        <v>1.2</v>
      </c>
      <c r="V24" s="68">
        <v>1.2</v>
      </c>
      <c r="W24" s="68">
        <v>1.2</v>
      </c>
      <c r="X24" s="68">
        <v>1.2</v>
      </c>
      <c r="Y24" s="68">
        <v>1.2</v>
      </c>
      <c r="Z24" s="68">
        <v>1.2</v>
      </c>
      <c r="AA24" s="68">
        <v>1.2</v>
      </c>
      <c r="AB24" s="68">
        <v>1.2</v>
      </c>
      <c r="AC24" s="68">
        <v>1.2</v>
      </c>
      <c r="AD24" s="68">
        <v>1.2</v>
      </c>
      <c r="AE24" s="68">
        <v>1.2</v>
      </c>
      <c r="AF24" s="68">
        <v>1.2</v>
      </c>
    </row>
    <row r="25" spans="6:32" s="30" customFormat="1">
      <c r="F25" s="65" t="s">
        <v>17</v>
      </c>
      <c r="G25" s="65" t="s">
        <v>21</v>
      </c>
      <c r="H25" s="68">
        <v>2</v>
      </c>
      <c r="I25" s="68">
        <v>2</v>
      </c>
      <c r="J25" s="68">
        <v>2</v>
      </c>
      <c r="K25" s="68">
        <v>2</v>
      </c>
      <c r="L25" s="68">
        <v>2</v>
      </c>
      <c r="M25" s="68">
        <v>2</v>
      </c>
      <c r="N25" s="68">
        <v>2</v>
      </c>
      <c r="O25" s="68">
        <v>2</v>
      </c>
      <c r="P25" s="68">
        <v>2</v>
      </c>
      <c r="Q25" s="68">
        <v>2</v>
      </c>
      <c r="R25" s="68">
        <v>2</v>
      </c>
      <c r="S25" s="68">
        <v>2</v>
      </c>
      <c r="T25" s="68">
        <v>2</v>
      </c>
      <c r="U25" s="68">
        <v>2</v>
      </c>
      <c r="V25" s="68">
        <v>2</v>
      </c>
      <c r="W25" s="68">
        <v>2</v>
      </c>
      <c r="X25" s="68">
        <v>2</v>
      </c>
      <c r="Y25" s="68">
        <v>2</v>
      </c>
      <c r="Z25" s="68">
        <v>2</v>
      </c>
      <c r="AA25" s="68">
        <v>2</v>
      </c>
      <c r="AB25" s="68">
        <v>2</v>
      </c>
      <c r="AC25" s="68">
        <v>2</v>
      </c>
      <c r="AD25" s="68">
        <v>2</v>
      </c>
      <c r="AE25" s="68">
        <v>2</v>
      </c>
      <c r="AF25" s="68">
        <v>2</v>
      </c>
    </row>
    <row r="26" spans="6:32" s="30" customFormat="1">
      <c r="F26" s="66" t="s">
        <v>23</v>
      </c>
      <c r="G26" s="66" t="s">
        <v>17</v>
      </c>
      <c r="H26" s="69">
        <v>11</v>
      </c>
      <c r="I26" s="69">
        <v>13</v>
      </c>
      <c r="J26" s="69">
        <v>13</v>
      </c>
      <c r="K26" s="69">
        <v>13</v>
      </c>
      <c r="L26" s="69">
        <v>13.2</v>
      </c>
      <c r="M26" s="69">
        <v>13.2</v>
      </c>
      <c r="N26" s="69">
        <v>13.2</v>
      </c>
      <c r="O26" s="69">
        <v>13.2</v>
      </c>
      <c r="P26" s="69">
        <v>13.2</v>
      </c>
      <c r="Q26" s="69">
        <v>13.2</v>
      </c>
      <c r="R26" s="69">
        <v>13.2</v>
      </c>
      <c r="S26" s="69">
        <v>13.2</v>
      </c>
      <c r="T26" s="69">
        <v>13.2</v>
      </c>
      <c r="U26" s="69">
        <v>12.2</v>
      </c>
      <c r="V26" s="69">
        <v>12.2</v>
      </c>
      <c r="W26" s="69">
        <v>12.2</v>
      </c>
      <c r="X26" s="69">
        <v>12.2</v>
      </c>
      <c r="Y26" s="69">
        <v>12.2</v>
      </c>
      <c r="Z26" s="69">
        <v>12.2</v>
      </c>
      <c r="AA26" s="69">
        <v>12.2</v>
      </c>
      <c r="AB26" s="69">
        <v>12.2</v>
      </c>
      <c r="AC26" s="69">
        <v>12.2</v>
      </c>
      <c r="AD26" s="69">
        <v>12.2</v>
      </c>
      <c r="AE26" s="69">
        <v>12.2</v>
      </c>
      <c r="AF26" s="69">
        <v>12.2</v>
      </c>
    </row>
    <row r="27" spans="6:32" s="30" customFormat="1"/>
    <row r="28" spans="6:32" s="30" customFormat="1">
      <c r="F28" s="30" t="s">
        <v>93</v>
      </c>
    </row>
    <row r="29" spans="6:32">
      <c r="F29" s="1" t="s">
        <v>0</v>
      </c>
      <c r="G29" s="1" t="s">
        <v>1</v>
      </c>
      <c r="H29" s="117" t="s">
        <v>2</v>
      </c>
      <c r="I29" s="117" t="s">
        <v>67</v>
      </c>
      <c r="J29" s="117" t="s">
        <v>68</v>
      </c>
      <c r="K29" s="117" t="s">
        <v>69</v>
      </c>
      <c r="L29" s="117" t="s">
        <v>70</v>
      </c>
      <c r="M29" s="117" t="s">
        <v>71</v>
      </c>
      <c r="N29" s="117" t="s">
        <v>72</v>
      </c>
      <c r="O29" s="117" t="s">
        <v>73</v>
      </c>
      <c r="P29" s="117" t="s">
        <v>74</v>
      </c>
      <c r="Q29" s="117" t="s">
        <v>75</v>
      </c>
      <c r="R29" s="117" t="s">
        <v>76</v>
      </c>
      <c r="S29" s="117" t="s">
        <v>77</v>
      </c>
      <c r="T29" s="117" t="s">
        <v>78</v>
      </c>
      <c r="U29" s="117" t="s">
        <v>80</v>
      </c>
      <c r="V29" s="117" t="s">
        <v>81</v>
      </c>
      <c r="W29" s="117" t="s">
        <v>82</v>
      </c>
      <c r="X29" s="117" t="s">
        <v>83</v>
      </c>
      <c r="Y29" s="117" t="s">
        <v>84</v>
      </c>
      <c r="Z29" s="117" t="s">
        <v>85</v>
      </c>
      <c r="AA29" s="117" t="s">
        <v>86</v>
      </c>
      <c r="AB29" s="117" t="s">
        <v>87</v>
      </c>
      <c r="AC29" s="117" t="s">
        <v>88</v>
      </c>
      <c r="AD29" s="117" t="s">
        <v>89</v>
      </c>
      <c r="AE29" s="117" t="s">
        <v>90</v>
      </c>
      <c r="AF29" s="117" t="s">
        <v>91</v>
      </c>
    </row>
    <row r="30" spans="6:32">
      <c r="F30" s="2" t="s">
        <v>15</v>
      </c>
      <c r="G30" s="2" t="s">
        <v>16</v>
      </c>
      <c r="H30" s="3">
        <f>H20+H13</f>
        <v>1</v>
      </c>
      <c r="I30" s="68">
        <f t="shared" ref="I30:AF30" si="0">I20+I13</f>
        <v>2</v>
      </c>
      <c r="J30" s="68">
        <f t="shared" si="0"/>
        <v>2</v>
      </c>
      <c r="K30" s="68">
        <f t="shared" si="0"/>
        <v>2</v>
      </c>
      <c r="L30" s="68">
        <f t="shared" si="0"/>
        <v>2</v>
      </c>
      <c r="M30" s="68">
        <f t="shared" si="0"/>
        <v>2</v>
      </c>
      <c r="N30" s="68">
        <f t="shared" si="0"/>
        <v>2</v>
      </c>
      <c r="O30" s="68">
        <f t="shared" si="0"/>
        <v>2</v>
      </c>
      <c r="P30" s="68">
        <f t="shared" si="0"/>
        <v>2</v>
      </c>
      <c r="Q30" s="68">
        <f t="shared" si="0"/>
        <v>2</v>
      </c>
      <c r="R30" s="68">
        <f t="shared" si="0"/>
        <v>2</v>
      </c>
      <c r="S30" s="68">
        <f t="shared" si="0"/>
        <v>2</v>
      </c>
      <c r="T30" s="68">
        <f t="shared" si="0"/>
        <v>2</v>
      </c>
      <c r="U30" s="77">
        <f t="shared" si="0"/>
        <v>2</v>
      </c>
      <c r="V30" s="77">
        <f t="shared" si="0"/>
        <v>2</v>
      </c>
      <c r="W30" s="77">
        <f t="shared" si="0"/>
        <v>2</v>
      </c>
      <c r="X30" s="77">
        <f t="shared" si="0"/>
        <v>2</v>
      </c>
      <c r="Y30" s="77">
        <f t="shared" si="0"/>
        <v>2</v>
      </c>
      <c r="Z30" s="77">
        <f t="shared" si="0"/>
        <v>2</v>
      </c>
      <c r="AA30" s="77">
        <f t="shared" si="0"/>
        <v>2</v>
      </c>
      <c r="AB30" s="77">
        <f t="shared" si="0"/>
        <v>2</v>
      </c>
      <c r="AC30" s="77">
        <f t="shared" si="0"/>
        <v>2</v>
      </c>
      <c r="AD30" s="77">
        <f t="shared" si="0"/>
        <v>2</v>
      </c>
      <c r="AE30" s="77">
        <f t="shared" si="0"/>
        <v>2</v>
      </c>
      <c r="AF30" s="77">
        <f t="shared" si="0"/>
        <v>2</v>
      </c>
    </row>
    <row r="31" spans="6:32">
      <c r="F31" s="2" t="s">
        <v>17</v>
      </c>
      <c r="G31" s="2" t="s">
        <v>18</v>
      </c>
      <c r="H31" s="3">
        <f>H21+H14+H6</f>
        <v>13</v>
      </c>
      <c r="I31" s="68">
        <f t="shared" ref="I31:AF31" si="1">I21+I14+I6</f>
        <v>14</v>
      </c>
      <c r="J31" s="68">
        <f t="shared" si="1"/>
        <v>14</v>
      </c>
      <c r="K31" s="68">
        <f t="shared" si="1"/>
        <v>14</v>
      </c>
      <c r="L31" s="68">
        <f t="shared" si="1"/>
        <v>13</v>
      </c>
      <c r="M31" s="68">
        <f t="shared" si="1"/>
        <v>13</v>
      </c>
      <c r="N31" s="68">
        <f t="shared" si="1"/>
        <v>13</v>
      </c>
      <c r="O31" s="68">
        <f t="shared" si="1"/>
        <v>13</v>
      </c>
      <c r="P31" s="68">
        <f t="shared" si="1"/>
        <v>13</v>
      </c>
      <c r="Q31" s="68">
        <f t="shared" si="1"/>
        <v>13</v>
      </c>
      <c r="R31" s="68">
        <f t="shared" si="1"/>
        <v>13</v>
      </c>
      <c r="S31" s="68">
        <f t="shared" si="1"/>
        <v>13</v>
      </c>
      <c r="T31" s="68">
        <f t="shared" si="1"/>
        <v>13</v>
      </c>
      <c r="U31" s="68">
        <f t="shared" si="1"/>
        <v>13</v>
      </c>
      <c r="V31" s="68">
        <f t="shared" si="1"/>
        <v>13</v>
      </c>
      <c r="W31" s="68">
        <f t="shared" si="1"/>
        <v>13</v>
      </c>
      <c r="X31" s="68">
        <f t="shared" si="1"/>
        <v>13</v>
      </c>
      <c r="Y31" s="68">
        <f t="shared" si="1"/>
        <v>13</v>
      </c>
      <c r="Z31" s="68">
        <f t="shared" si="1"/>
        <v>13</v>
      </c>
      <c r="AA31" s="68">
        <f t="shared" si="1"/>
        <v>13</v>
      </c>
      <c r="AB31" s="68">
        <f t="shared" si="1"/>
        <v>13</v>
      </c>
      <c r="AC31" s="68">
        <f t="shared" si="1"/>
        <v>13</v>
      </c>
      <c r="AD31" s="68">
        <f t="shared" si="1"/>
        <v>13</v>
      </c>
      <c r="AE31" s="68">
        <f t="shared" si="1"/>
        <v>13</v>
      </c>
      <c r="AF31" s="68">
        <f t="shared" si="1"/>
        <v>13</v>
      </c>
    </row>
    <row r="32" spans="6:32">
      <c r="F32" s="2" t="s">
        <v>17</v>
      </c>
      <c r="G32" s="2" t="s">
        <v>19</v>
      </c>
      <c r="H32" s="3">
        <f>H22</f>
        <v>0</v>
      </c>
      <c r="I32" s="68">
        <f t="shared" ref="I32:AF32" si="2">I22</f>
        <v>1</v>
      </c>
      <c r="J32" s="68">
        <f t="shared" si="2"/>
        <v>1</v>
      </c>
      <c r="K32" s="68">
        <f t="shared" si="2"/>
        <v>1</v>
      </c>
      <c r="L32" s="68">
        <f t="shared" si="2"/>
        <v>1</v>
      </c>
      <c r="M32" s="68">
        <f t="shared" si="2"/>
        <v>1</v>
      </c>
      <c r="N32" s="68">
        <f t="shared" si="2"/>
        <v>1</v>
      </c>
      <c r="O32" s="68">
        <f t="shared" si="2"/>
        <v>1</v>
      </c>
      <c r="P32" s="68">
        <f t="shared" si="2"/>
        <v>1</v>
      </c>
      <c r="Q32" s="68">
        <f t="shared" si="2"/>
        <v>1</v>
      </c>
      <c r="R32" s="68">
        <f t="shared" si="2"/>
        <v>1</v>
      </c>
      <c r="S32" s="68">
        <f t="shared" si="2"/>
        <v>1</v>
      </c>
      <c r="T32" s="68">
        <f t="shared" si="2"/>
        <v>1</v>
      </c>
      <c r="U32" s="68">
        <f t="shared" si="2"/>
        <v>1</v>
      </c>
      <c r="V32" s="68">
        <f t="shared" si="2"/>
        <v>1</v>
      </c>
      <c r="W32" s="68">
        <f t="shared" si="2"/>
        <v>1</v>
      </c>
      <c r="X32" s="68">
        <f t="shared" si="2"/>
        <v>1</v>
      </c>
      <c r="Y32" s="68">
        <f t="shared" si="2"/>
        <v>1</v>
      </c>
      <c r="Z32" s="68">
        <f t="shared" si="2"/>
        <v>1</v>
      </c>
      <c r="AA32" s="68">
        <f t="shared" si="2"/>
        <v>1</v>
      </c>
      <c r="AB32" s="68">
        <f t="shared" si="2"/>
        <v>1</v>
      </c>
      <c r="AC32" s="68">
        <f t="shared" si="2"/>
        <v>1</v>
      </c>
      <c r="AD32" s="68">
        <f t="shared" si="2"/>
        <v>1</v>
      </c>
      <c r="AE32" s="68">
        <f t="shared" si="2"/>
        <v>1</v>
      </c>
      <c r="AF32" s="68">
        <f t="shared" si="2"/>
        <v>1</v>
      </c>
    </row>
    <row r="33" spans="3:32">
      <c r="F33" s="2" t="s">
        <v>17</v>
      </c>
      <c r="G33" s="2" t="s">
        <v>20</v>
      </c>
      <c r="H33" s="3">
        <f>H23</f>
        <v>2</v>
      </c>
      <c r="I33" s="68">
        <f t="shared" ref="I33:AF33" si="3">I23</f>
        <v>2</v>
      </c>
      <c r="J33" s="68">
        <f t="shared" si="3"/>
        <v>2</v>
      </c>
      <c r="K33" s="68">
        <f t="shared" si="3"/>
        <v>2</v>
      </c>
      <c r="L33" s="68">
        <f t="shared" si="3"/>
        <v>2</v>
      </c>
      <c r="M33" s="68">
        <f t="shared" si="3"/>
        <v>2</v>
      </c>
      <c r="N33" s="68">
        <f t="shared" si="3"/>
        <v>2</v>
      </c>
      <c r="O33" s="68">
        <f t="shared" si="3"/>
        <v>2</v>
      </c>
      <c r="P33" s="68">
        <f t="shared" si="3"/>
        <v>2</v>
      </c>
      <c r="Q33" s="68">
        <f t="shared" si="3"/>
        <v>2</v>
      </c>
      <c r="R33" s="68">
        <f t="shared" si="3"/>
        <v>2</v>
      </c>
      <c r="S33" s="68">
        <f t="shared" si="3"/>
        <v>2</v>
      </c>
      <c r="T33" s="68">
        <f t="shared" si="3"/>
        <v>2</v>
      </c>
      <c r="U33" s="68">
        <f t="shared" si="3"/>
        <v>2</v>
      </c>
      <c r="V33" s="68">
        <f t="shared" si="3"/>
        <v>2</v>
      </c>
      <c r="W33" s="68">
        <f t="shared" si="3"/>
        <v>2</v>
      </c>
      <c r="X33" s="68">
        <f t="shared" si="3"/>
        <v>2</v>
      </c>
      <c r="Y33" s="68">
        <f t="shared" si="3"/>
        <v>2</v>
      </c>
      <c r="Z33" s="68">
        <f t="shared" si="3"/>
        <v>2</v>
      </c>
      <c r="AA33" s="68">
        <f t="shared" si="3"/>
        <v>2</v>
      </c>
      <c r="AB33" s="68">
        <f t="shared" si="3"/>
        <v>2</v>
      </c>
      <c r="AC33" s="68">
        <f t="shared" si="3"/>
        <v>2</v>
      </c>
      <c r="AD33" s="68">
        <f t="shared" si="3"/>
        <v>2</v>
      </c>
      <c r="AE33" s="68">
        <f t="shared" si="3"/>
        <v>2</v>
      </c>
      <c r="AF33" s="68">
        <f t="shared" si="3"/>
        <v>2</v>
      </c>
    </row>
    <row r="34" spans="3:32" s="30" customFormat="1">
      <c r="F34" s="65" t="s">
        <v>17</v>
      </c>
      <c r="G34" s="65" t="s">
        <v>92</v>
      </c>
      <c r="H34" s="67">
        <f>H24</f>
        <v>0</v>
      </c>
      <c r="I34" s="67">
        <f t="shared" ref="I34:AF34" si="4">I24</f>
        <v>0</v>
      </c>
      <c r="J34" s="67">
        <f t="shared" si="4"/>
        <v>0</v>
      </c>
      <c r="K34" s="67">
        <f t="shared" si="4"/>
        <v>0</v>
      </c>
      <c r="L34" s="67">
        <f t="shared" si="4"/>
        <v>1.2</v>
      </c>
      <c r="M34" s="67">
        <f t="shared" si="4"/>
        <v>1.2</v>
      </c>
      <c r="N34" s="67">
        <f t="shared" si="4"/>
        <v>1.2</v>
      </c>
      <c r="O34" s="67">
        <f t="shared" si="4"/>
        <v>1.2</v>
      </c>
      <c r="P34" s="67">
        <f t="shared" si="4"/>
        <v>1.2</v>
      </c>
      <c r="Q34" s="67">
        <f t="shared" si="4"/>
        <v>1.2</v>
      </c>
      <c r="R34" s="67">
        <f t="shared" si="4"/>
        <v>1.2</v>
      </c>
      <c r="S34" s="67">
        <f t="shared" si="4"/>
        <v>1.2</v>
      </c>
      <c r="T34" s="67">
        <f t="shared" si="4"/>
        <v>1.2</v>
      </c>
      <c r="U34" s="67">
        <f t="shared" si="4"/>
        <v>1.2</v>
      </c>
      <c r="V34" s="67">
        <f t="shared" si="4"/>
        <v>1.2</v>
      </c>
      <c r="W34" s="67">
        <f t="shared" si="4"/>
        <v>1.2</v>
      </c>
      <c r="X34" s="67">
        <f t="shared" si="4"/>
        <v>1.2</v>
      </c>
      <c r="Y34" s="67">
        <f t="shared" si="4"/>
        <v>1.2</v>
      </c>
      <c r="Z34" s="67">
        <f t="shared" si="4"/>
        <v>1.2</v>
      </c>
      <c r="AA34" s="67">
        <f t="shared" si="4"/>
        <v>1.2</v>
      </c>
      <c r="AB34" s="67">
        <f t="shared" si="4"/>
        <v>1.2</v>
      </c>
      <c r="AC34" s="67">
        <f t="shared" si="4"/>
        <v>1.2</v>
      </c>
      <c r="AD34" s="67">
        <f t="shared" si="4"/>
        <v>1.2</v>
      </c>
      <c r="AE34" s="67">
        <f t="shared" si="4"/>
        <v>1.2</v>
      </c>
      <c r="AF34" s="67">
        <f t="shared" si="4"/>
        <v>1.2</v>
      </c>
    </row>
    <row r="35" spans="3:32">
      <c r="F35" s="2" t="s">
        <v>17</v>
      </c>
      <c r="G35" s="2" t="s">
        <v>21</v>
      </c>
      <c r="H35" s="3">
        <f>H25+H15+H7</f>
        <v>6</v>
      </c>
      <c r="I35" s="68">
        <f t="shared" ref="I35:AF35" si="5">I25+I15+I7</f>
        <v>7</v>
      </c>
      <c r="J35" s="68">
        <f t="shared" si="5"/>
        <v>7</v>
      </c>
      <c r="K35" s="68">
        <f t="shared" si="5"/>
        <v>7</v>
      </c>
      <c r="L35" s="68">
        <f t="shared" si="5"/>
        <v>7</v>
      </c>
      <c r="M35" s="68">
        <f t="shared" si="5"/>
        <v>7</v>
      </c>
      <c r="N35" s="68">
        <f t="shared" si="5"/>
        <v>7</v>
      </c>
      <c r="O35" s="68">
        <f t="shared" si="5"/>
        <v>7</v>
      </c>
      <c r="P35" s="68">
        <f t="shared" si="5"/>
        <v>7</v>
      </c>
      <c r="Q35" s="68">
        <f t="shared" si="5"/>
        <v>7</v>
      </c>
      <c r="R35" s="68">
        <f t="shared" si="5"/>
        <v>7</v>
      </c>
      <c r="S35" s="68">
        <f t="shared" si="5"/>
        <v>7</v>
      </c>
      <c r="T35" s="68">
        <f t="shared" si="5"/>
        <v>7</v>
      </c>
      <c r="U35" s="68">
        <f t="shared" si="5"/>
        <v>7</v>
      </c>
      <c r="V35" s="68">
        <f t="shared" si="5"/>
        <v>7</v>
      </c>
      <c r="W35" s="68">
        <f t="shared" si="5"/>
        <v>7</v>
      </c>
      <c r="X35" s="68">
        <f t="shared" si="5"/>
        <v>7</v>
      </c>
      <c r="Y35" s="68">
        <f t="shared" si="5"/>
        <v>7</v>
      </c>
      <c r="Z35" s="68">
        <f t="shared" si="5"/>
        <v>7</v>
      </c>
      <c r="AA35" s="68">
        <f t="shared" si="5"/>
        <v>7</v>
      </c>
      <c r="AB35" s="68">
        <f t="shared" si="5"/>
        <v>7</v>
      </c>
      <c r="AC35" s="68">
        <f t="shared" si="5"/>
        <v>7</v>
      </c>
      <c r="AD35" s="68">
        <f t="shared" si="5"/>
        <v>7</v>
      </c>
      <c r="AE35" s="68">
        <f t="shared" si="5"/>
        <v>7</v>
      </c>
      <c r="AF35" s="68">
        <f t="shared" si="5"/>
        <v>7</v>
      </c>
    </row>
    <row r="36" spans="3:32">
      <c r="F36" s="2" t="s">
        <v>22</v>
      </c>
      <c r="G36" s="2" t="s">
        <v>16</v>
      </c>
      <c r="H36" s="3">
        <f>H8</f>
        <v>0.5</v>
      </c>
      <c r="I36" s="68">
        <f t="shared" ref="I36:AF36" si="6">I8</f>
        <v>1</v>
      </c>
      <c r="J36" s="68">
        <f t="shared" si="6"/>
        <v>1</v>
      </c>
      <c r="K36" s="68">
        <f t="shared" si="6"/>
        <v>1</v>
      </c>
      <c r="L36" s="68">
        <f t="shared" si="6"/>
        <v>1</v>
      </c>
      <c r="M36" s="68">
        <f t="shared" si="6"/>
        <v>1</v>
      </c>
      <c r="N36" s="68">
        <f t="shared" si="6"/>
        <v>1</v>
      </c>
      <c r="O36" s="68">
        <f t="shared" si="6"/>
        <v>1</v>
      </c>
      <c r="P36" s="68">
        <f t="shared" si="6"/>
        <v>1</v>
      </c>
      <c r="Q36" s="68">
        <f t="shared" si="6"/>
        <v>1</v>
      </c>
      <c r="R36" s="68">
        <f t="shared" si="6"/>
        <v>1</v>
      </c>
      <c r="S36" s="68">
        <f t="shared" si="6"/>
        <v>1</v>
      </c>
      <c r="T36" s="68">
        <f t="shared" si="6"/>
        <v>1</v>
      </c>
      <c r="U36" s="68">
        <f t="shared" si="6"/>
        <v>1</v>
      </c>
      <c r="V36" s="68">
        <f t="shared" si="6"/>
        <v>1</v>
      </c>
      <c r="W36" s="68">
        <f t="shared" si="6"/>
        <v>1</v>
      </c>
      <c r="X36" s="68">
        <f t="shared" si="6"/>
        <v>1</v>
      </c>
      <c r="Y36" s="68">
        <f t="shared" si="6"/>
        <v>1</v>
      </c>
      <c r="Z36" s="68">
        <f t="shared" si="6"/>
        <v>1</v>
      </c>
      <c r="AA36" s="68">
        <f t="shared" si="6"/>
        <v>1</v>
      </c>
      <c r="AB36" s="68">
        <f t="shared" si="6"/>
        <v>1</v>
      </c>
      <c r="AC36" s="68">
        <f t="shared" si="6"/>
        <v>1</v>
      </c>
      <c r="AD36" s="68">
        <f t="shared" si="6"/>
        <v>1</v>
      </c>
      <c r="AE36" s="68">
        <f t="shared" si="6"/>
        <v>1</v>
      </c>
      <c r="AF36" s="68">
        <f t="shared" si="6"/>
        <v>1</v>
      </c>
    </row>
    <row r="37" spans="3:32">
      <c r="F37" s="5" t="s">
        <v>23</v>
      </c>
      <c r="G37" s="5" t="s">
        <v>17</v>
      </c>
      <c r="H37" s="6">
        <f>SUM(H30:H36)</f>
        <v>22.5</v>
      </c>
      <c r="I37" s="69">
        <f t="shared" ref="I37:AF37" si="7">SUM(I30:I36)</f>
        <v>27</v>
      </c>
      <c r="J37" s="69">
        <f t="shared" si="7"/>
        <v>27</v>
      </c>
      <c r="K37" s="69">
        <f t="shared" si="7"/>
        <v>27</v>
      </c>
      <c r="L37" s="69">
        <f t="shared" si="7"/>
        <v>27.2</v>
      </c>
      <c r="M37" s="69">
        <f t="shared" si="7"/>
        <v>27.2</v>
      </c>
      <c r="N37" s="69">
        <f t="shared" si="7"/>
        <v>27.2</v>
      </c>
      <c r="O37" s="69">
        <f t="shared" si="7"/>
        <v>27.2</v>
      </c>
      <c r="P37" s="69">
        <f t="shared" si="7"/>
        <v>27.2</v>
      </c>
      <c r="Q37" s="69">
        <f t="shared" si="7"/>
        <v>27.2</v>
      </c>
      <c r="R37" s="69">
        <f t="shared" si="7"/>
        <v>27.2</v>
      </c>
      <c r="S37" s="69">
        <f t="shared" si="7"/>
        <v>27.2</v>
      </c>
      <c r="T37" s="69">
        <f t="shared" si="7"/>
        <v>27.2</v>
      </c>
      <c r="U37" s="69">
        <f t="shared" si="7"/>
        <v>27.2</v>
      </c>
      <c r="V37" s="69">
        <f t="shared" si="7"/>
        <v>27.2</v>
      </c>
      <c r="W37" s="69">
        <f t="shared" si="7"/>
        <v>27.2</v>
      </c>
      <c r="X37" s="69">
        <f t="shared" si="7"/>
        <v>27.2</v>
      </c>
      <c r="Y37" s="69">
        <f t="shared" si="7"/>
        <v>27.2</v>
      </c>
      <c r="Z37" s="69">
        <f t="shared" si="7"/>
        <v>27.2</v>
      </c>
      <c r="AA37" s="69">
        <f t="shared" si="7"/>
        <v>27.2</v>
      </c>
      <c r="AB37" s="69">
        <f t="shared" si="7"/>
        <v>27.2</v>
      </c>
      <c r="AC37" s="69">
        <f t="shared" si="7"/>
        <v>27.2</v>
      </c>
      <c r="AD37" s="69">
        <f t="shared" si="7"/>
        <v>27.2</v>
      </c>
      <c r="AE37" s="69">
        <f t="shared" si="7"/>
        <v>27.2</v>
      </c>
      <c r="AF37" s="69">
        <f t="shared" si="7"/>
        <v>27.2</v>
      </c>
    </row>
    <row r="38" spans="3:32">
      <c r="F38" s="7"/>
      <c r="G38" s="7"/>
      <c r="H38" s="8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</row>
    <row r="39" spans="3:32">
      <c r="H39" s="64">
        <f>H37-H26-H16-H9</f>
        <v>0</v>
      </c>
      <c r="I39" s="64">
        <f t="shared" ref="I39:AF39" si="8">I37-I26-I16-I9</f>
        <v>0</v>
      </c>
      <c r="J39" s="64">
        <f t="shared" si="8"/>
        <v>0</v>
      </c>
      <c r="K39" s="64">
        <f t="shared" si="8"/>
        <v>0</v>
      </c>
      <c r="L39" s="64">
        <f t="shared" si="8"/>
        <v>0</v>
      </c>
      <c r="M39" s="64">
        <f t="shared" si="8"/>
        <v>0</v>
      </c>
      <c r="N39" s="64">
        <f t="shared" si="8"/>
        <v>0</v>
      </c>
      <c r="O39" s="64">
        <f t="shared" si="8"/>
        <v>0</v>
      </c>
      <c r="P39" s="64">
        <f t="shared" si="8"/>
        <v>0</v>
      </c>
      <c r="Q39" s="64">
        <f t="shared" si="8"/>
        <v>0</v>
      </c>
      <c r="R39" s="64">
        <f t="shared" si="8"/>
        <v>0</v>
      </c>
      <c r="S39" s="64">
        <f t="shared" si="8"/>
        <v>0</v>
      </c>
      <c r="T39" s="64">
        <f t="shared" si="8"/>
        <v>0</v>
      </c>
      <c r="U39" s="64">
        <f t="shared" si="8"/>
        <v>1</v>
      </c>
      <c r="V39" s="64">
        <f t="shared" si="8"/>
        <v>1</v>
      </c>
      <c r="W39" s="64">
        <f t="shared" si="8"/>
        <v>1</v>
      </c>
      <c r="X39" s="64">
        <f t="shared" si="8"/>
        <v>1</v>
      </c>
      <c r="Y39" s="64">
        <f t="shared" si="8"/>
        <v>1</v>
      </c>
      <c r="Z39" s="64">
        <f t="shared" si="8"/>
        <v>1</v>
      </c>
      <c r="AA39" s="64">
        <f t="shared" si="8"/>
        <v>1</v>
      </c>
      <c r="AB39" s="64">
        <f t="shared" si="8"/>
        <v>1</v>
      </c>
      <c r="AC39" s="64">
        <f t="shared" si="8"/>
        <v>1</v>
      </c>
      <c r="AD39" s="64">
        <f t="shared" si="8"/>
        <v>1</v>
      </c>
      <c r="AE39" s="64">
        <f t="shared" si="8"/>
        <v>1</v>
      </c>
      <c r="AF39" s="64">
        <f t="shared" si="8"/>
        <v>1</v>
      </c>
    </row>
    <row r="42" spans="3:32">
      <c r="C42" s="1" t="s">
        <v>0</v>
      </c>
      <c r="D42" s="1" t="s">
        <v>17</v>
      </c>
      <c r="E42" s="1" t="s">
        <v>24</v>
      </c>
      <c r="F42" s="1" t="s">
        <v>25</v>
      </c>
      <c r="G42" s="1" t="s">
        <v>17</v>
      </c>
      <c r="H42" s="117" t="s">
        <v>2</v>
      </c>
      <c r="I42" s="117" t="s">
        <v>67</v>
      </c>
      <c r="J42" s="117" t="s">
        <v>68</v>
      </c>
      <c r="K42" s="117" t="s">
        <v>69</v>
      </c>
      <c r="L42" s="117" t="s">
        <v>70</v>
      </c>
      <c r="M42" s="117" t="s">
        <v>71</v>
      </c>
      <c r="N42" s="117" t="s">
        <v>72</v>
      </c>
      <c r="O42" s="117" t="s">
        <v>73</v>
      </c>
      <c r="P42" s="117" t="s">
        <v>74</v>
      </c>
      <c r="Q42" s="117" t="s">
        <v>75</v>
      </c>
      <c r="R42" s="117" t="s">
        <v>76</v>
      </c>
      <c r="S42" s="117" t="s">
        <v>77</v>
      </c>
      <c r="T42" s="117" t="s">
        <v>78</v>
      </c>
      <c r="U42" s="117" t="s">
        <v>80</v>
      </c>
      <c r="V42" s="117" t="s">
        <v>81</v>
      </c>
      <c r="W42" s="117" t="s">
        <v>82</v>
      </c>
      <c r="X42" s="117" t="s">
        <v>83</v>
      </c>
      <c r="Y42" s="117" t="s">
        <v>84</v>
      </c>
      <c r="Z42" s="117" t="s">
        <v>85</v>
      </c>
      <c r="AA42" s="117" t="s">
        <v>86</v>
      </c>
      <c r="AB42" s="117" t="s">
        <v>87</v>
      </c>
      <c r="AC42" s="117" t="s">
        <v>88</v>
      </c>
      <c r="AD42" s="117" t="s">
        <v>89</v>
      </c>
      <c r="AE42" s="117" t="s">
        <v>90</v>
      </c>
      <c r="AF42" s="117" t="s">
        <v>91</v>
      </c>
    </row>
    <row r="43" spans="3:32">
      <c r="C43" s="71" t="s">
        <v>26</v>
      </c>
      <c r="D43" s="71" t="s">
        <v>27</v>
      </c>
      <c r="E43" s="71" t="s">
        <v>51</v>
      </c>
      <c r="F43" s="71"/>
      <c r="G43" s="71" t="str">
        <f>"EMPLOYEE"&amp;11200&amp;-1</f>
        <v>EMPLOYEE11200-1</v>
      </c>
      <c r="H43" s="72">
        <v>1</v>
      </c>
      <c r="I43" s="72">
        <v>1</v>
      </c>
      <c r="J43" s="72">
        <v>1</v>
      </c>
      <c r="K43" s="72">
        <v>1</v>
      </c>
      <c r="L43" s="72">
        <v>1</v>
      </c>
      <c r="M43" s="72">
        <v>1</v>
      </c>
      <c r="N43" s="72">
        <v>1</v>
      </c>
      <c r="O43" s="72">
        <v>1</v>
      </c>
      <c r="P43" s="72">
        <v>1</v>
      </c>
      <c r="Q43" s="72">
        <v>1</v>
      </c>
      <c r="R43" s="72">
        <v>1</v>
      </c>
      <c r="S43" s="72">
        <v>1</v>
      </c>
      <c r="T43" s="72">
        <v>1</v>
      </c>
      <c r="U43" s="72">
        <v>1</v>
      </c>
      <c r="V43" s="72">
        <v>1</v>
      </c>
      <c r="W43" s="72">
        <v>1</v>
      </c>
      <c r="X43" s="72">
        <v>1</v>
      </c>
      <c r="Y43" s="72">
        <v>1</v>
      </c>
      <c r="Z43" s="72">
        <v>1</v>
      </c>
      <c r="AA43" s="72">
        <v>1</v>
      </c>
      <c r="AB43" s="72">
        <v>1</v>
      </c>
      <c r="AC43" s="72">
        <v>1</v>
      </c>
      <c r="AD43" s="72">
        <v>1</v>
      </c>
      <c r="AE43" s="72">
        <v>1</v>
      </c>
      <c r="AF43" s="72">
        <v>1</v>
      </c>
    </row>
    <row r="44" spans="3:32">
      <c r="C44" s="73" t="s">
        <v>26</v>
      </c>
      <c r="D44" s="73" t="s">
        <v>27</v>
      </c>
      <c r="E44" s="73" t="s">
        <v>51</v>
      </c>
      <c r="F44" s="73"/>
      <c r="G44" s="117" t="str">
        <f>"EMPLOYEE"&amp;11200&amp;-2</f>
        <v>EMPLOYEE11200-2</v>
      </c>
      <c r="H44" s="74">
        <v>1</v>
      </c>
      <c r="I44" s="74">
        <v>1</v>
      </c>
      <c r="J44" s="74">
        <v>1</v>
      </c>
      <c r="K44" s="74">
        <v>1</v>
      </c>
      <c r="L44" s="74">
        <v>1</v>
      </c>
      <c r="M44" s="74">
        <v>1</v>
      </c>
      <c r="N44" s="74">
        <v>1</v>
      </c>
      <c r="O44" s="74">
        <v>1</v>
      </c>
      <c r="P44" s="74">
        <v>1</v>
      </c>
      <c r="Q44" s="74">
        <v>1</v>
      </c>
      <c r="R44" s="74">
        <v>1</v>
      </c>
      <c r="S44" s="74">
        <v>1</v>
      </c>
      <c r="T44" s="74">
        <v>1</v>
      </c>
      <c r="U44" s="74">
        <v>1</v>
      </c>
      <c r="V44" s="74">
        <v>1</v>
      </c>
      <c r="W44" s="74">
        <v>1</v>
      </c>
      <c r="X44" s="74">
        <v>1</v>
      </c>
      <c r="Y44" s="74">
        <v>1</v>
      </c>
      <c r="Z44" s="74">
        <v>1</v>
      </c>
      <c r="AA44" s="74">
        <v>1</v>
      </c>
      <c r="AB44" s="74">
        <v>1</v>
      </c>
      <c r="AC44" s="74">
        <v>1</v>
      </c>
      <c r="AD44" s="74">
        <v>1</v>
      </c>
      <c r="AE44" s="74">
        <v>1</v>
      </c>
      <c r="AF44" s="74">
        <v>1</v>
      </c>
    </row>
    <row r="45" spans="3:32">
      <c r="C45" s="76" t="s">
        <v>26</v>
      </c>
      <c r="D45" s="76" t="s">
        <v>27</v>
      </c>
      <c r="E45" s="76" t="s">
        <v>51</v>
      </c>
      <c r="F45" s="76"/>
      <c r="G45" s="117" t="str">
        <f>"EMPLOYEE"&amp;11200&amp;-3</f>
        <v>EMPLOYEE11200-3</v>
      </c>
      <c r="H45" s="77">
        <v>1</v>
      </c>
      <c r="I45" s="77">
        <v>1</v>
      </c>
      <c r="J45" s="77">
        <v>1</v>
      </c>
      <c r="K45" s="77">
        <v>1</v>
      </c>
      <c r="L45" s="77">
        <v>1</v>
      </c>
      <c r="M45" s="77">
        <v>1</v>
      </c>
      <c r="N45" s="77">
        <v>1</v>
      </c>
      <c r="O45" s="77">
        <v>1</v>
      </c>
      <c r="P45" s="77">
        <v>1</v>
      </c>
      <c r="Q45" s="77">
        <v>1</v>
      </c>
      <c r="R45" s="77">
        <v>1</v>
      </c>
      <c r="S45" s="77">
        <v>1</v>
      </c>
      <c r="T45" s="77">
        <v>1</v>
      </c>
      <c r="U45" s="77">
        <v>1</v>
      </c>
      <c r="V45" s="77">
        <v>1</v>
      </c>
      <c r="W45" s="77">
        <v>1</v>
      </c>
      <c r="X45" s="77">
        <v>1</v>
      </c>
      <c r="Y45" s="77">
        <v>1</v>
      </c>
      <c r="Z45" s="77">
        <v>1</v>
      </c>
      <c r="AA45" s="77">
        <v>1</v>
      </c>
      <c r="AB45" s="77">
        <v>1</v>
      </c>
      <c r="AC45" s="77">
        <v>1</v>
      </c>
      <c r="AD45" s="77">
        <v>1</v>
      </c>
      <c r="AE45" s="77">
        <v>1</v>
      </c>
      <c r="AF45" s="77">
        <v>1</v>
      </c>
    </row>
    <row r="46" spans="3:32">
      <c r="C46" s="2"/>
      <c r="D46" s="2"/>
      <c r="E46" s="5"/>
      <c r="F46" s="5"/>
      <c r="G46" s="5"/>
      <c r="H46" s="6">
        <f>SUM(H43:H45)</f>
        <v>3</v>
      </c>
      <c r="I46" s="83">
        <f t="shared" ref="I46:AF46" si="9">SUM(I43:I45)</f>
        <v>3</v>
      </c>
      <c r="J46" s="83">
        <f t="shared" si="9"/>
        <v>3</v>
      </c>
      <c r="K46" s="83">
        <f t="shared" si="9"/>
        <v>3</v>
      </c>
      <c r="L46" s="83">
        <f t="shared" si="9"/>
        <v>3</v>
      </c>
      <c r="M46" s="83">
        <f t="shared" si="9"/>
        <v>3</v>
      </c>
      <c r="N46" s="83">
        <f t="shared" si="9"/>
        <v>3</v>
      </c>
      <c r="O46" s="83">
        <f t="shared" si="9"/>
        <v>3</v>
      </c>
      <c r="P46" s="83">
        <f t="shared" si="9"/>
        <v>3</v>
      </c>
      <c r="Q46" s="83">
        <f t="shared" si="9"/>
        <v>3</v>
      </c>
      <c r="R46" s="83">
        <f t="shared" si="9"/>
        <v>3</v>
      </c>
      <c r="S46" s="83">
        <f t="shared" si="9"/>
        <v>3</v>
      </c>
      <c r="T46" s="83">
        <f t="shared" si="9"/>
        <v>3</v>
      </c>
      <c r="U46" s="83">
        <f t="shared" si="9"/>
        <v>3</v>
      </c>
      <c r="V46" s="83">
        <f t="shared" si="9"/>
        <v>3</v>
      </c>
      <c r="W46" s="83">
        <f t="shared" si="9"/>
        <v>3</v>
      </c>
      <c r="X46" s="83">
        <f t="shared" si="9"/>
        <v>3</v>
      </c>
      <c r="Y46" s="83">
        <f t="shared" si="9"/>
        <v>3</v>
      </c>
      <c r="Z46" s="83">
        <f t="shared" si="9"/>
        <v>3</v>
      </c>
      <c r="AA46" s="83">
        <f t="shared" si="9"/>
        <v>3</v>
      </c>
      <c r="AB46" s="83">
        <f t="shared" si="9"/>
        <v>3</v>
      </c>
      <c r="AC46" s="83">
        <f t="shared" si="9"/>
        <v>3</v>
      </c>
      <c r="AD46" s="83">
        <f t="shared" si="9"/>
        <v>3</v>
      </c>
      <c r="AE46" s="83">
        <f t="shared" si="9"/>
        <v>3</v>
      </c>
      <c r="AF46" s="83">
        <f t="shared" si="9"/>
        <v>3</v>
      </c>
    </row>
    <row r="49" spans="4:13">
      <c r="E49" s="10" t="s">
        <v>31</v>
      </c>
    </row>
    <row r="50" spans="4:13">
      <c r="E50" s="1" t="s">
        <v>0</v>
      </c>
      <c r="F50" s="1" t="s">
        <v>17</v>
      </c>
      <c r="G50" s="1" t="s">
        <v>24</v>
      </c>
      <c r="H50" s="2" t="s">
        <v>32</v>
      </c>
      <c r="K50" s="79" t="s">
        <v>79</v>
      </c>
      <c r="L50" s="78">
        <v>43800</v>
      </c>
      <c r="M50" s="52"/>
    </row>
    <row r="51" spans="4:13">
      <c r="E51" s="2" t="s">
        <v>33</v>
      </c>
      <c r="F51" s="2" t="s">
        <v>15</v>
      </c>
      <c r="G51" s="2" t="s">
        <v>16</v>
      </c>
      <c r="H51" s="3">
        <v>100</v>
      </c>
      <c r="I51" s="50">
        <f>27.8*2080</f>
        <v>57824</v>
      </c>
      <c r="J51" s="50">
        <f>I51*I30</f>
        <v>115648</v>
      </c>
      <c r="K51" s="50">
        <f>+J51/12</f>
        <v>9637.3333333333339</v>
      </c>
      <c r="L51" s="50">
        <f>+K51*1.035</f>
        <v>9974.64</v>
      </c>
    </row>
    <row r="52" spans="4:13">
      <c r="E52" s="2" t="s">
        <v>17</v>
      </c>
      <c r="F52" s="2" t="s">
        <v>17</v>
      </c>
      <c r="G52" s="2" t="s">
        <v>18</v>
      </c>
      <c r="H52" s="3">
        <v>100</v>
      </c>
      <c r="I52" s="50">
        <f>35.76*2080</f>
        <v>74380.800000000003</v>
      </c>
      <c r="J52" s="50">
        <f t="shared" ref="J52:J57" si="10">I52*I31</f>
        <v>1041331.2000000001</v>
      </c>
      <c r="K52" s="50">
        <f t="shared" ref="K52:K57" si="11">+J52/12</f>
        <v>86777.600000000006</v>
      </c>
      <c r="L52" s="50">
        <f t="shared" ref="L52:L57" si="12">+K52*1.035</f>
        <v>89814.816000000006</v>
      </c>
    </row>
    <row r="53" spans="4:13" s="30" customFormat="1">
      <c r="E53" s="76"/>
      <c r="F53" s="76"/>
      <c r="G53" s="76" t="s">
        <v>19</v>
      </c>
      <c r="H53" s="77">
        <v>0</v>
      </c>
      <c r="I53" s="50">
        <f>35.76*2080*0</f>
        <v>0</v>
      </c>
      <c r="J53" s="50">
        <f t="shared" si="10"/>
        <v>0</v>
      </c>
      <c r="K53" s="50">
        <f t="shared" si="11"/>
        <v>0</v>
      </c>
      <c r="L53" s="50">
        <f t="shared" si="12"/>
        <v>0</v>
      </c>
    </row>
    <row r="54" spans="4:13">
      <c r="E54" s="2" t="s">
        <v>17</v>
      </c>
      <c r="F54" s="2" t="s">
        <v>17</v>
      </c>
      <c r="G54" s="2" t="s">
        <v>20</v>
      </c>
      <c r="H54" s="3">
        <v>100</v>
      </c>
      <c r="I54" s="50">
        <f>40.19*2080</f>
        <v>83595.199999999997</v>
      </c>
      <c r="J54" s="50">
        <f t="shared" si="10"/>
        <v>167190.39999999999</v>
      </c>
      <c r="K54" s="50">
        <f t="shared" si="11"/>
        <v>13932.533333333333</v>
      </c>
      <c r="L54" s="50">
        <f t="shared" si="12"/>
        <v>14420.171999999999</v>
      </c>
    </row>
    <row r="55" spans="4:13" s="30" customFormat="1">
      <c r="E55" s="65"/>
      <c r="F55" s="65"/>
      <c r="G55" s="65" t="s">
        <v>92</v>
      </c>
      <c r="H55" s="77">
        <v>100</v>
      </c>
      <c r="I55" s="50">
        <f>40.19*2080</f>
        <v>83595.199999999997</v>
      </c>
      <c r="J55" s="50">
        <f t="shared" si="10"/>
        <v>0</v>
      </c>
      <c r="K55" s="50">
        <f t="shared" si="11"/>
        <v>0</v>
      </c>
      <c r="L55" s="50">
        <f t="shared" si="12"/>
        <v>0</v>
      </c>
    </row>
    <row r="56" spans="4:13">
      <c r="E56" s="2" t="s">
        <v>17</v>
      </c>
      <c r="F56" s="2" t="s">
        <v>17</v>
      </c>
      <c r="G56" s="2" t="s">
        <v>21</v>
      </c>
      <c r="H56" s="3">
        <v>100</v>
      </c>
      <c r="I56" s="50">
        <f>42.6*2080</f>
        <v>88608</v>
      </c>
      <c r="J56" s="50">
        <f t="shared" si="10"/>
        <v>620256</v>
      </c>
      <c r="K56" s="50">
        <f t="shared" si="11"/>
        <v>51688</v>
      </c>
      <c r="L56" s="50">
        <f t="shared" si="12"/>
        <v>53497.079999999994</v>
      </c>
    </row>
    <row r="57" spans="4:13">
      <c r="E57" s="2" t="s">
        <v>34</v>
      </c>
      <c r="F57" s="2" t="s">
        <v>22</v>
      </c>
      <c r="G57" s="2" t="s">
        <v>16</v>
      </c>
      <c r="H57" s="3">
        <v>100</v>
      </c>
      <c r="I57" s="50">
        <f>27.8*2080</f>
        <v>57824</v>
      </c>
      <c r="J57" s="50">
        <f t="shared" si="10"/>
        <v>57824</v>
      </c>
      <c r="K57" s="50">
        <f t="shared" si="11"/>
        <v>4818.666666666667</v>
      </c>
      <c r="L57" s="50">
        <f t="shared" si="12"/>
        <v>4987.32</v>
      </c>
    </row>
    <row r="61" spans="4:13">
      <c r="D61" s="10" t="s">
        <v>35</v>
      </c>
    </row>
    <row r="62" spans="4:13">
      <c r="D62" s="1" t="s">
        <v>0</v>
      </c>
      <c r="E62" s="1" t="s">
        <v>24</v>
      </c>
      <c r="F62" s="1" t="s">
        <v>25</v>
      </c>
      <c r="G62" s="1" t="s">
        <v>17</v>
      </c>
      <c r="H62" s="2" t="s">
        <v>32</v>
      </c>
      <c r="K62" s="51">
        <v>43709</v>
      </c>
    </row>
    <row r="63" spans="4:13">
      <c r="D63" s="2" t="s">
        <v>17</v>
      </c>
      <c r="E63" s="2" t="s">
        <v>51</v>
      </c>
      <c r="F63" s="76"/>
      <c r="G63" s="117" t="str">
        <f>G43</f>
        <v>EMPLOYEE11200-1</v>
      </c>
      <c r="H63" s="3">
        <v>100</v>
      </c>
      <c r="J63" s="50">
        <f>9568.59*12</f>
        <v>114823.08</v>
      </c>
      <c r="K63" s="50">
        <f t="shared" ref="K63:K65" si="13">+J63/12</f>
        <v>9568.59</v>
      </c>
      <c r="L63" s="50">
        <f>K63</f>
        <v>9568.59</v>
      </c>
    </row>
    <row r="64" spans="4:13">
      <c r="D64" s="2" t="s">
        <v>17</v>
      </c>
      <c r="E64" s="2" t="s">
        <v>51</v>
      </c>
      <c r="F64" s="76"/>
      <c r="G64" s="117" t="str">
        <f t="shared" ref="G64:G65" si="14">G44</f>
        <v>EMPLOYEE11200-2</v>
      </c>
      <c r="H64" s="3">
        <v>100</v>
      </c>
      <c r="J64" s="50">
        <v>113812.6494059891</v>
      </c>
      <c r="K64" s="50">
        <f t="shared" si="13"/>
        <v>9484.3874504990908</v>
      </c>
      <c r="L64" s="50">
        <f>K64</f>
        <v>9484.3874504990908</v>
      </c>
    </row>
    <row r="65" spans="4:36">
      <c r="D65" s="2" t="s">
        <v>17</v>
      </c>
      <c r="E65" s="2" t="s">
        <v>51</v>
      </c>
      <c r="F65" s="76"/>
      <c r="G65" s="117" t="str">
        <f t="shared" si="14"/>
        <v>EMPLOYEE11200-3</v>
      </c>
      <c r="H65" s="3">
        <v>100</v>
      </c>
      <c r="J65" s="50">
        <f>9811.41*12</f>
        <v>117736.92</v>
      </c>
      <c r="K65" s="50">
        <f t="shared" si="13"/>
        <v>9811.41</v>
      </c>
      <c r="L65" s="50">
        <f>K65</f>
        <v>9811.41</v>
      </c>
    </row>
    <row r="66" spans="4:36">
      <c r="V66" s="144"/>
      <c r="W66" s="144"/>
      <c r="X66" s="144"/>
      <c r="Y66" s="144"/>
      <c r="Z66" s="144"/>
      <c r="AA66" s="144"/>
      <c r="AB66" s="144"/>
      <c r="AC66" s="144"/>
      <c r="AD66" s="144"/>
      <c r="AE66" s="144"/>
      <c r="AF66" s="144"/>
      <c r="AG66" s="144"/>
    </row>
    <row r="67" spans="4:36"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  <c r="AG67" s="144"/>
    </row>
    <row r="68" spans="4:36"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144"/>
    </row>
    <row r="69" spans="4:36" ht="13.5" thickBot="1">
      <c r="V69" s="144"/>
      <c r="W69" s="144"/>
      <c r="X69" s="144"/>
      <c r="Y69" s="144"/>
      <c r="Z69" s="144"/>
      <c r="AA69" s="144"/>
      <c r="AB69" s="144"/>
      <c r="AC69" s="144"/>
      <c r="AD69" s="144"/>
      <c r="AE69" s="144"/>
      <c r="AF69" s="144"/>
      <c r="AG69" s="144"/>
    </row>
    <row r="70" spans="4:36" ht="13.5" thickBot="1">
      <c r="F70" s="25"/>
      <c r="G70" s="28" t="s">
        <v>36</v>
      </c>
      <c r="H70" s="16" t="s">
        <v>37</v>
      </c>
      <c r="I70" s="32" t="s">
        <v>170</v>
      </c>
      <c r="J70" s="16" t="s">
        <v>37</v>
      </c>
      <c r="K70" s="16" t="s">
        <v>37</v>
      </c>
      <c r="L70" s="16" t="s">
        <v>37</v>
      </c>
      <c r="M70" s="16" t="s">
        <v>37</v>
      </c>
      <c r="N70" s="16" t="s">
        <v>37</v>
      </c>
      <c r="O70" s="16" t="s">
        <v>37</v>
      </c>
      <c r="P70" s="16" t="s">
        <v>37</v>
      </c>
      <c r="Q70" s="16" t="s">
        <v>37</v>
      </c>
      <c r="R70" s="16" t="s">
        <v>37</v>
      </c>
      <c r="S70" s="16" t="s">
        <v>37</v>
      </c>
      <c r="T70" s="16" t="s">
        <v>37</v>
      </c>
      <c r="U70" s="199" t="s">
        <v>37</v>
      </c>
      <c r="V70" s="211"/>
      <c r="W70" s="211"/>
      <c r="X70" s="211"/>
      <c r="Y70" s="211"/>
      <c r="Z70" s="211"/>
      <c r="AA70" s="211"/>
      <c r="AB70" s="211"/>
      <c r="AC70" s="211"/>
      <c r="AD70" s="211"/>
      <c r="AE70" s="211"/>
      <c r="AF70" s="211"/>
      <c r="AG70" s="211"/>
      <c r="AH70" s="30"/>
      <c r="AI70" s="30"/>
      <c r="AJ70" s="30"/>
    </row>
    <row r="71" spans="4:36" ht="23.25" thickBot="1">
      <c r="F71" s="26"/>
      <c r="G71" s="29"/>
      <c r="H71" s="17" t="s">
        <v>38</v>
      </c>
      <c r="I71" s="33" t="s">
        <v>38</v>
      </c>
      <c r="J71" s="17" t="s">
        <v>38</v>
      </c>
      <c r="K71" s="17" t="s">
        <v>38</v>
      </c>
      <c r="L71" s="17" t="s">
        <v>38</v>
      </c>
      <c r="M71" s="17" t="s">
        <v>38</v>
      </c>
      <c r="N71" s="17" t="s">
        <v>38</v>
      </c>
      <c r="O71" s="17" t="s">
        <v>38</v>
      </c>
      <c r="P71" s="17" t="s">
        <v>38</v>
      </c>
      <c r="Q71" s="17" t="s">
        <v>38</v>
      </c>
      <c r="R71" s="17" t="s">
        <v>38</v>
      </c>
      <c r="S71" s="17" t="s">
        <v>38</v>
      </c>
      <c r="T71" s="17" t="s">
        <v>38</v>
      </c>
      <c r="U71" s="200" t="s">
        <v>38</v>
      </c>
      <c r="V71" s="212"/>
      <c r="W71" s="212"/>
      <c r="X71" s="212"/>
      <c r="Y71" s="212"/>
      <c r="Z71" s="212"/>
      <c r="AA71" s="212"/>
      <c r="AB71" s="212"/>
      <c r="AC71" s="212"/>
      <c r="AD71" s="212"/>
      <c r="AE71" s="212"/>
      <c r="AF71" s="212"/>
      <c r="AG71" s="212"/>
      <c r="AH71" s="30"/>
      <c r="AI71" s="30"/>
      <c r="AJ71" s="30"/>
    </row>
    <row r="72" spans="4:36" ht="13.5" thickBot="1">
      <c r="F72" s="26"/>
      <c r="G72" s="19" t="s">
        <v>39</v>
      </c>
      <c r="H72" s="194" t="s">
        <v>30</v>
      </c>
      <c r="I72" s="194" t="s">
        <v>172</v>
      </c>
      <c r="J72" s="36" t="s">
        <v>94</v>
      </c>
      <c r="K72" s="36" t="s">
        <v>95</v>
      </c>
      <c r="L72" s="75">
        <v>43831</v>
      </c>
      <c r="M72" s="75">
        <v>43862</v>
      </c>
      <c r="N72" s="75">
        <v>43891</v>
      </c>
      <c r="O72" s="75">
        <v>43922</v>
      </c>
      <c r="P72" s="75">
        <v>43952</v>
      </c>
      <c r="Q72" s="75">
        <v>43983</v>
      </c>
      <c r="R72" s="75">
        <v>44013</v>
      </c>
      <c r="S72" s="75">
        <v>44044</v>
      </c>
      <c r="T72" s="75">
        <v>44075</v>
      </c>
      <c r="U72" s="201">
        <v>44105</v>
      </c>
      <c r="V72" s="213"/>
      <c r="W72" s="213"/>
      <c r="X72" s="213"/>
      <c r="Y72" s="213"/>
      <c r="Z72" s="213"/>
      <c r="AA72" s="213"/>
      <c r="AB72" s="213"/>
      <c r="AC72" s="213"/>
      <c r="AD72" s="213"/>
      <c r="AE72" s="213"/>
      <c r="AF72" s="213"/>
      <c r="AG72" s="213"/>
      <c r="AH72" s="30"/>
      <c r="AI72" s="30"/>
      <c r="AJ72" s="30"/>
    </row>
    <row r="73" spans="4:36" ht="13.5" thickBot="1">
      <c r="F73" s="27"/>
      <c r="G73" s="19"/>
      <c r="H73" s="36" t="s">
        <v>40</v>
      </c>
      <c r="I73" s="36" t="s">
        <v>40</v>
      </c>
      <c r="J73" s="20" t="s">
        <v>40</v>
      </c>
      <c r="K73" s="20" t="s">
        <v>40</v>
      </c>
      <c r="L73" s="20" t="s">
        <v>40</v>
      </c>
      <c r="M73" s="20" t="s">
        <v>40</v>
      </c>
      <c r="N73" s="20" t="s">
        <v>40</v>
      </c>
      <c r="O73" s="20" t="s">
        <v>40</v>
      </c>
      <c r="P73" s="20" t="s">
        <v>40</v>
      </c>
      <c r="Q73" s="20" t="s">
        <v>40</v>
      </c>
      <c r="R73" s="20" t="s">
        <v>40</v>
      </c>
      <c r="S73" s="20" t="s">
        <v>40</v>
      </c>
      <c r="T73" s="20" t="s">
        <v>40</v>
      </c>
      <c r="U73" s="202" t="s">
        <v>40</v>
      </c>
      <c r="V73" s="212"/>
      <c r="W73" s="212"/>
      <c r="X73" s="212"/>
      <c r="Y73" s="212"/>
      <c r="Z73" s="212"/>
      <c r="AA73" s="212"/>
      <c r="AB73" s="212"/>
      <c r="AC73" s="212"/>
      <c r="AD73" s="212"/>
      <c r="AE73" s="212"/>
      <c r="AF73" s="212"/>
      <c r="AG73" s="212"/>
      <c r="AH73" s="30"/>
      <c r="AI73" s="30"/>
      <c r="AJ73" s="30"/>
    </row>
    <row r="74" spans="4:36" ht="13.5" thickBot="1">
      <c r="F74" s="20" t="s">
        <v>0</v>
      </c>
      <c r="G74" s="18"/>
      <c r="H74" s="35" t="s">
        <v>41</v>
      </c>
      <c r="I74" s="35" t="s">
        <v>41</v>
      </c>
      <c r="J74" s="19" t="s">
        <v>41</v>
      </c>
      <c r="K74" s="19" t="s">
        <v>41</v>
      </c>
      <c r="L74" s="19" t="s">
        <v>41</v>
      </c>
      <c r="M74" s="19" t="s">
        <v>41</v>
      </c>
      <c r="N74" s="19" t="s">
        <v>41</v>
      </c>
      <c r="O74" s="19" t="s">
        <v>41</v>
      </c>
      <c r="P74" s="19" t="s">
        <v>41</v>
      </c>
      <c r="Q74" s="19" t="s">
        <v>41</v>
      </c>
      <c r="R74" s="19" t="s">
        <v>41</v>
      </c>
      <c r="S74" s="19" t="s">
        <v>41</v>
      </c>
      <c r="T74" s="19" t="s">
        <v>41</v>
      </c>
      <c r="U74" s="203" t="s">
        <v>41</v>
      </c>
      <c r="V74" s="214"/>
      <c r="W74" s="214"/>
      <c r="X74" s="214"/>
      <c r="Y74" s="214"/>
      <c r="Z74" s="214"/>
      <c r="AA74" s="214"/>
      <c r="AB74" s="214"/>
      <c r="AC74" s="214"/>
      <c r="AD74" s="214"/>
      <c r="AE74" s="214"/>
      <c r="AF74" s="214"/>
      <c r="AG74" s="214"/>
      <c r="AH74" s="30"/>
      <c r="AI74" s="30"/>
      <c r="AJ74" s="30"/>
    </row>
    <row r="75" spans="4:36" ht="13.5" thickBot="1">
      <c r="F75" s="23" t="s">
        <v>26</v>
      </c>
      <c r="G75" s="24" t="s">
        <v>27</v>
      </c>
      <c r="H75" s="37">
        <f t="shared" ref="H75:H80" si="15">SUM(J75:U75)</f>
        <v>307561.12341500405</v>
      </c>
      <c r="I75" s="37">
        <f>SUM(L63:L65)*'11150 Gas Acquisition'!S27</f>
        <v>24923.915997974396</v>
      </c>
      <c r="J75" s="21">
        <f>SUM(L63:L65)*'11150 Gas Acquisition'!S27</f>
        <v>24923.915997974396</v>
      </c>
      <c r="K75" s="21">
        <f>J75</f>
        <v>24923.915997974396</v>
      </c>
      <c r="L75" s="21">
        <f>K75</f>
        <v>24923.915997974396</v>
      </c>
      <c r="M75" s="21">
        <f>L75</f>
        <v>24923.915997974396</v>
      </c>
      <c r="N75" s="21">
        <f>M75*1.0425</f>
        <v>25983.182427888307</v>
      </c>
      <c r="O75" s="37">
        <f t="shared" ref="O75:U75" si="16">N75</f>
        <v>25983.182427888307</v>
      </c>
      <c r="P75" s="37">
        <f t="shared" si="16"/>
        <v>25983.182427888307</v>
      </c>
      <c r="Q75" s="37">
        <f t="shared" si="16"/>
        <v>25983.182427888307</v>
      </c>
      <c r="R75" s="37">
        <f t="shared" si="16"/>
        <v>25983.182427888307</v>
      </c>
      <c r="S75" s="37">
        <f t="shared" si="16"/>
        <v>25983.182427888307</v>
      </c>
      <c r="T75" s="37">
        <f t="shared" si="16"/>
        <v>25983.182427888307</v>
      </c>
      <c r="U75" s="204">
        <f t="shared" si="16"/>
        <v>25983.182427888307</v>
      </c>
      <c r="V75" s="215"/>
      <c r="W75" s="215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30"/>
      <c r="AI75" s="30"/>
      <c r="AJ75" s="30"/>
    </row>
    <row r="76" spans="4:36" ht="13.5" thickBot="1">
      <c r="F76" s="23" t="s">
        <v>15</v>
      </c>
      <c r="G76" s="24" t="s">
        <v>33</v>
      </c>
      <c r="H76" s="38">
        <f t="shared" si="15"/>
        <v>1793495.8592522955</v>
      </c>
      <c r="I76" s="38">
        <f>SUM(L51:L56)*'11150 Gas Acquisition'!S27</f>
        <v>144811.93857507431</v>
      </c>
      <c r="J76" s="22">
        <f>SUM(L51:L56)*'11150 Gas Acquisition'!S27</f>
        <v>144811.93857507431</v>
      </c>
      <c r="K76" s="22">
        <f>J76*1.035</f>
        <v>149880.3564252019</v>
      </c>
      <c r="L76" s="22">
        <f>K76</f>
        <v>149880.3564252019</v>
      </c>
      <c r="M76" s="38">
        <f t="shared" ref="M76:U76" si="17">L76</f>
        <v>149880.3564252019</v>
      </c>
      <c r="N76" s="38">
        <f t="shared" si="17"/>
        <v>149880.3564252019</v>
      </c>
      <c r="O76" s="38">
        <f t="shared" si="17"/>
        <v>149880.3564252019</v>
      </c>
      <c r="P76" s="38">
        <f t="shared" si="17"/>
        <v>149880.3564252019</v>
      </c>
      <c r="Q76" s="38">
        <f t="shared" si="17"/>
        <v>149880.3564252019</v>
      </c>
      <c r="R76" s="38">
        <f t="shared" si="17"/>
        <v>149880.3564252019</v>
      </c>
      <c r="S76" s="38">
        <f t="shared" si="17"/>
        <v>149880.3564252019</v>
      </c>
      <c r="T76" s="38">
        <f t="shared" si="17"/>
        <v>149880.3564252019</v>
      </c>
      <c r="U76" s="205">
        <f t="shared" si="17"/>
        <v>149880.3564252019</v>
      </c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  <c r="AF76" s="215"/>
      <c r="AG76" s="215"/>
      <c r="AH76" s="30"/>
      <c r="AI76" s="30"/>
      <c r="AJ76" s="30"/>
    </row>
    <row r="77" spans="4:36" ht="13.5" thickBot="1">
      <c r="F77" s="23" t="s">
        <v>42</v>
      </c>
      <c r="G77" s="24" t="s">
        <v>43</v>
      </c>
      <c r="H77" s="58">
        <f t="shared" si="15"/>
        <v>588402</v>
      </c>
      <c r="I77" s="58">
        <v>43259</v>
      </c>
      <c r="J77" s="58">
        <v>43260</v>
      </c>
      <c r="K77" s="58">
        <v>44562</v>
      </c>
      <c r="L77" s="58">
        <v>48410</v>
      </c>
      <c r="M77" s="58">
        <v>43260</v>
      </c>
      <c r="N77" s="58">
        <v>43260</v>
      </c>
      <c r="O77" s="58">
        <v>46350</v>
      </c>
      <c r="P77" s="58">
        <v>51500</v>
      </c>
      <c r="Q77" s="58">
        <v>56650</v>
      </c>
      <c r="R77" s="58">
        <v>56650</v>
      </c>
      <c r="S77" s="58">
        <v>51500</v>
      </c>
      <c r="T77" s="58">
        <v>51500</v>
      </c>
      <c r="U77" s="206">
        <v>51500</v>
      </c>
      <c r="V77" s="216"/>
      <c r="W77" s="216"/>
      <c r="X77" s="216"/>
      <c r="Y77" s="216"/>
      <c r="Z77" s="216"/>
      <c r="AA77" s="216"/>
      <c r="AB77" s="216"/>
      <c r="AC77" s="216"/>
      <c r="AD77" s="216"/>
      <c r="AE77" s="216"/>
      <c r="AF77" s="216"/>
      <c r="AG77" s="216"/>
      <c r="AH77" s="30"/>
      <c r="AI77" s="30"/>
      <c r="AJ77" s="30"/>
    </row>
    <row r="78" spans="4:36" ht="13.5" thickBot="1">
      <c r="F78" s="23" t="s">
        <v>22</v>
      </c>
      <c r="G78" s="24" t="s">
        <v>34</v>
      </c>
      <c r="H78" s="38">
        <f t="shared" si="15"/>
        <v>59679.186666666668</v>
      </c>
      <c r="I78" s="38">
        <f>K57</f>
        <v>4818.666666666667</v>
      </c>
      <c r="J78" s="22">
        <f>K57</f>
        <v>4818.666666666667</v>
      </c>
      <c r="K78" s="22">
        <f>L57</f>
        <v>4987.32</v>
      </c>
      <c r="L78" s="22">
        <f>K78</f>
        <v>4987.32</v>
      </c>
      <c r="M78" s="38">
        <f t="shared" ref="M78:U78" si="18">L78</f>
        <v>4987.32</v>
      </c>
      <c r="N78" s="38">
        <f t="shared" si="18"/>
        <v>4987.32</v>
      </c>
      <c r="O78" s="38">
        <f t="shared" si="18"/>
        <v>4987.32</v>
      </c>
      <c r="P78" s="38">
        <f t="shared" si="18"/>
        <v>4987.32</v>
      </c>
      <c r="Q78" s="38">
        <f t="shared" si="18"/>
        <v>4987.32</v>
      </c>
      <c r="R78" s="38">
        <f t="shared" si="18"/>
        <v>4987.32</v>
      </c>
      <c r="S78" s="38">
        <f t="shared" si="18"/>
        <v>4987.32</v>
      </c>
      <c r="T78" s="38">
        <f t="shared" si="18"/>
        <v>4987.32</v>
      </c>
      <c r="U78" s="205">
        <f t="shared" si="18"/>
        <v>4987.32</v>
      </c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  <c r="AF78" s="215"/>
      <c r="AG78" s="215"/>
      <c r="AH78" s="30"/>
      <c r="AI78" s="30"/>
      <c r="AJ78" s="30"/>
    </row>
    <row r="79" spans="4:36" ht="13.5" thickBot="1">
      <c r="F79" s="23" t="s">
        <v>44</v>
      </c>
      <c r="G79" s="24" t="s">
        <v>45</v>
      </c>
      <c r="H79" s="37">
        <f t="shared" si="15"/>
        <v>341612.41726179933</v>
      </c>
      <c r="I79" s="37">
        <f>+(I78+I76+I75)*Assumptions!$C$9</f>
        <v>27597.072141878318</v>
      </c>
      <c r="J79" s="21">
        <f>+(J78+J76+J75)*Assumptions!$C$9</f>
        <v>27597.072141878318</v>
      </c>
      <c r="K79" s="37">
        <f>+(K78+K76+K75)*Assumptions!$C$9</f>
        <v>28425.053166005695</v>
      </c>
      <c r="L79" s="37">
        <f>+(L78+L76+L75)*Assumptions!$C$9</f>
        <v>28425.053166005695</v>
      </c>
      <c r="M79" s="37">
        <f>+(M78+M76+M75)*Assumptions!$C$9</f>
        <v>28425.053166005695</v>
      </c>
      <c r="N79" s="37">
        <f>+(N78+N76+N75)*Assumptions!$C$9</f>
        <v>28592.523202737993</v>
      </c>
      <c r="O79" s="37">
        <f>+(O78+O76+O75)*Assumptions!$C$9</f>
        <v>28592.523202737993</v>
      </c>
      <c r="P79" s="37">
        <f>+(P78+P76+P75)*Assumptions!$C$9</f>
        <v>28592.523202737993</v>
      </c>
      <c r="Q79" s="37">
        <f>+(Q78+Q76+Q75)*Assumptions!$C$9</f>
        <v>28592.523202737993</v>
      </c>
      <c r="R79" s="37">
        <f>+(R78+R76+R75)*Assumptions!$C$9</f>
        <v>28592.523202737993</v>
      </c>
      <c r="S79" s="37">
        <f>+(S78+S76+S75)*Assumptions!$C$9</f>
        <v>28592.523202737993</v>
      </c>
      <c r="T79" s="37">
        <f>+(T78+T76+T75)*Assumptions!$C$9</f>
        <v>28592.523202737993</v>
      </c>
      <c r="U79" s="204">
        <f>+(U78+U76+U75)*Assumptions!$C$9</f>
        <v>28592.523202737993</v>
      </c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  <c r="AF79" s="215"/>
      <c r="AG79" s="215"/>
      <c r="AH79" s="30"/>
      <c r="AI79" s="30"/>
      <c r="AJ79" s="30"/>
    </row>
    <row r="80" spans="4:36" ht="13.5" thickBot="1">
      <c r="F80" s="23" t="s">
        <v>46</v>
      </c>
      <c r="G80" s="24" t="s">
        <v>47</v>
      </c>
      <c r="H80" s="38">
        <f t="shared" si="15"/>
        <v>1357214.2369478317</v>
      </c>
      <c r="I80" s="38">
        <f>(I78+I76+I75)*Assumptions!$C$10+(I77*0.158)</f>
        <v>108966.77142979509</v>
      </c>
      <c r="J80" s="22">
        <f>(J78+J76+J75)*Assumptions!$C$10+(J77*0.158)</f>
        <v>108966.92942979508</v>
      </c>
      <c r="K80" s="38">
        <f>(K78+K76+K75)*Assumptions!$C$10+(K77*0.158)</f>
        <v>112236.85575080884</v>
      </c>
      <c r="L80" s="38">
        <f>(L78+L76+L75)*Assumptions!$C$10+(L77*0.158)</f>
        <v>112844.83975080884</v>
      </c>
      <c r="M80" s="38">
        <f>(M78+M76+M75)*Assumptions!$C$10+(M77*0.158)</f>
        <v>112031.13975080884</v>
      </c>
      <c r="N80" s="38">
        <f>(N78+N76+N75)*Assumptions!$C$10+(N77*0.158)</f>
        <v>112650.91653320128</v>
      </c>
      <c r="O80" s="38">
        <f>(O78+O76+O75)*Assumptions!$C$10+(O77*0.158)</f>
        <v>113139.13653320128</v>
      </c>
      <c r="P80" s="38">
        <f>(P78+P76+P75)*Assumptions!$C$10+(P77*0.158)</f>
        <v>113952.83653320128</v>
      </c>
      <c r="Q80" s="38">
        <f>(Q78+Q76+Q75)*Assumptions!$C$10+(Q77*0.158)</f>
        <v>114766.53653320127</v>
      </c>
      <c r="R80" s="38">
        <f>(R78+R76+R75)*Assumptions!$C$10+(R77*0.158)</f>
        <v>114766.53653320127</v>
      </c>
      <c r="S80" s="38">
        <f>(S78+S76+S75)*Assumptions!$C$10+(S77*0.158)</f>
        <v>113952.83653320128</v>
      </c>
      <c r="T80" s="38">
        <f>(T78+T76+T75)*Assumptions!$C$10+(T77*0.158)</f>
        <v>113952.83653320128</v>
      </c>
      <c r="U80" s="205">
        <f>(U78+U76+U75)*Assumptions!$C$10+(U77*0.158)</f>
        <v>113952.83653320128</v>
      </c>
      <c r="V80" s="215"/>
      <c r="W80" s="215"/>
      <c r="X80" s="215"/>
      <c r="Y80" s="215"/>
      <c r="Z80" s="215"/>
      <c r="AA80" s="215"/>
      <c r="AB80" s="215"/>
      <c r="AC80" s="215"/>
      <c r="AD80" s="215"/>
      <c r="AE80" s="215"/>
      <c r="AF80" s="215"/>
      <c r="AG80" s="215"/>
      <c r="AH80" s="30"/>
      <c r="AI80" s="30"/>
      <c r="AJ80" s="30"/>
    </row>
    <row r="81" spans="8:36">
      <c r="V81" s="144"/>
      <c r="W81" s="144"/>
      <c r="X81" s="144"/>
      <c r="Y81" s="144"/>
      <c r="Z81" s="144"/>
      <c r="AA81" s="144"/>
      <c r="AB81" s="144"/>
      <c r="AC81" s="144"/>
      <c r="AD81" s="144"/>
      <c r="AE81" s="144"/>
      <c r="AF81" s="144"/>
      <c r="AG81" s="144"/>
      <c r="AH81" s="30"/>
      <c r="AI81" s="30"/>
      <c r="AJ81" s="30"/>
    </row>
    <row r="82" spans="8:36">
      <c r="V82" s="144"/>
      <c r="W82" s="144"/>
      <c r="X82" s="144"/>
      <c r="Y82" s="144"/>
      <c r="Z82" s="144"/>
      <c r="AA82" s="144"/>
      <c r="AB82" s="144"/>
      <c r="AC82" s="144"/>
      <c r="AD82" s="144"/>
      <c r="AE82" s="144"/>
      <c r="AF82" s="144"/>
      <c r="AG82" s="144"/>
      <c r="AH82" s="30"/>
      <c r="AI82" s="30"/>
      <c r="AJ82" s="30"/>
    </row>
    <row r="83" spans="8:36" ht="13.5" thickBot="1">
      <c r="V83" s="144"/>
      <c r="W83" s="144"/>
      <c r="X83" s="144"/>
      <c r="Y83" s="144"/>
      <c r="Z83" s="144"/>
      <c r="AA83" s="144"/>
      <c r="AB83" s="144"/>
      <c r="AC83" s="144"/>
      <c r="AD83" s="144"/>
      <c r="AE83" s="144"/>
      <c r="AF83" s="144"/>
      <c r="AG83" s="144"/>
      <c r="AH83" s="30"/>
      <c r="AI83" s="30"/>
      <c r="AJ83" s="30"/>
    </row>
    <row r="84" spans="8:36" ht="23.25" thickBot="1">
      <c r="H84" s="44" t="s">
        <v>62</v>
      </c>
      <c r="I84" s="47">
        <f>SUM(I75:I80)</f>
        <v>354377.36481138878</v>
      </c>
      <c r="J84" s="47">
        <f>SUM(J75:J80)</f>
        <v>354378.52281138877</v>
      </c>
      <c r="K84" s="47">
        <f t="shared" ref="K84:U84" si="19">SUM(K75:K80)</f>
        <v>365015.50133999088</v>
      </c>
      <c r="L84" s="47">
        <f t="shared" si="19"/>
        <v>369471.48533999082</v>
      </c>
      <c r="M84" s="47">
        <f t="shared" si="19"/>
        <v>363507.78533999086</v>
      </c>
      <c r="N84" s="47">
        <f t="shared" si="19"/>
        <v>365354.29858902947</v>
      </c>
      <c r="O84" s="47">
        <f t="shared" si="19"/>
        <v>368932.5185890295</v>
      </c>
      <c r="P84" s="47">
        <f t="shared" si="19"/>
        <v>374896.21858902951</v>
      </c>
      <c r="Q84" s="47">
        <f t="shared" si="19"/>
        <v>380859.91858902946</v>
      </c>
      <c r="R84" s="47">
        <f t="shared" si="19"/>
        <v>380859.91858902946</v>
      </c>
      <c r="S84" s="47">
        <f t="shared" si="19"/>
        <v>374896.21858902951</v>
      </c>
      <c r="T84" s="47">
        <f t="shared" si="19"/>
        <v>374896.21858902951</v>
      </c>
      <c r="U84" s="207">
        <f t="shared" si="19"/>
        <v>374896.21858902951</v>
      </c>
      <c r="V84" s="217"/>
      <c r="W84" s="217"/>
      <c r="X84" s="217"/>
      <c r="Y84" s="217"/>
      <c r="Z84" s="217"/>
      <c r="AA84" s="217"/>
      <c r="AB84" s="217"/>
      <c r="AC84" s="217"/>
      <c r="AD84" s="217"/>
      <c r="AE84" s="217"/>
      <c r="AF84" s="217"/>
      <c r="AG84" s="217"/>
      <c r="AH84" s="30"/>
      <c r="AI84" s="30"/>
      <c r="AJ84" s="30"/>
    </row>
    <row r="85" spans="8:36" ht="15.75" thickBot="1">
      <c r="H85" s="45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30"/>
      <c r="AI85" s="30"/>
      <c r="AJ85" s="30"/>
    </row>
    <row r="86" spans="8:36" ht="13.5" thickBot="1">
      <c r="H86" s="44" t="s">
        <v>63</v>
      </c>
      <c r="I86" s="48">
        <f>R37+R46</f>
        <v>30.2</v>
      </c>
      <c r="J86" s="48">
        <f t="shared" ref="J86:K86" si="20">S37+S46</f>
        <v>30.2</v>
      </c>
      <c r="K86" s="48">
        <f t="shared" si="20"/>
        <v>30.2</v>
      </c>
      <c r="L86" s="48">
        <f t="shared" ref="L86" si="21">U37+U46</f>
        <v>30.2</v>
      </c>
      <c r="M86" s="48">
        <f t="shared" ref="M86" si="22">V37+V46</f>
        <v>30.2</v>
      </c>
      <c r="N86" s="48">
        <f t="shared" ref="N86" si="23">W37+W46</f>
        <v>30.2</v>
      </c>
      <c r="O86" s="48">
        <f t="shared" ref="O86" si="24">X37+X46</f>
        <v>30.2</v>
      </c>
      <c r="P86" s="48">
        <f t="shared" ref="P86" si="25">Y37+Y46</f>
        <v>30.2</v>
      </c>
      <c r="Q86" s="48">
        <f t="shared" ref="Q86" si="26">Z37+Z46</f>
        <v>30.2</v>
      </c>
      <c r="R86" s="48">
        <f t="shared" ref="R86" si="27">AA37+AA46</f>
        <v>30.2</v>
      </c>
      <c r="S86" s="48">
        <f t="shared" ref="S86" si="28">AB37+AB46</f>
        <v>30.2</v>
      </c>
      <c r="T86" s="48">
        <f t="shared" ref="T86" si="29">AC37+AC46</f>
        <v>30.2</v>
      </c>
      <c r="U86" s="138">
        <f t="shared" ref="U86" si="30">AD37+AD46</f>
        <v>30.2</v>
      </c>
      <c r="V86" s="219"/>
      <c r="W86" s="219"/>
      <c r="X86" s="219"/>
      <c r="Y86" s="219"/>
      <c r="Z86" s="219"/>
      <c r="AA86" s="219"/>
      <c r="AB86" s="219"/>
      <c r="AC86" s="219"/>
      <c r="AD86" s="219"/>
      <c r="AE86" s="219"/>
      <c r="AF86" s="219"/>
      <c r="AG86" s="219"/>
      <c r="AH86" s="30"/>
      <c r="AI86" s="30"/>
      <c r="AJ86" s="30"/>
    </row>
    <row r="87" spans="8:36" ht="13.5" thickBot="1">
      <c r="H87" s="44" t="s">
        <v>64</v>
      </c>
      <c r="I87" s="46">
        <v>173.33333333333334</v>
      </c>
      <c r="J87" s="46">
        <v>173.33333333333334</v>
      </c>
      <c r="K87" s="46">
        <v>173.33333333333334</v>
      </c>
      <c r="L87" s="46">
        <v>173.33333333333334</v>
      </c>
      <c r="M87" s="46">
        <v>173.33333333333334</v>
      </c>
      <c r="N87" s="46">
        <v>173.33333333333334</v>
      </c>
      <c r="O87" s="46">
        <v>173.33333333333334</v>
      </c>
      <c r="P87" s="46">
        <v>173.33333333333334</v>
      </c>
      <c r="Q87" s="46">
        <v>173.33333333333334</v>
      </c>
      <c r="R87" s="46">
        <v>173.33333333333334</v>
      </c>
      <c r="S87" s="46">
        <v>173.33333333333334</v>
      </c>
      <c r="T87" s="46">
        <v>173.33333333333334</v>
      </c>
      <c r="U87" s="208">
        <v>173.33333333333334</v>
      </c>
      <c r="V87" s="220"/>
      <c r="W87" s="220"/>
      <c r="X87" s="220"/>
      <c r="Y87" s="220"/>
      <c r="Z87" s="220"/>
      <c r="AA87" s="220"/>
      <c r="AB87" s="220"/>
      <c r="AC87" s="220"/>
      <c r="AD87" s="220"/>
      <c r="AE87" s="220"/>
      <c r="AF87" s="220"/>
      <c r="AG87" s="220"/>
      <c r="AH87" s="30"/>
      <c r="AI87" s="30"/>
      <c r="AJ87" s="30"/>
    </row>
    <row r="88" spans="8:36" ht="13.5" thickBot="1">
      <c r="H88" s="44" t="s">
        <v>65</v>
      </c>
      <c r="I88" s="121">
        <f>I86*I87</f>
        <v>5234.666666666667</v>
      </c>
      <c r="J88" s="121">
        <f>J86*J87</f>
        <v>5234.666666666667</v>
      </c>
      <c r="K88" s="121">
        <f t="shared" ref="K88:U88" si="31">K86*K87</f>
        <v>5234.666666666667</v>
      </c>
      <c r="L88" s="121">
        <f t="shared" si="31"/>
        <v>5234.666666666667</v>
      </c>
      <c r="M88" s="121">
        <f t="shared" si="31"/>
        <v>5234.666666666667</v>
      </c>
      <c r="N88" s="121">
        <f t="shared" si="31"/>
        <v>5234.666666666667</v>
      </c>
      <c r="O88" s="121">
        <f t="shared" si="31"/>
        <v>5234.666666666667</v>
      </c>
      <c r="P88" s="121">
        <f t="shared" si="31"/>
        <v>5234.666666666667</v>
      </c>
      <c r="Q88" s="121">
        <f t="shared" si="31"/>
        <v>5234.666666666667</v>
      </c>
      <c r="R88" s="121">
        <f t="shared" si="31"/>
        <v>5234.666666666667</v>
      </c>
      <c r="S88" s="121">
        <f t="shared" si="31"/>
        <v>5234.666666666667</v>
      </c>
      <c r="T88" s="121">
        <f t="shared" si="31"/>
        <v>5234.666666666667</v>
      </c>
      <c r="U88" s="222">
        <f t="shared" si="31"/>
        <v>5234.666666666667</v>
      </c>
      <c r="V88" s="220"/>
      <c r="W88" s="122">
        <f>SUM(I88:T88)</f>
        <v>62815.999999999993</v>
      </c>
      <c r="X88" s="30"/>
      <c r="Y88" s="220"/>
      <c r="Z88" s="220"/>
      <c r="AA88" s="220"/>
      <c r="AB88" s="220"/>
      <c r="AC88" s="220"/>
      <c r="AD88" s="220"/>
      <c r="AE88" s="220"/>
      <c r="AF88" s="220"/>
      <c r="AG88" s="220"/>
      <c r="AH88" s="30"/>
    </row>
    <row r="89" spans="8:36" ht="15">
      <c r="H89" s="43"/>
      <c r="I89" s="123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5"/>
      <c r="U89" s="209"/>
      <c r="V89" s="218"/>
      <c r="W89" s="30"/>
      <c r="X89" s="30"/>
      <c r="Y89" s="218"/>
      <c r="Z89" s="218"/>
      <c r="AA89" s="218"/>
      <c r="AB89" s="218"/>
      <c r="AC89" s="218"/>
      <c r="AD89" s="218"/>
      <c r="AE89" s="218"/>
      <c r="AF89" s="218"/>
      <c r="AG89" s="218"/>
      <c r="AH89" s="30"/>
    </row>
    <row r="90" spans="8:36" ht="22.5">
      <c r="H90" s="44" t="s">
        <v>66</v>
      </c>
      <c r="I90" s="227">
        <f>I84/I88</f>
        <v>67.698172085721239</v>
      </c>
      <c r="J90" s="210">
        <f>J84/J88</f>
        <v>67.698393303245425</v>
      </c>
      <c r="K90" s="210">
        <f t="shared" ref="K90:U90" si="32">K84/K88</f>
        <v>69.730419257512267</v>
      </c>
      <c r="L90" s="210">
        <f t="shared" si="32"/>
        <v>70.581664290624829</v>
      </c>
      <c r="M90" s="210">
        <f t="shared" si="32"/>
        <v>69.442394041006906</v>
      </c>
      <c r="N90" s="210">
        <f t="shared" si="32"/>
        <v>69.795141095713731</v>
      </c>
      <c r="O90" s="210">
        <f t="shared" si="32"/>
        <v>70.478703245484496</v>
      </c>
      <c r="P90" s="210">
        <f t="shared" si="32"/>
        <v>71.617973495102419</v>
      </c>
      <c r="Q90" s="210">
        <f t="shared" si="32"/>
        <v>72.757243744720341</v>
      </c>
      <c r="R90" s="210">
        <f t="shared" si="32"/>
        <v>72.757243744720341</v>
      </c>
      <c r="S90" s="210">
        <f t="shared" si="32"/>
        <v>71.617973495102419</v>
      </c>
      <c r="T90" s="228">
        <f t="shared" si="32"/>
        <v>71.617973495102419</v>
      </c>
      <c r="U90" s="210">
        <f t="shared" si="32"/>
        <v>71.617973495102419</v>
      </c>
      <c r="V90" s="219"/>
      <c r="W90" s="126">
        <f>AVERAGE(I90:T90)</f>
        <v>70.482774607838067</v>
      </c>
      <c r="X90" s="30"/>
      <c r="Y90" s="219"/>
      <c r="Z90" s="219"/>
      <c r="AA90" s="219"/>
      <c r="AB90" s="219"/>
      <c r="AC90" s="219"/>
      <c r="AD90" s="219"/>
      <c r="AE90" s="219"/>
      <c r="AF90" s="219"/>
      <c r="AG90" s="219"/>
      <c r="AH90" s="30"/>
    </row>
    <row r="91" spans="8:36">
      <c r="I91" s="223"/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224"/>
      <c r="U91" s="129"/>
      <c r="V91" s="144"/>
      <c r="W91" s="30"/>
      <c r="X91" s="30"/>
      <c r="Y91" s="144"/>
      <c r="Z91" s="144"/>
      <c r="AA91" s="144"/>
      <c r="AB91" s="144"/>
      <c r="AC91" s="144"/>
      <c r="AD91" s="144"/>
      <c r="AE91" s="144"/>
      <c r="AF91" s="144"/>
      <c r="AG91" s="144"/>
      <c r="AH91" s="30"/>
    </row>
    <row r="92" spans="8:36">
      <c r="I92" s="223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224"/>
      <c r="U92" s="129"/>
      <c r="V92" s="144"/>
      <c r="W92" s="30"/>
      <c r="X92" s="30"/>
      <c r="Y92" s="144"/>
      <c r="Z92" s="144"/>
      <c r="AA92" s="144"/>
      <c r="AB92" s="144"/>
      <c r="AC92" s="144"/>
      <c r="AD92" s="144"/>
      <c r="AE92" s="144"/>
      <c r="AF92" s="144"/>
      <c r="AG92" s="144"/>
      <c r="AH92" s="30"/>
    </row>
    <row r="93" spans="8:36">
      <c r="H93" s="30"/>
      <c r="I93" s="151">
        <f t="shared" ref="I93:J93" si="33">I90*(1+$K$100)</f>
        <v>67.782794800828384</v>
      </c>
      <c r="J93" s="139">
        <f t="shared" si="33"/>
        <v>67.783016294874486</v>
      </c>
      <c r="K93" s="139">
        <f>K90*(1+$K$100)</f>
        <v>69.817582281584151</v>
      </c>
      <c r="L93" s="139">
        <f>L90*(1+$L$100)</f>
        <v>70.887518169217529</v>
      </c>
      <c r="M93" s="139">
        <f t="shared" ref="M93:T93" si="34">M90*(1+$L$100)</f>
        <v>69.743311081851274</v>
      </c>
      <c r="N93" s="139">
        <f t="shared" si="34"/>
        <v>70.097586707128485</v>
      </c>
      <c r="O93" s="139">
        <f t="shared" si="34"/>
        <v>70.784110959548258</v>
      </c>
      <c r="P93" s="139">
        <f t="shared" si="34"/>
        <v>71.928318046914526</v>
      </c>
      <c r="Q93" s="139">
        <f t="shared" si="34"/>
        <v>73.072525134280795</v>
      </c>
      <c r="R93" s="139">
        <f t="shared" si="34"/>
        <v>73.072525134280795</v>
      </c>
      <c r="S93" s="139">
        <f t="shared" si="34"/>
        <v>71.928318046914526</v>
      </c>
      <c r="T93" s="152">
        <f t="shared" si="34"/>
        <v>71.928318046914526</v>
      </c>
      <c r="U93" s="139">
        <f t="shared" ref="U93" si="35">T93*(1+$L$100)</f>
        <v>72.240007425117824</v>
      </c>
      <c r="V93" s="221"/>
      <c r="W93" s="131">
        <f>AVERAGE(I93:T93)</f>
        <v>70.735493725361493</v>
      </c>
      <c r="X93" s="30" t="s">
        <v>177</v>
      </c>
      <c r="Y93" s="221"/>
      <c r="Z93" s="221"/>
      <c r="AA93" s="221"/>
      <c r="AB93" s="221"/>
      <c r="AC93" s="221"/>
      <c r="AD93" s="221"/>
      <c r="AE93" s="221"/>
      <c r="AF93" s="221"/>
      <c r="AG93" s="221"/>
      <c r="AH93" s="130"/>
    </row>
    <row r="94" spans="8:36" ht="13.5" thickBot="1">
      <c r="H94" s="30"/>
      <c r="I94" s="127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225"/>
      <c r="U94" s="139"/>
      <c r="V94" s="221"/>
      <c r="W94" s="144"/>
      <c r="X94" s="144"/>
      <c r="Y94" s="144"/>
      <c r="Z94" s="144"/>
      <c r="AA94" s="144"/>
      <c r="AB94" s="144"/>
      <c r="AC94" s="144"/>
      <c r="AD94" s="144"/>
      <c r="AE94" s="144"/>
      <c r="AF94" s="144"/>
      <c r="AG94" s="144"/>
    </row>
    <row r="95" spans="8:36">
      <c r="H95" s="30"/>
      <c r="I95" s="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221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</row>
    <row r="96" spans="8:36">
      <c r="J96" s="30"/>
      <c r="K96" s="30"/>
      <c r="L96" s="30"/>
      <c r="M96" s="30"/>
      <c r="N96" s="30"/>
      <c r="O96" s="30"/>
      <c r="P96" s="30"/>
      <c r="Q96" s="129"/>
      <c r="R96" s="129"/>
      <c r="S96" s="129"/>
      <c r="T96" s="129"/>
      <c r="U96" s="129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</row>
    <row r="97" spans="7:33">
      <c r="G97" s="132" t="s">
        <v>109</v>
      </c>
      <c r="H97" s="30"/>
      <c r="I97" s="196"/>
      <c r="J97" s="196"/>
      <c r="K97" s="79">
        <v>2019</v>
      </c>
      <c r="L97" s="79">
        <v>2020</v>
      </c>
      <c r="M97" s="79">
        <v>2021</v>
      </c>
      <c r="N97" s="79">
        <v>2022</v>
      </c>
      <c r="O97" s="79">
        <v>2023</v>
      </c>
      <c r="P97" s="79">
        <v>2024</v>
      </c>
      <c r="Q97" s="196"/>
      <c r="R97" s="196"/>
      <c r="S97" s="196"/>
      <c r="T97" s="196"/>
      <c r="U97" s="196"/>
      <c r="V97" s="144"/>
      <c r="W97" s="144"/>
      <c r="X97" s="144"/>
      <c r="Y97" s="144"/>
      <c r="Z97" s="144"/>
      <c r="AA97" s="144"/>
      <c r="AB97" s="144"/>
      <c r="AC97" s="144"/>
      <c r="AD97" s="144"/>
      <c r="AE97" s="144"/>
      <c r="AF97" s="144"/>
      <c r="AG97" s="144"/>
    </row>
    <row r="98" spans="7:33" ht="18">
      <c r="G98" s="133" t="s">
        <v>110</v>
      </c>
      <c r="H98" s="30"/>
      <c r="I98" s="197"/>
      <c r="J98" s="197"/>
      <c r="K98" s="135" t="s">
        <v>115</v>
      </c>
      <c r="L98" s="135" t="s">
        <v>116</v>
      </c>
      <c r="M98" s="135" t="s">
        <v>117</v>
      </c>
      <c r="N98" s="135" t="s">
        <v>118</v>
      </c>
      <c r="O98" s="135" t="s">
        <v>119</v>
      </c>
      <c r="P98" s="135" t="s">
        <v>120</v>
      </c>
      <c r="Q98" s="197"/>
      <c r="R98" s="197"/>
      <c r="S98" s="197"/>
      <c r="T98" s="197"/>
      <c r="U98" s="197"/>
      <c r="V98" s="30"/>
    </row>
    <row r="99" spans="7:33">
      <c r="G99" s="134" t="s">
        <v>111</v>
      </c>
      <c r="H99" s="30"/>
      <c r="I99" s="30"/>
      <c r="J99" s="30"/>
      <c r="K99" s="30"/>
      <c r="L99" s="30"/>
      <c r="M99" s="30"/>
      <c r="N99" s="30"/>
      <c r="O99" s="30"/>
      <c r="P99" s="30"/>
      <c r="Q99" s="129"/>
      <c r="R99" s="129"/>
      <c r="S99" s="129"/>
      <c r="T99" s="129"/>
      <c r="U99" s="129"/>
      <c r="V99" s="30"/>
    </row>
    <row r="100" spans="7:33">
      <c r="G100" s="136" t="s">
        <v>125</v>
      </c>
      <c r="H100" s="30"/>
      <c r="I100" s="30"/>
      <c r="J100" s="30"/>
      <c r="K100" s="137">
        <f>(1.5/12)/100</f>
        <v>1.25E-3</v>
      </c>
      <c r="L100" s="137">
        <f>(3.9/9)/100</f>
        <v>4.3333333333333331E-3</v>
      </c>
      <c r="M100" s="137">
        <v>0</v>
      </c>
      <c r="N100" s="30"/>
      <c r="O100" s="30"/>
      <c r="P100" s="30"/>
      <c r="Q100" s="129"/>
      <c r="R100" s="129"/>
      <c r="S100" s="129"/>
      <c r="T100" s="129"/>
      <c r="U100" s="129"/>
      <c r="V100" s="30"/>
    </row>
    <row r="101" spans="7:33">
      <c r="G101" s="226" t="s">
        <v>112</v>
      </c>
    </row>
  </sheetData>
  <pageMargins left="0.7" right="0.7" top="0.75" bottom="0.75" header="0.3" footer="0.3"/>
  <pageSetup orientation="portrait" r:id="rId1"/>
  <headerFooter>
    <oddHeader>&amp;RExh. RJW-2 Wyman WP4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J58"/>
  <sheetViews>
    <sheetView zoomScaleNormal="100" workbookViewId="0">
      <selection activeCell="B67" sqref="B67"/>
    </sheetView>
  </sheetViews>
  <sheetFormatPr defaultRowHeight="12.75"/>
  <cols>
    <col min="5" max="5" width="14" bestFit="1" customWidth="1"/>
    <col min="6" max="6" width="24.1640625" bestFit="1" customWidth="1"/>
    <col min="7" max="7" width="26.83203125" bestFit="1" customWidth="1"/>
    <col min="19" max="22" width="8.83203125" customWidth="1"/>
  </cols>
  <sheetData>
    <row r="2" spans="1:32">
      <c r="A2" s="174" t="s">
        <v>149</v>
      </c>
    </row>
    <row r="5" spans="1:32">
      <c r="C5" s="1" t="s">
        <v>0</v>
      </c>
      <c r="D5" s="1" t="s">
        <v>17</v>
      </c>
      <c r="E5" s="1" t="s">
        <v>24</v>
      </c>
      <c r="F5" s="1" t="s">
        <v>25</v>
      </c>
      <c r="G5" s="1" t="s">
        <v>17</v>
      </c>
      <c r="H5" s="2" t="s">
        <v>2</v>
      </c>
      <c r="I5" s="2" t="s">
        <v>3</v>
      </c>
      <c r="J5" s="2" t="s">
        <v>4</v>
      </c>
      <c r="K5" s="2" t="s">
        <v>5</v>
      </c>
      <c r="L5" s="2" t="s">
        <v>6</v>
      </c>
      <c r="M5" s="2" t="s">
        <v>7</v>
      </c>
      <c r="N5" s="2" t="s">
        <v>8</v>
      </c>
      <c r="O5" s="2" t="s">
        <v>9</v>
      </c>
      <c r="P5" s="2" t="s">
        <v>10</v>
      </c>
      <c r="Q5" s="2" t="s">
        <v>11</v>
      </c>
      <c r="R5" s="2" t="s">
        <v>12</v>
      </c>
      <c r="S5" s="2" t="s">
        <v>13</v>
      </c>
      <c r="T5" s="2" t="s">
        <v>14</v>
      </c>
      <c r="U5" s="2" t="s">
        <v>67</v>
      </c>
      <c r="V5" s="2" t="s">
        <v>68</v>
      </c>
      <c r="W5" s="2" t="s">
        <v>69</v>
      </c>
      <c r="X5" s="2" t="s">
        <v>70</v>
      </c>
      <c r="Y5" s="2" t="s">
        <v>71</v>
      </c>
      <c r="Z5" s="2" t="s">
        <v>72</v>
      </c>
      <c r="AA5" s="2" t="s">
        <v>73</v>
      </c>
      <c r="AB5" s="2" t="s">
        <v>74</v>
      </c>
      <c r="AC5" s="2" t="s">
        <v>75</v>
      </c>
      <c r="AD5" s="2" t="s">
        <v>76</v>
      </c>
      <c r="AE5" s="2" t="s">
        <v>77</v>
      </c>
      <c r="AF5" s="2" t="s">
        <v>78</v>
      </c>
    </row>
    <row r="6" spans="1:32">
      <c r="C6" s="80" t="s">
        <v>26</v>
      </c>
      <c r="D6" s="80" t="s">
        <v>27</v>
      </c>
      <c r="E6" s="80" t="s">
        <v>50</v>
      </c>
      <c r="F6" s="80"/>
      <c r="G6" s="80" t="str">
        <f>"EMPLOYEE"&amp;11150&amp;-1</f>
        <v>EMPLOYEE11150-1</v>
      </c>
      <c r="H6" s="82">
        <v>1</v>
      </c>
      <c r="I6" s="82">
        <v>1</v>
      </c>
      <c r="J6" s="82">
        <v>1</v>
      </c>
      <c r="K6" s="82">
        <v>1</v>
      </c>
      <c r="L6" s="82">
        <v>1</v>
      </c>
      <c r="M6" s="82">
        <v>1</v>
      </c>
      <c r="N6" s="82">
        <v>1</v>
      </c>
      <c r="O6" s="82">
        <v>1</v>
      </c>
      <c r="P6" s="82">
        <v>1</v>
      </c>
      <c r="Q6" s="82">
        <v>1</v>
      </c>
      <c r="R6" s="82">
        <v>1</v>
      </c>
      <c r="S6" s="82">
        <v>1</v>
      </c>
      <c r="T6" s="82">
        <v>1</v>
      </c>
      <c r="U6" s="82">
        <v>1</v>
      </c>
      <c r="V6" s="82">
        <v>1</v>
      </c>
      <c r="W6" s="82">
        <v>1</v>
      </c>
      <c r="X6" s="82">
        <v>1</v>
      </c>
      <c r="Y6" s="82">
        <v>1</v>
      </c>
      <c r="Z6" s="82">
        <v>1</v>
      </c>
      <c r="AA6" s="82">
        <v>1</v>
      </c>
      <c r="AB6" s="82">
        <v>1</v>
      </c>
      <c r="AC6" s="82">
        <v>1</v>
      </c>
      <c r="AD6" s="82">
        <v>1</v>
      </c>
      <c r="AE6" s="82">
        <v>1</v>
      </c>
      <c r="AF6" s="82">
        <v>1</v>
      </c>
    </row>
    <row r="7" spans="1:32">
      <c r="C7" s="80" t="s">
        <v>17</v>
      </c>
      <c r="D7" s="80" t="s">
        <v>17</v>
      </c>
      <c r="E7" s="80" t="s">
        <v>28</v>
      </c>
      <c r="F7" s="80"/>
      <c r="G7" s="117" t="str">
        <f>"EMPLOYEE"&amp;11150&amp;-2</f>
        <v>EMPLOYEE11150-2</v>
      </c>
      <c r="H7" s="82">
        <v>1</v>
      </c>
      <c r="I7" s="82">
        <v>1</v>
      </c>
      <c r="J7" s="82">
        <v>1</v>
      </c>
      <c r="K7" s="82">
        <v>1</v>
      </c>
      <c r="L7" s="82">
        <v>1</v>
      </c>
      <c r="M7" s="82">
        <v>1</v>
      </c>
      <c r="N7" s="82">
        <v>1</v>
      </c>
      <c r="O7" s="82">
        <v>1</v>
      </c>
      <c r="P7" s="82">
        <v>1</v>
      </c>
      <c r="Q7" s="82">
        <v>1</v>
      </c>
      <c r="R7" s="82">
        <v>1</v>
      </c>
      <c r="S7" s="82">
        <v>1</v>
      </c>
      <c r="T7" s="82">
        <v>1</v>
      </c>
      <c r="U7" s="82">
        <v>1</v>
      </c>
      <c r="V7" s="82">
        <v>1</v>
      </c>
      <c r="W7" s="82">
        <v>1</v>
      </c>
      <c r="X7" s="82">
        <v>1</v>
      </c>
      <c r="Y7" s="82">
        <v>1</v>
      </c>
      <c r="Z7" s="82">
        <v>1</v>
      </c>
      <c r="AA7" s="82">
        <v>1</v>
      </c>
      <c r="AB7" s="82">
        <v>1</v>
      </c>
      <c r="AC7" s="82">
        <v>1</v>
      </c>
      <c r="AD7" s="82">
        <v>1</v>
      </c>
      <c r="AE7" s="82">
        <v>1</v>
      </c>
      <c r="AF7" s="82">
        <v>1</v>
      </c>
    </row>
    <row r="8" spans="1:32">
      <c r="C8" s="80" t="s">
        <v>17</v>
      </c>
      <c r="D8" s="80" t="s">
        <v>17</v>
      </c>
      <c r="E8" s="80" t="s">
        <v>51</v>
      </c>
      <c r="F8" s="80"/>
      <c r="G8" s="117" t="str">
        <f>"EMPLOYEE"&amp;11150&amp;-3</f>
        <v>EMPLOYEE11150-3</v>
      </c>
      <c r="H8" s="82">
        <v>1</v>
      </c>
      <c r="I8" s="82">
        <v>1</v>
      </c>
      <c r="J8" s="82">
        <v>1</v>
      </c>
      <c r="K8" s="82">
        <v>1</v>
      </c>
      <c r="L8" s="82">
        <v>1</v>
      </c>
      <c r="M8" s="82">
        <v>1</v>
      </c>
      <c r="N8" s="82">
        <v>1</v>
      </c>
      <c r="O8" s="82">
        <v>1</v>
      </c>
      <c r="P8" s="82">
        <v>1</v>
      </c>
      <c r="Q8" s="82">
        <v>1</v>
      </c>
      <c r="R8" s="82">
        <v>1</v>
      </c>
      <c r="S8" s="82">
        <v>1</v>
      </c>
      <c r="T8" s="82">
        <v>1</v>
      </c>
      <c r="U8" s="82">
        <v>1</v>
      </c>
      <c r="V8" s="82">
        <v>1</v>
      </c>
      <c r="W8" s="82">
        <v>1</v>
      </c>
      <c r="X8" s="82">
        <v>1</v>
      </c>
      <c r="Y8" s="82">
        <v>1</v>
      </c>
      <c r="Z8" s="82">
        <v>1</v>
      </c>
      <c r="AA8" s="82">
        <v>1</v>
      </c>
      <c r="AB8" s="82">
        <v>1</v>
      </c>
      <c r="AC8" s="82">
        <v>1</v>
      </c>
      <c r="AD8" s="82">
        <v>1</v>
      </c>
      <c r="AE8" s="82">
        <v>1</v>
      </c>
      <c r="AF8" s="82">
        <v>1</v>
      </c>
    </row>
    <row r="9" spans="1:32">
      <c r="C9" s="80" t="s">
        <v>17</v>
      </c>
      <c r="D9" s="80" t="s">
        <v>17</v>
      </c>
      <c r="E9" s="80" t="s">
        <v>17</v>
      </c>
      <c r="F9" s="80"/>
      <c r="G9" s="117" t="str">
        <f>"EMPLOYEE"&amp;11150&amp;-4</f>
        <v>EMPLOYEE11150-4</v>
      </c>
      <c r="H9" s="82">
        <v>1</v>
      </c>
      <c r="I9" s="82">
        <v>1</v>
      </c>
      <c r="J9" s="82">
        <v>1</v>
      </c>
      <c r="K9" s="82">
        <v>1</v>
      </c>
      <c r="L9" s="82">
        <v>1</v>
      </c>
      <c r="M9" s="82">
        <v>1</v>
      </c>
      <c r="N9" s="82">
        <v>1</v>
      </c>
      <c r="O9" s="82">
        <v>1</v>
      </c>
      <c r="P9" s="82">
        <v>1</v>
      </c>
      <c r="Q9" s="82">
        <v>1</v>
      </c>
      <c r="R9" s="82">
        <v>1</v>
      </c>
      <c r="S9" s="82">
        <v>1</v>
      </c>
      <c r="T9" s="82">
        <v>1</v>
      </c>
      <c r="U9" s="82">
        <v>1</v>
      </c>
      <c r="V9" s="82">
        <v>1</v>
      </c>
      <c r="W9" s="82">
        <v>1</v>
      </c>
      <c r="X9" s="82">
        <v>1</v>
      </c>
      <c r="Y9" s="82">
        <v>1</v>
      </c>
      <c r="Z9" s="82">
        <v>1</v>
      </c>
      <c r="AA9" s="82">
        <v>1</v>
      </c>
      <c r="AB9" s="82">
        <v>1</v>
      </c>
      <c r="AC9" s="82">
        <v>1</v>
      </c>
      <c r="AD9" s="82">
        <v>1</v>
      </c>
      <c r="AE9" s="82">
        <v>1</v>
      </c>
      <c r="AF9" s="82">
        <v>1</v>
      </c>
    </row>
    <row r="10" spans="1:32" s="30" customFormat="1">
      <c r="C10" s="80" t="s">
        <v>17</v>
      </c>
      <c r="D10" s="80" t="s">
        <v>17</v>
      </c>
      <c r="E10" s="80" t="s">
        <v>29</v>
      </c>
      <c r="F10" s="80"/>
      <c r="G10" s="117" t="str">
        <f>"EMPLOYEE"&amp;11150&amp;-5</f>
        <v>EMPLOYEE11150-5</v>
      </c>
      <c r="H10" s="82">
        <v>1</v>
      </c>
      <c r="I10" s="82">
        <v>1</v>
      </c>
      <c r="J10" s="82">
        <v>1</v>
      </c>
      <c r="K10" s="82">
        <v>1</v>
      </c>
      <c r="L10" s="82">
        <v>1</v>
      </c>
      <c r="M10" s="82">
        <v>1</v>
      </c>
      <c r="N10" s="82">
        <v>1</v>
      </c>
      <c r="O10" s="82">
        <v>1</v>
      </c>
      <c r="P10" s="82">
        <v>1</v>
      </c>
      <c r="Q10" s="82">
        <v>1</v>
      </c>
      <c r="R10" s="82">
        <v>1</v>
      </c>
      <c r="S10" s="82">
        <v>1</v>
      </c>
      <c r="T10" s="82">
        <v>1</v>
      </c>
      <c r="U10" s="82">
        <v>1</v>
      </c>
      <c r="V10" s="82">
        <v>1</v>
      </c>
      <c r="W10" s="82">
        <v>1</v>
      </c>
      <c r="X10" s="82">
        <v>1</v>
      </c>
      <c r="Y10" s="82">
        <v>1</v>
      </c>
      <c r="Z10" s="82">
        <v>1</v>
      </c>
      <c r="AA10" s="82">
        <v>1</v>
      </c>
      <c r="AB10" s="82">
        <v>1</v>
      </c>
      <c r="AC10" s="82">
        <v>1</v>
      </c>
      <c r="AD10" s="82">
        <v>1</v>
      </c>
      <c r="AE10" s="82">
        <v>1</v>
      </c>
      <c r="AF10" s="82">
        <v>1</v>
      </c>
    </row>
    <row r="11" spans="1:32">
      <c r="C11" s="80" t="s">
        <v>17</v>
      </c>
      <c r="D11" s="80" t="s">
        <v>17</v>
      </c>
      <c r="E11" s="80" t="s">
        <v>52</v>
      </c>
      <c r="F11" s="80"/>
      <c r="G11" s="117" t="str">
        <f>"EMPLOYEE"&amp;11150&amp;-6</f>
        <v>EMPLOYEE11150-6</v>
      </c>
      <c r="H11" s="82">
        <v>1</v>
      </c>
      <c r="I11" s="82">
        <v>1</v>
      </c>
      <c r="J11" s="82">
        <v>1</v>
      </c>
      <c r="K11" s="82">
        <v>1</v>
      </c>
      <c r="L11" s="82">
        <v>1</v>
      </c>
      <c r="M11" s="82">
        <v>1</v>
      </c>
      <c r="N11" s="82">
        <v>1</v>
      </c>
      <c r="O11" s="82">
        <v>1</v>
      </c>
      <c r="P11" s="82">
        <v>1</v>
      </c>
      <c r="Q11" s="82">
        <v>1</v>
      </c>
      <c r="R11" s="82">
        <v>1</v>
      </c>
      <c r="S11" s="82">
        <v>1</v>
      </c>
      <c r="T11" s="82">
        <v>1</v>
      </c>
      <c r="U11" s="82">
        <v>1</v>
      </c>
      <c r="V11" s="82">
        <v>1</v>
      </c>
      <c r="W11" s="82">
        <v>1</v>
      </c>
      <c r="X11" s="82">
        <v>1</v>
      </c>
      <c r="Y11" s="82">
        <v>1</v>
      </c>
      <c r="Z11" s="82">
        <v>1</v>
      </c>
      <c r="AA11" s="82">
        <v>1</v>
      </c>
      <c r="AB11" s="82">
        <v>1</v>
      </c>
      <c r="AC11" s="82">
        <v>1</v>
      </c>
      <c r="AD11" s="82">
        <v>1</v>
      </c>
      <c r="AE11" s="82">
        <v>1</v>
      </c>
      <c r="AF11" s="82">
        <v>1</v>
      </c>
    </row>
    <row r="12" spans="1:32">
      <c r="C12" s="80" t="s">
        <v>17</v>
      </c>
      <c r="D12" s="80" t="s">
        <v>17</v>
      </c>
      <c r="E12" s="81" t="s">
        <v>30</v>
      </c>
      <c r="F12" s="81" t="s">
        <v>17</v>
      </c>
      <c r="G12" s="81" t="s">
        <v>17</v>
      </c>
      <c r="H12" s="83">
        <v>6</v>
      </c>
      <c r="I12" s="83">
        <v>6</v>
      </c>
      <c r="J12" s="83">
        <v>6</v>
      </c>
      <c r="K12" s="83">
        <v>6</v>
      </c>
      <c r="L12" s="83">
        <v>6</v>
      </c>
      <c r="M12" s="83">
        <v>6</v>
      </c>
      <c r="N12" s="83">
        <v>6</v>
      </c>
      <c r="O12" s="83">
        <v>6</v>
      </c>
      <c r="P12" s="83">
        <v>6</v>
      </c>
      <c r="Q12" s="83">
        <v>6</v>
      </c>
      <c r="R12" s="83">
        <v>6</v>
      </c>
      <c r="S12" s="83">
        <v>6</v>
      </c>
      <c r="T12" s="83">
        <v>6</v>
      </c>
      <c r="U12" s="83">
        <v>6</v>
      </c>
      <c r="V12" s="83">
        <v>6</v>
      </c>
      <c r="W12" s="83">
        <v>6</v>
      </c>
      <c r="X12" s="83">
        <v>6</v>
      </c>
      <c r="Y12" s="83">
        <v>6</v>
      </c>
      <c r="Z12" s="83">
        <v>6</v>
      </c>
      <c r="AA12" s="83">
        <v>6</v>
      </c>
      <c r="AB12" s="83">
        <v>6</v>
      </c>
      <c r="AC12" s="83">
        <v>6</v>
      </c>
      <c r="AD12" s="83">
        <v>6</v>
      </c>
      <c r="AE12" s="83">
        <v>6</v>
      </c>
      <c r="AF12" s="83">
        <v>6</v>
      </c>
    </row>
    <row r="13" spans="1:32">
      <c r="C13" s="7"/>
      <c r="D13" s="12"/>
      <c r="E13" s="7"/>
      <c r="F13" s="7"/>
      <c r="G13" s="12"/>
      <c r="H13" s="8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7" spans="4:36">
      <c r="D17" s="10" t="s">
        <v>35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4:36">
      <c r="D18" s="1" t="s">
        <v>0</v>
      </c>
      <c r="E18" s="1" t="s">
        <v>24</v>
      </c>
      <c r="F18" s="1" t="s">
        <v>25</v>
      </c>
      <c r="G18" s="1" t="s">
        <v>17</v>
      </c>
      <c r="H18" s="2" t="s">
        <v>32</v>
      </c>
      <c r="I18" s="2" t="s">
        <v>53</v>
      </c>
      <c r="J18" s="2" t="s">
        <v>54</v>
      </c>
      <c r="K18" s="2" t="s">
        <v>55</v>
      </c>
      <c r="L18" s="2" t="s">
        <v>56</v>
      </c>
      <c r="M18" s="2" t="s">
        <v>57</v>
      </c>
      <c r="N18" s="2" t="s">
        <v>58</v>
      </c>
      <c r="O18" s="2" t="s">
        <v>59</v>
      </c>
    </row>
    <row r="19" spans="4:36">
      <c r="D19" s="2" t="s">
        <v>26</v>
      </c>
      <c r="E19" s="80" t="s">
        <v>50</v>
      </c>
      <c r="F19" s="80"/>
      <c r="G19" s="117" t="str">
        <f>G6</f>
        <v>EMPLOYEE11150-1</v>
      </c>
      <c r="H19" s="3">
        <v>100</v>
      </c>
      <c r="I19" s="4"/>
      <c r="J19" s="4"/>
      <c r="K19" s="4"/>
      <c r="L19" s="4"/>
      <c r="M19" s="4"/>
      <c r="N19" s="4"/>
      <c r="O19" s="11">
        <v>100</v>
      </c>
      <c r="S19" s="193" t="str">
        <f>G19</f>
        <v>EMPLOYEE11150-1</v>
      </c>
      <c r="T19" s="50">
        <f>5268.22*12</f>
        <v>63218.64</v>
      </c>
      <c r="U19" s="50">
        <f t="shared" ref="U19:U24" si="0">+T19/12</f>
        <v>5268.22</v>
      </c>
      <c r="V19" s="50">
        <f t="shared" ref="V19:V24" si="1">+U19*1.04</f>
        <v>5478.9488000000001</v>
      </c>
    </row>
    <row r="20" spans="4:36">
      <c r="D20" s="2" t="s">
        <v>17</v>
      </c>
      <c r="E20" s="80" t="s">
        <v>28</v>
      </c>
      <c r="F20" s="80"/>
      <c r="G20" s="117" t="str">
        <f t="shared" ref="G20:G24" si="2">G7</f>
        <v>EMPLOYEE11150-2</v>
      </c>
      <c r="H20" s="3">
        <v>100</v>
      </c>
      <c r="I20" s="4"/>
      <c r="J20" s="4"/>
      <c r="K20" s="4"/>
      <c r="L20" s="4"/>
      <c r="M20" s="4"/>
      <c r="N20" s="4"/>
      <c r="O20" s="11">
        <v>100</v>
      </c>
      <c r="S20" s="193" t="str">
        <f t="shared" ref="S20:S24" si="3">G20</f>
        <v>EMPLOYEE11150-2</v>
      </c>
      <c r="T20" s="50">
        <f>8598.57*12</f>
        <v>103182.84</v>
      </c>
      <c r="U20" s="50">
        <f t="shared" si="0"/>
        <v>8598.57</v>
      </c>
      <c r="V20" s="50">
        <f t="shared" si="1"/>
        <v>8942.5128000000004</v>
      </c>
    </row>
    <row r="21" spans="4:36">
      <c r="D21" s="2" t="s">
        <v>17</v>
      </c>
      <c r="E21" s="80" t="s">
        <v>51</v>
      </c>
      <c r="F21" s="80"/>
      <c r="G21" s="117" t="str">
        <f t="shared" si="2"/>
        <v>EMPLOYEE11150-3</v>
      </c>
      <c r="H21" s="3">
        <v>100</v>
      </c>
      <c r="I21" s="4"/>
      <c r="J21" s="4"/>
      <c r="K21" s="4"/>
      <c r="L21" s="4"/>
      <c r="M21" s="4"/>
      <c r="N21" s="4"/>
      <c r="O21" s="11">
        <v>100</v>
      </c>
      <c r="S21" s="193" t="str">
        <f t="shared" si="3"/>
        <v>EMPLOYEE11150-3</v>
      </c>
      <c r="T21" s="50">
        <f>8881.26*12</f>
        <v>106575.12</v>
      </c>
      <c r="U21" s="50">
        <f t="shared" si="0"/>
        <v>8881.26</v>
      </c>
      <c r="V21" s="50">
        <f t="shared" si="1"/>
        <v>9236.510400000001</v>
      </c>
    </row>
    <row r="22" spans="4:36">
      <c r="D22" s="2" t="s">
        <v>17</v>
      </c>
      <c r="E22" s="80" t="s">
        <v>51</v>
      </c>
      <c r="F22" s="80"/>
      <c r="G22" s="117" t="str">
        <f t="shared" si="2"/>
        <v>EMPLOYEE11150-4</v>
      </c>
      <c r="H22" s="3">
        <v>100</v>
      </c>
      <c r="I22" s="4"/>
      <c r="J22" s="4"/>
      <c r="K22" s="4"/>
      <c r="L22" s="4"/>
      <c r="M22" s="4"/>
      <c r="N22" s="4"/>
      <c r="O22" s="11">
        <v>100</v>
      </c>
      <c r="S22" s="193" t="str">
        <f t="shared" si="3"/>
        <v>EMPLOYEE11150-4</v>
      </c>
      <c r="T22" s="50">
        <f>9045.08*12</f>
        <v>108540.95999999999</v>
      </c>
      <c r="U22" s="50">
        <f t="shared" si="0"/>
        <v>9045.08</v>
      </c>
      <c r="V22" s="50">
        <f t="shared" si="1"/>
        <v>9406.8832000000002</v>
      </c>
      <c r="Y22" s="30"/>
    </row>
    <row r="23" spans="4:36">
      <c r="D23" s="2" t="s">
        <v>17</v>
      </c>
      <c r="E23" s="80" t="s">
        <v>29</v>
      </c>
      <c r="F23" s="80"/>
      <c r="G23" s="117" t="str">
        <f t="shared" si="2"/>
        <v>EMPLOYEE11150-5</v>
      </c>
      <c r="H23" s="3">
        <v>75</v>
      </c>
      <c r="I23" s="4"/>
      <c r="J23" s="4"/>
      <c r="K23" s="4"/>
      <c r="L23" s="4">
        <v>25</v>
      </c>
      <c r="M23" s="4"/>
      <c r="N23" s="4"/>
      <c r="O23" s="11">
        <v>100</v>
      </c>
      <c r="S23" s="193" t="str">
        <f t="shared" si="3"/>
        <v>EMPLOYEE11150-5</v>
      </c>
      <c r="T23" s="50">
        <f>(11333.16*12)*0.75</f>
        <v>101998.43999999999</v>
      </c>
      <c r="U23" s="50">
        <f t="shared" si="0"/>
        <v>8499.869999999999</v>
      </c>
      <c r="V23" s="50">
        <f t="shared" si="1"/>
        <v>8839.8647999999994</v>
      </c>
    </row>
    <row r="24" spans="4:36">
      <c r="D24" s="2" t="s">
        <v>17</v>
      </c>
      <c r="E24" s="80" t="s">
        <v>52</v>
      </c>
      <c r="F24" s="80"/>
      <c r="G24" s="117" t="str">
        <f t="shared" si="2"/>
        <v>EMPLOYEE11150-6</v>
      </c>
      <c r="H24" s="3">
        <v>100</v>
      </c>
      <c r="I24" s="4"/>
      <c r="J24" s="4"/>
      <c r="K24" s="4"/>
      <c r="L24" s="4"/>
      <c r="M24" s="4"/>
      <c r="N24" s="4"/>
      <c r="O24" s="11">
        <v>100</v>
      </c>
      <c r="S24" s="193" t="str">
        <f t="shared" si="3"/>
        <v>EMPLOYEE11150-6</v>
      </c>
      <c r="T24" s="50">
        <f>+(15303.58+140)*12</f>
        <v>185322.96</v>
      </c>
      <c r="U24" s="50">
        <f t="shared" si="0"/>
        <v>15443.58</v>
      </c>
      <c r="V24" s="50">
        <f t="shared" si="1"/>
        <v>16061.323200000001</v>
      </c>
    </row>
    <row r="27" spans="4:36">
      <c r="S27" s="49">
        <v>0.86348328162922572</v>
      </c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</row>
    <row r="28" spans="4:36" ht="13.5" thickBot="1">
      <c r="D28" s="31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</row>
    <row r="29" spans="4:36" ht="23.25" thickBot="1">
      <c r="E29" s="268"/>
      <c r="F29" s="41" t="s">
        <v>36</v>
      </c>
      <c r="G29" s="32" t="s">
        <v>37</v>
      </c>
      <c r="H29" s="32" t="s">
        <v>170</v>
      </c>
      <c r="I29" s="32" t="s">
        <v>37</v>
      </c>
      <c r="J29" s="32" t="s">
        <v>37</v>
      </c>
      <c r="K29" s="32" t="s">
        <v>37</v>
      </c>
      <c r="L29" s="32" t="s">
        <v>37</v>
      </c>
      <c r="M29" s="32" t="s">
        <v>37</v>
      </c>
      <c r="N29" s="32" t="s">
        <v>37</v>
      </c>
      <c r="O29" s="32" t="s">
        <v>37</v>
      </c>
      <c r="P29" s="32" t="s">
        <v>37</v>
      </c>
      <c r="Q29" s="32" t="s">
        <v>37</v>
      </c>
      <c r="R29" s="32" t="s">
        <v>37</v>
      </c>
      <c r="S29" s="32" t="s">
        <v>37</v>
      </c>
      <c r="T29" s="199" t="s">
        <v>37</v>
      </c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30"/>
      <c r="AH29" s="30"/>
      <c r="AI29" s="30"/>
      <c r="AJ29" s="30"/>
    </row>
    <row r="30" spans="4:36" ht="34.5" thickBot="1">
      <c r="E30" s="269"/>
      <c r="F30" s="42"/>
      <c r="G30" s="33" t="s">
        <v>38</v>
      </c>
      <c r="H30" s="33" t="s">
        <v>38</v>
      </c>
      <c r="I30" s="33" t="s">
        <v>38</v>
      </c>
      <c r="J30" s="33" t="s">
        <v>38</v>
      </c>
      <c r="K30" s="33" t="s">
        <v>38</v>
      </c>
      <c r="L30" s="33" t="s">
        <v>38</v>
      </c>
      <c r="M30" s="33" t="s">
        <v>38</v>
      </c>
      <c r="N30" s="33" t="s">
        <v>38</v>
      </c>
      <c r="O30" s="33" t="s">
        <v>38</v>
      </c>
      <c r="P30" s="33" t="s">
        <v>38</v>
      </c>
      <c r="Q30" s="33" t="s">
        <v>38</v>
      </c>
      <c r="R30" s="33" t="s">
        <v>38</v>
      </c>
      <c r="S30" s="33" t="s">
        <v>38</v>
      </c>
      <c r="T30" s="200" t="s">
        <v>38</v>
      </c>
      <c r="U30" s="212"/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30"/>
      <c r="AH30" s="30"/>
      <c r="AI30" s="30"/>
      <c r="AJ30" s="30"/>
    </row>
    <row r="31" spans="4:36" ht="13.5" thickBot="1">
      <c r="E31" s="269"/>
      <c r="F31" s="35" t="s">
        <v>39</v>
      </c>
      <c r="G31" s="194" t="s">
        <v>30</v>
      </c>
      <c r="H31" s="194" t="s">
        <v>172</v>
      </c>
      <c r="I31" s="36" t="s">
        <v>94</v>
      </c>
      <c r="J31" s="36" t="s">
        <v>95</v>
      </c>
      <c r="K31" s="75">
        <v>43831</v>
      </c>
      <c r="L31" s="75">
        <v>43862</v>
      </c>
      <c r="M31" s="75">
        <v>43891</v>
      </c>
      <c r="N31" s="75">
        <v>43922</v>
      </c>
      <c r="O31" s="75">
        <v>43952</v>
      </c>
      <c r="P31" s="75">
        <v>43983</v>
      </c>
      <c r="Q31" s="75">
        <v>44013</v>
      </c>
      <c r="R31" s="75">
        <v>44044</v>
      </c>
      <c r="S31" s="75">
        <v>44075</v>
      </c>
      <c r="T31" s="201">
        <v>44105</v>
      </c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30"/>
      <c r="AH31" s="30"/>
      <c r="AI31" s="30"/>
      <c r="AJ31" s="30"/>
    </row>
    <row r="32" spans="4:36" ht="13.5" thickBot="1">
      <c r="E32" s="270"/>
      <c r="F32" s="35"/>
      <c r="G32" s="36" t="s">
        <v>40</v>
      </c>
      <c r="H32" s="36" t="s">
        <v>40</v>
      </c>
      <c r="I32" s="36" t="s">
        <v>40</v>
      </c>
      <c r="J32" s="36" t="s">
        <v>40</v>
      </c>
      <c r="K32" s="36" t="s">
        <v>40</v>
      </c>
      <c r="L32" s="36" t="s">
        <v>40</v>
      </c>
      <c r="M32" s="36" t="s">
        <v>40</v>
      </c>
      <c r="N32" s="36" t="s">
        <v>40</v>
      </c>
      <c r="O32" s="36" t="s">
        <v>40</v>
      </c>
      <c r="P32" s="36" t="s">
        <v>40</v>
      </c>
      <c r="Q32" s="36" t="s">
        <v>40</v>
      </c>
      <c r="R32" s="36" t="s">
        <v>40</v>
      </c>
      <c r="S32" s="36" t="s">
        <v>40</v>
      </c>
      <c r="T32" s="202" t="s">
        <v>40</v>
      </c>
      <c r="U32" s="212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212"/>
      <c r="AG32" s="30"/>
      <c r="AH32" s="30"/>
      <c r="AI32" s="30"/>
      <c r="AJ32" s="30"/>
    </row>
    <row r="33" spans="5:36" ht="13.5" thickBot="1">
      <c r="E33" s="36" t="s">
        <v>0</v>
      </c>
      <c r="F33" s="34"/>
      <c r="G33" s="35" t="s">
        <v>41</v>
      </c>
      <c r="H33" s="35" t="s">
        <v>41</v>
      </c>
      <c r="I33" s="35" t="s">
        <v>41</v>
      </c>
      <c r="J33" s="35" t="s">
        <v>41</v>
      </c>
      <c r="K33" s="35" t="s">
        <v>41</v>
      </c>
      <c r="L33" s="35" t="s">
        <v>41</v>
      </c>
      <c r="M33" s="35" t="s">
        <v>41</v>
      </c>
      <c r="N33" s="35" t="s">
        <v>41</v>
      </c>
      <c r="O33" s="35" t="s">
        <v>41</v>
      </c>
      <c r="P33" s="35" t="s">
        <v>41</v>
      </c>
      <c r="Q33" s="35" t="s">
        <v>41</v>
      </c>
      <c r="R33" s="35" t="s">
        <v>41</v>
      </c>
      <c r="S33" s="35" t="s">
        <v>41</v>
      </c>
      <c r="T33" s="203" t="s">
        <v>41</v>
      </c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30"/>
      <c r="AH33" s="30"/>
      <c r="AI33" s="30"/>
      <c r="AJ33" s="30"/>
    </row>
    <row r="34" spans="5:36" ht="13.5" thickBot="1">
      <c r="E34" s="39" t="s">
        <v>26</v>
      </c>
      <c r="F34" s="40" t="s">
        <v>27</v>
      </c>
      <c r="G34" s="37">
        <f>SUM(I34:T34)</f>
        <v>617650.43159460474</v>
      </c>
      <c r="H34" s="37">
        <f>(SUM(V19:V24)*$S$27)</f>
        <v>50052.709205397463</v>
      </c>
      <c r="I34" s="37">
        <f>(SUM(V19:V24)*$S$27)</f>
        <v>50052.709205397463</v>
      </c>
      <c r="J34" s="37">
        <f>I34</f>
        <v>50052.709205397463</v>
      </c>
      <c r="K34" s="37">
        <f t="shared" ref="K34:T34" si="4">J34</f>
        <v>50052.709205397463</v>
      </c>
      <c r="L34" s="37">
        <f t="shared" si="4"/>
        <v>50052.709205397463</v>
      </c>
      <c r="M34" s="37">
        <f>+L34*1.0425</f>
        <v>52179.949346626854</v>
      </c>
      <c r="N34" s="37">
        <f t="shared" si="4"/>
        <v>52179.949346626854</v>
      </c>
      <c r="O34" s="37">
        <f t="shared" si="4"/>
        <v>52179.949346626854</v>
      </c>
      <c r="P34" s="37">
        <f t="shared" si="4"/>
        <v>52179.949346626854</v>
      </c>
      <c r="Q34" s="37">
        <f t="shared" si="4"/>
        <v>52179.949346626854</v>
      </c>
      <c r="R34" s="37">
        <f t="shared" si="4"/>
        <v>52179.949346626854</v>
      </c>
      <c r="S34" s="37">
        <f t="shared" si="4"/>
        <v>52179.949346626854</v>
      </c>
      <c r="T34" s="204">
        <f t="shared" si="4"/>
        <v>52179.949346626854</v>
      </c>
      <c r="U34" s="215"/>
      <c r="V34" s="215"/>
      <c r="W34" s="215"/>
      <c r="X34" s="215"/>
      <c r="Y34" s="215"/>
      <c r="Z34" s="215"/>
      <c r="AA34" s="215"/>
      <c r="AB34" s="215"/>
      <c r="AC34" s="215"/>
      <c r="AD34" s="215"/>
      <c r="AE34" s="215"/>
      <c r="AF34" s="215"/>
      <c r="AG34" s="30"/>
      <c r="AH34" s="30"/>
      <c r="AI34" s="30"/>
      <c r="AJ34" s="30"/>
    </row>
    <row r="35" spans="5:36" ht="13.5" thickBot="1">
      <c r="E35" s="39" t="s">
        <v>60</v>
      </c>
      <c r="F35" s="40" t="s">
        <v>61</v>
      </c>
      <c r="G35" s="38">
        <f>SUM(I35:T35)</f>
        <v>0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205"/>
      <c r="U35" s="215"/>
      <c r="V35" s="215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30"/>
      <c r="AH35" s="30"/>
      <c r="AI35" s="30"/>
      <c r="AJ35" s="30"/>
    </row>
    <row r="36" spans="5:36" ht="13.5" thickBot="1">
      <c r="E36" s="39" t="s">
        <v>44</v>
      </c>
      <c r="F36" s="40" t="s">
        <v>45</v>
      </c>
      <c r="G36" s="37">
        <f>SUM(I36:T36)</f>
        <v>97650.541493395329</v>
      </c>
      <c r="H36" s="37">
        <f>H34*Assumptions!$C$9</f>
        <v>7913.3339946025399</v>
      </c>
      <c r="I36" s="37">
        <f>I34*Assumptions!$C$9</f>
        <v>7913.3339946025399</v>
      </c>
      <c r="J36" s="37">
        <f>J34*Assumptions!$C$9</f>
        <v>7913.3339946025399</v>
      </c>
      <c r="K36" s="37">
        <f>K34*Assumptions!$C$9</f>
        <v>7913.3339946025399</v>
      </c>
      <c r="L36" s="37">
        <f>L34*Assumptions!$C$9</f>
        <v>7913.3339946025399</v>
      </c>
      <c r="M36" s="37">
        <f>M34*Assumptions!$C$9</f>
        <v>8249.6506893731475</v>
      </c>
      <c r="N36" s="37">
        <f>N34*Assumptions!$C$9</f>
        <v>8249.6506893731475</v>
      </c>
      <c r="O36" s="37">
        <f>O34*Assumptions!$C$9</f>
        <v>8249.6506893731475</v>
      </c>
      <c r="P36" s="37">
        <f>P34*Assumptions!$C$9</f>
        <v>8249.6506893731475</v>
      </c>
      <c r="Q36" s="37">
        <f>Q34*Assumptions!$C$9</f>
        <v>8249.6506893731475</v>
      </c>
      <c r="R36" s="37">
        <f>R34*Assumptions!$C$9</f>
        <v>8249.6506893731475</v>
      </c>
      <c r="S36" s="37">
        <f>S34*Assumptions!$C$9</f>
        <v>8249.6506893731475</v>
      </c>
      <c r="T36" s="204">
        <f>T34*Assumptions!$C$9</f>
        <v>8249.6506893731475</v>
      </c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30"/>
      <c r="AH36" s="30"/>
      <c r="AI36" s="30"/>
      <c r="AJ36" s="30"/>
    </row>
    <row r="37" spans="5:36" ht="13.5" thickBot="1">
      <c r="E37" s="39" t="s">
        <v>46</v>
      </c>
      <c r="F37" s="40" t="s">
        <v>47</v>
      </c>
      <c r="G37" s="38">
        <f>SUM(I37:T37)</f>
        <v>361387.26417311211</v>
      </c>
      <c r="H37" s="38">
        <f>H34*Assumptions!$C$10</f>
        <v>29285.839884368885</v>
      </c>
      <c r="I37" s="38">
        <f>I34*Assumptions!$C$10</f>
        <v>29285.839884368885</v>
      </c>
      <c r="J37" s="38">
        <f>J34*Assumptions!$C$10</f>
        <v>29285.839884368885</v>
      </c>
      <c r="K37" s="38">
        <f>K34*Assumptions!$C$10</f>
        <v>29285.839884368885</v>
      </c>
      <c r="L37" s="38">
        <f>L34*Assumptions!$C$10</f>
        <v>29285.839884368885</v>
      </c>
      <c r="M37" s="38">
        <f>M34*Assumptions!$C$10</f>
        <v>30530.488079454561</v>
      </c>
      <c r="N37" s="38">
        <f>N34*Assumptions!$C$10</f>
        <v>30530.488079454561</v>
      </c>
      <c r="O37" s="38">
        <f>O34*Assumptions!$C$10</f>
        <v>30530.488079454561</v>
      </c>
      <c r="P37" s="38">
        <f>P34*Assumptions!$C$10</f>
        <v>30530.488079454561</v>
      </c>
      <c r="Q37" s="38">
        <f>Q34*Assumptions!$C$10</f>
        <v>30530.488079454561</v>
      </c>
      <c r="R37" s="38">
        <f>R34*Assumptions!$C$10</f>
        <v>30530.488079454561</v>
      </c>
      <c r="S37" s="38">
        <f>S34*Assumptions!$C$10</f>
        <v>30530.488079454561</v>
      </c>
      <c r="T37" s="205">
        <f>T34*Assumptions!$C$10</f>
        <v>30530.488079454561</v>
      </c>
      <c r="U37" s="215"/>
      <c r="V37" s="215"/>
      <c r="W37" s="215"/>
      <c r="X37" s="215"/>
      <c r="Y37" s="215"/>
      <c r="Z37" s="215"/>
      <c r="AA37" s="215"/>
      <c r="AB37" s="215"/>
      <c r="AC37" s="215"/>
      <c r="AD37" s="215"/>
      <c r="AE37" s="215"/>
      <c r="AF37" s="215"/>
      <c r="AG37" s="30"/>
      <c r="AH37" s="30"/>
      <c r="AI37" s="30"/>
      <c r="AJ37" s="30"/>
    </row>
    <row r="38" spans="5:36"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30"/>
      <c r="AH38" s="30"/>
      <c r="AI38" s="30"/>
      <c r="AJ38" s="30"/>
    </row>
    <row r="39" spans="5:36"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30"/>
      <c r="AH39" s="30"/>
      <c r="AI39" s="30"/>
      <c r="AJ39" s="30"/>
    </row>
    <row r="40" spans="5:36"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30"/>
      <c r="AH40" s="30"/>
      <c r="AI40" s="30"/>
      <c r="AJ40" s="30"/>
    </row>
    <row r="41" spans="5:36" ht="13.5" thickBot="1"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30"/>
      <c r="AH41" s="30"/>
      <c r="AI41" s="30"/>
      <c r="AJ41" s="30"/>
    </row>
    <row r="42" spans="5:36" ht="13.5" thickBot="1">
      <c r="G42" s="44" t="s">
        <v>62</v>
      </c>
      <c r="H42" s="47">
        <f>H34+H35+H36+H37</f>
        <v>87251.883084368892</v>
      </c>
      <c r="I42" s="47">
        <f>I34+I35+I36+I37</f>
        <v>87251.883084368892</v>
      </c>
      <c r="J42" s="47">
        <f t="shared" ref="J42:T42" si="5">J34+J35+J36+J37</f>
        <v>87251.883084368892</v>
      </c>
      <c r="K42" s="47">
        <f t="shared" si="5"/>
        <v>87251.883084368892</v>
      </c>
      <c r="L42" s="47">
        <f t="shared" si="5"/>
        <v>87251.883084368892</v>
      </c>
      <c r="M42" s="47">
        <f t="shared" si="5"/>
        <v>90960.088115454564</v>
      </c>
      <c r="N42" s="47">
        <f t="shared" si="5"/>
        <v>90960.088115454564</v>
      </c>
      <c r="O42" s="47">
        <f t="shared" si="5"/>
        <v>90960.088115454564</v>
      </c>
      <c r="P42" s="47">
        <f t="shared" si="5"/>
        <v>90960.088115454564</v>
      </c>
      <c r="Q42" s="47">
        <f t="shared" si="5"/>
        <v>90960.088115454564</v>
      </c>
      <c r="R42" s="47">
        <f t="shared" si="5"/>
        <v>90960.088115454564</v>
      </c>
      <c r="S42" s="47">
        <f t="shared" si="5"/>
        <v>90960.088115454564</v>
      </c>
      <c r="T42" s="207">
        <f t="shared" si="5"/>
        <v>90960.088115454564</v>
      </c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30"/>
      <c r="AH42" s="30"/>
      <c r="AI42" s="30"/>
      <c r="AJ42" s="30"/>
    </row>
    <row r="43" spans="5:36" ht="15.75" thickBot="1">
      <c r="G43" s="45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218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30"/>
      <c r="AH43" s="30"/>
      <c r="AI43" s="30"/>
      <c r="AJ43" s="30"/>
    </row>
    <row r="44" spans="5:36" ht="13.5" thickBot="1">
      <c r="G44" s="44" t="s">
        <v>63</v>
      </c>
      <c r="H44" s="48">
        <f>AD12</f>
        <v>6</v>
      </c>
      <c r="I44" s="48">
        <f>H44</f>
        <v>6</v>
      </c>
      <c r="J44" s="48">
        <f t="shared" ref="J44:T44" si="6">I44</f>
        <v>6</v>
      </c>
      <c r="K44" s="48">
        <f t="shared" si="6"/>
        <v>6</v>
      </c>
      <c r="L44" s="48">
        <f t="shared" si="6"/>
        <v>6</v>
      </c>
      <c r="M44" s="48">
        <f t="shared" si="6"/>
        <v>6</v>
      </c>
      <c r="N44" s="48">
        <f t="shared" si="6"/>
        <v>6</v>
      </c>
      <c r="O44" s="48">
        <f t="shared" si="6"/>
        <v>6</v>
      </c>
      <c r="P44" s="48">
        <f t="shared" si="6"/>
        <v>6</v>
      </c>
      <c r="Q44" s="48">
        <f t="shared" si="6"/>
        <v>6</v>
      </c>
      <c r="R44" s="48">
        <f t="shared" si="6"/>
        <v>6</v>
      </c>
      <c r="S44" s="48">
        <f t="shared" si="6"/>
        <v>6</v>
      </c>
      <c r="T44" s="138">
        <f t="shared" si="6"/>
        <v>6</v>
      </c>
      <c r="U44" s="219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219"/>
      <c r="AG44" s="30"/>
      <c r="AH44" s="30"/>
      <c r="AI44" s="30"/>
      <c r="AJ44" s="30"/>
    </row>
    <row r="45" spans="5:36" ht="13.5" thickBot="1">
      <c r="G45" s="44" t="s">
        <v>64</v>
      </c>
      <c r="H45" s="46">
        <v>173.33333333333334</v>
      </c>
      <c r="I45" s="46">
        <v>173.33333333333334</v>
      </c>
      <c r="J45" s="46">
        <v>173.33333333333334</v>
      </c>
      <c r="K45" s="46">
        <v>173.33333333333334</v>
      </c>
      <c r="L45" s="46">
        <v>173.33333333333334</v>
      </c>
      <c r="M45" s="46">
        <v>173.33333333333334</v>
      </c>
      <c r="N45" s="46">
        <v>173.33333333333334</v>
      </c>
      <c r="O45" s="46">
        <v>173.33333333333334</v>
      </c>
      <c r="P45" s="46">
        <v>173.33333333333334</v>
      </c>
      <c r="Q45" s="46">
        <v>173.33333333333334</v>
      </c>
      <c r="R45" s="46">
        <v>173.33333333333334</v>
      </c>
      <c r="S45" s="46">
        <v>173.33333333333334</v>
      </c>
      <c r="T45" s="208">
        <v>173.33333333333334</v>
      </c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30"/>
      <c r="AH45" s="30"/>
      <c r="AI45" s="30"/>
      <c r="AJ45" s="30"/>
    </row>
    <row r="46" spans="5:36" ht="13.5" thickBot="1">
      <c r="G46" s="44" t="s">
        <v>65</v>
      </c>
      <c r="H46" s="46">
        <f>H44*H45</f>
        <v>1040</v>
      </c>
      <c r="I46" s="46">
        <f>I44*I45</f>
        <v>1040</v>
      </c>
      <c r="J46" s="46">
        <f t="shared" ref="J46:T46" si="7">J44*J45</f>
        <v>1040</v>
      </c>
      <c r="K46" s="46">
        <f t="shared" si="7"/>
        <v>1040</v>
      </c>
      <c r="L46" s="46">
        <f t="shared" si="7"/>
        <v>1040</v>
      </c>
      <c r="M46" s="46">
        <f t="shared" si="7"/>
        <v>1040</v>
      </c>
      <c r="N46" s="46">
        <f t="shared" si="7"/>
        <v>1040</v>
      </c>
      <c r="O46" s="46">
        <f t="shared" si="7"/>
        <v>1040</v>
      </c>
      <c r="P46" s="46">
        <f t="shared" si="7"/>
        <v>1040</v>
      </c>
      <c r="Q46" s="46">
        <f t="shared" si="7"/>
        <v>1040</v>
      </c>
      <c r="R46" s="46">
        <f t="shared" si="7"/>
        <v>1040</v>
      </c>
      <c r="S46" s="46">
        <f t="shared" si="7"/>
        <v>1040</v>
      </c>
      <c r="T46" s="208">
        <f t="shared" si="7"/>
        <v>1040</v>
      </c>
      <c r="U46" s="220"/>
      <c r="V46" s="220">
        <f>SUM(H46:S46)</f>
        <v>12480</v>
      </c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30"/>
      <c r="AH46" s="30"/>
      <c r="AI46" s="30"/>
      <c r="AJ46" s="30"/>
    </row>
    <row r="47" spans="5:36" ht="15.75" thickBot="1"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218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30"/>
      <c r="AH47" s="30"/>
      <c r="AI47" s="30"/>
      <c r="AJ47" s="30"/>
    </row>
    <row r="48" spans="5:36" ht="13.5" thickBot="1">
      <c r="G48" s="44" t="s">
        <v>66</v>
      </c>
      <c r="H48" s="48">
        <f>H42/H46</f>
        <v>83.89604142727778</v>
      </c>
      <c r="I48" s="48">
        <f>I42/I46</f>
        <v>83.89604142727778</v>
      </c>
      <c r="J48" s="48">
        <f t="shared" ref="J48:T48" si="8">J42/J46</f>
        <v>83.89604142727778</v>
      </c>
      <c r="K48" s="48">
        <f t="shared" si="8"/>
        <v>83.89604142727778</v>
      </c>
      <c r="L48" s="48">
        <f t="shared" si="8"/>
        <v>83.89604142727778</v>
      </c>
      <c r="M48" s="48">
        <f t="shared" si="8"/>
        <v>87.461623187937079</v>
      </c>
      <c r="N48" s="48">
        <f t="shared" si="8"/>
        <v>87.461623187937079</v>
      </c>
      <c r="O48" s="48">
        <f t="shared" si="8"/>
        <v>87.461623187937079</v>
      </c>
      <c r="P48" s="48">
        <f t="shared" si="8"/>
        <v>87.461623187937079</v>
      </c>
      <c r="Q48" s="48">
        <f t="shared" si="8"/>
        <v>87.461623187937079</v>
      </c>
      <c r="R48" s="48">
        <f t="shared" si="8"/>
        <v>87.461623187937079</v>
      </c>
      <c r="S48" s="48">
        <f t="shared" si="8"/>
        <v>87.461623187937079</v>
      </c>
      <c r="T48" s="138">
        <f t="shared" si="8"/>
        <v>87.461623187937079</v>
      </c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30"/>
      <c r="AH48" s="30"/>
      <c r="AI48" s="30"/>
      <c r="AJ48" s="30"/>
    </row>
    <row r="49" spans="6:36" ht="13.5" thickBot="1"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30"/>
      <c r="AH49" s="30"/>
      <c r="AI49" s="30"/>
      <c r="AJ49" s="30"/>
    </row>
    <row r="50" spans="6:36">
      <c r="H50" s="148"/>
      <c r="I50" s="149"/>
      <c r="J50" s="149"/>
      <c r="K50" s="149"/>
      <c r="L50" s="149"/>
      <c r="M50" s="149"/>
      <c r="N50" s="149"/>
      <c r="O50" s="149"/>
      <c r="P50" s="149"/>
      <c r="Q50" s="149"/>
      <c r="R50" s="149"/>
      <c r="S50" s="150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30"/>
      <c r="AH50" s="30"/>
      <c r="AI50" s="30"/>
      <c r="AJ50" s="30"/>
    </row>
    <row r="51" spans="6:36">
      <c r="G51" s="30"/>
      <c r="H51" s="151">
        <f t="shared" ref="H51:I51" si="9">H48*(1+$J$58)</f>
        <v>83.89604142727778</v>
      </c>
      <c r="I51" s="139">
        <f t="shared" si="9"/>
        <v>83.89604142727778</v>
      </c>
      <c r="J51" s="139">
        <f>J48*(1+$J$58)</f>
        <v>83.89604142727778</v>
      </c>
      <c r="K51" s="139">
        <f>J51*(1+$K$58)</f>
        <v>83.89604142727778</v>
      </c>
      <c r="L51" s="139">
        <f t="shared" ref="L51:T51" si="10">K51*(1+$K$58)</f>
        <v>83.89604142727778</v>
      </c>
      <c r="M51" s="221">
        <f>M48</f>
        <v>87.461623187937079</v>
      </c>
      <c r="N51" s="139">
        <f t="shared" si="10"/>
        <v>87.461623187937079</v>
      </c>
      <c r="O51" s="139">
        <f t="shared" si="10"/>
        <v>87.461623187937079</v>
      </c>
      <c r="P51" s="139">
        <f t="shared" si="10"/>
        <v>87.461623187937079</v>
      </c>
      <c r="Q51" s="139">
        <f t="shared" si="10"/>
        <v>87.461623187937079</v>
      </c>
      <c r="R51" s="139">
        <f t="shared" si="10"/>
        <v>87.461623187937079</v>
      </c>
      <c r="S51" s="152">
        <f t="shared" si="10"/>
        <v>87.461623187937079</v>
      </c>
      <c r="T51" s="130">
        <f t="shared" si="10"/>
        <v>87.461623187937079</v>
      </c>
      <c r="U51" s="221"/>
      <c r="V51" s="131">
        <f>AVERAGE(H51:S51)</f>
        <v>85.975964120995727</v>
      </c>
      <c r="W51" s="30" t="s">
        <v>177</v>
      </c>
      <c r="X51" s="221"/>
      <c r="Y51" s="221"/>
      <c r="Z51" s="221"/>
      <c r="AA51" s="221"/>
      <c r="AB51" s="221"/>
      <c r="AC51" s="221"/>
      <c r="AD51" s="221"/>
      <c r="AE51" s="221"/>
      <c r="AF51" s="221"/>
      <c r="AG51" s="30"/>
      <c r="AJ51" s="30"/>
    </row>
    <row r="52" spans="6:36">
      <c r="G52" s="30"/>
      <c r="H52" s="223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52"/>
      <c r="T52" s="130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</row>
    <row r="53" spans="6:36" ht="13.5" thickBot="1">
      <c r="G53" s="30"/>
      <c r="H53" s="229"/>
      <c r="I53" s="255"/>
      <c r="J53" s="153"/>
      <c r="K53" s="153"/>
      <c r="L53" s="153"/>
      <c r="M53" s="153"/>
      <c r="N53" s="153"/>
      <c r="O53" s="153"/>
      <c r="P53" s="153"/>
      <c r="Q53" s="153"/>
      <c r="R53" s="153"/>
      <c r="S53" s="225"/>
      <c r="T53" s="130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</row>
    <row r="54" spans="6:36">
      <c r="F54" s="132" t="s">
        <v>109</v>
      </c>
      <c r="H54" s="144"/>
      <c r="I54" s="144"/>
      <c r="J54" s="30"/>
      <c r="K54" s="30"/>
      <c r="L54" s="30"/>
      <c r="M54" s="30"/>
      <c r="N54" s="30"/>
      <c r="O54" s="30"/>
      <c r="P54" s="129"/>
      <c r="Q54" s="129"/>
      <c r="R54" s="129"/>
      <c r="S54" s="129"/>
      <c r="T54" s="129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</row>
    <row r="55" spans="6:36">
      <c r="F55" s="133" t="s">
        <v>110</v>
      </c>
      <c r="G55" s="30"/>
      <c r="H55" s="230"/>
      <c r="I55" s="230"/>
      <c r="J55" s="79">
        <v>2019</v>
      </c>
      <c r="K55" s="79">
        <v>2020</v>
      </c>
      <c r="L55" s="79">
        <v>2021</v>
      </c>
      <c r="M55" s="79">
        <v>2022</v>
      </c>
      <c r="N55" s="79">
        <v>2023</v>
      </c>
      <c r="O55" s="79">
        <v>2024</v>
      </c>
      <c r="P55" s="196"/>
      <c r="Q55" s="196"/>
      <c r="R55" s="196"/>
      <c r="S55" s="196"/>
      <c r="T55" s="196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</row>
    <row r="56" spans="6:36" ht="18">
      <c r="F56" s="134" t="s">
        <v>111</v>
      </c>
      <c r="G56" s="30"/>
      <c r="H56" s="231"/>
      <c r="I56" s="231"/>
      <c r="J56" s="195" t="s">
        <v>115</v>
      </c>
      <c r="K56" s="135" t="s">
        <v>116</v>
      </c>
      <c r="L56" s="135" t="s">
        <v>117</v>
      </c>
      <c r="M56" s="135" t="s">
        <v>118</v>
      </c>
      <c r="N56" s="135" t="s">
        <v>119</v>
      </c>
      <c r="O56" s="198" t="s">
        <v>120</v>
      </c>
      <c r="P56" s="197"/>
      <c r="Q56" s="197"/>
      <c r="R56" s="197"/>
      <c r="S56" s="197"/>
      <c r="T56" s="197"/>
    </row>
    <row r="57" spans="6:36">
      <c r="F57" s="192" t="s">
        <v>112</v>
      </c>
      <c r="G57" s="30"/>
      <c r="H57" s="144"/>
      <c r="I57" s="144"/>
      <c r="J57" s="30"/>
      <c r="K57" s="30"/>
      <c r="L57" s="30"/>
      <c r="M57" s="30"/>
      <c r="N57" s="30"/>
      <c r="O57" s="30"/>
      <c r="P57" s="129"/>
      <c r="Q57" s="129"/>
      <c r="R57" s="129"/>
      <c r="S57" s="129"/>
      <c r="T57" s="129"/>
    </row>
    <row r="58" spans="6:36">
      <c r="F58" s="136" t="s">
        <v>125</v>
      </c>
      <c r="G58" s="30"/>
      <c r="H58" s="144"/>
      <c r="I58" s="144"/>
      <c r="J58" s="137">
        <v>0</v>
      </c>
      <c r="K58" s="137">
        <v>0</v>
      </c>
      <c r="L58" s="137">
        <f>(3.2/12)/100</f>
        <v>2.6666666666666666E-3</v>
      </c>
      <c r="M58" s="30"/>
      <c r="N58" s="30"/>
      <c r="O58" s="30"/>
      <c r="P58" s="129"/>
      <c r="Q58" s="129"/>
      <c r="R58" s="129"/>
      <c r="S58" s="129"/>
      <c r="T58" s="129"/>
    </row>
  </sheetData>
  <mergeCells count="1">
    <mergeCell ref="E29:E32"/>
  </mergeCells>
  <pageMargins left="0.7" right="0.7" top="0.75" bottom="0.75" header="0.3" footer="0.3"/>
  <pageSetup orientation="portrait" horizontalDpi="0" verticalDpi="0" r:id="rId1"/>
  <headerFooter>
    <oddHeader>&amp;RExh. RJW-2 Wyman WP4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54"/>
  <sheetViews>
    <sheetView zoomScaleNormal="100" workbookViewId="0">
      <selection activeCell="B67" sqref="B67"/>
    </sheetView>
  </sheetViews>
  <sheetFormatPr defaultRowHeight="12.75"/>
  <cols>
    <col min="6" max="6" width="26.5" bestFit="1" customWidth="1"/>
    <col min="7" max="8" width="17" customWidth="1"/>
    <col min="9" max="22" width="9.83203125" bestFit="1" customWidth="1"/>
    <col min="23" max="23" width="10.5" bestFit="1" customWidth="1"/>
    <col min="24" max="30" width="9.83203125" bestFit="1" customWidth="1"/>
  </cols>
  <sheetData>
    <row r="1" spans="1:7" s="30" customFormat="1"/>
    <row r="2" spans="1:7">
      <c r="A2" s="174" t="s">
        <v>150</v>
      </c>
    </row>
    <row r="3" spans="1:7">
      <c r="G3" s="94" t="s">
        <v>80</v>
      </c>
    </row>
    <row r="4" spans="1:7">
      <c r="E4" s="91"/>
      <c r="F4" s="91" t="s">
        <v>151</v>
      </c>
      <c r="G4" s="92">
        <v>1</v>
      </c>
    </row>
    <row r="5" spans="1:7">
      <c r="E5" s="91"/>
      <c r="F5" s="117" t="s">
        <v>152</v>
      </c>
      <c r="G5" s="92">
        <v>1</v>
      </c>
    </row>
    <row r="6" spans="1:7">
      <c r="D6" s="30"/>
      <c r="E6" s="91"/>
      <c r="F6" s="117" t="s">
        <v>153</v>
      </c>
      <c r="G6" s="92">
        <v>1</v>
      </c>
    </row>
    <row r="7" spans="1:7">
      <c r="D7" s="30"/>
      <c r="E7" s="91"/>
      <c r="F7" s="117" t="s">
        <v>154</v>
      </c>
      <c r="G7" s="92">
        <v>1</v>
      </c>
    </row>
    <row r="8" spans="1:7">
      <c r="D8" s="30"/>
      <c r="E8" s="91"/>
      <c r="F8" s="117" t="s">
        <v>155</v>
      </c>
      <c r="G8" s="92">
        <v>1</v>
      </c>
    </row>
    <row r="9" spans="1:7">
      <c r="D9" s="30"/>
      <c r="E9" s="91"/>
      <c r="F9" s="117" t="s">
        <v>156</v>
      </c>
      <c r="G9" s="92">
        <v>1</v>
      </c>
    </row>
    <row r="10" spans="1:7">
      <c r="D10" s="30"/>
      <c r="E10" s="91"/>
      <c r="F10" s="117" t="s">
        <v>157</v>
      </c>
      <c r="G10" s="92">
        <v>1</v>
      </c>
    </row>
    <row r="11" spans="1:7">
      <c r="D11" s="30"/>
      <c r="E11" s="91"/>
      <c r="F11" s="117" t="s">
        <v>158</v>
      </c>
      <c r="G11" s="92">
        <v>1</v>
      </c>
    </row>
    <row r="12" spans="1:7">
      <c r="D12" s="30"/>
      <c r="E12" s="91"/>
      <c r="F12" s="117" t="s">
        <v>159</v>
      </c>
      <c r="G12" s="92">
        <v>1</v>
      </c>
    </row>
    <row r="13" spans="1:7">
      <c r="D13" s="30"/>
      <c r="E13" s="91"/>
      <c r="F13" s="117" t="s">
        <v>160</v>
      </c>
      <c r="G13" s="92">
        <v>1</v>
      </c>
    </row>
    <row r="14" spans="1:7">
      <c r="D14" s="30"/>
      <c r="E14" s="91"/>
      <c r="F14" s="117" t="s">
        <v>161</v>
      </c>
      <c r="G14" s="92">
        <v>1</v>
      </c>
    </row>
    <row r="15" spans="1:7">
      <c r="D15" s="30"/>
      <c r="E15" s="91"/>
      <c r="F15" s="117" t="s">
        <v>162</v>
      </c>
      <c r="G15" s="92">
        <v>1</v>
      </c>
    </row>
    <row r="16" spans="1:7">
      <c r="D16" s="30"/>
      <c r="E16" s="91"/>
      <c r="F16" s="117" t="s">
        <v>163</v>
      </c>
      <c r="G16" s="92">
        <v>1</v>
      </c>
    </row>
    <row r="17" spans="4:34">
      <c r="D17" s="30"/>
      <c r="E17" s="91"/>
      <c r="F17" s="117" t="s">
        <v>164</v>
      </c>
      <c r="G17" s="92">
        <v>1</v>
      </c>
    </row>
    <row r="18" spans="4:34">
      <c r="G18" s="84">
        <f>SUM(G4:G17)</f>
        <v>14</v>
      </c>
    </row>
    <row r="21" spans="4:34">
      <c r="F21" t="s">
        <v>96</v>
      </c>
      <c r="G21" s="93">
        <v>1</v>
      </c>
    </row>
    <row r="23" spans="4:34"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</row>
    <row r="24" spans="4:34" ht="13.5" thickBot="1"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</row>
    <row r="25" spans="4:34" ht="13.5" thickBot="1">
      <c r="F25" s="271"/>
      <c r="G25" s="274" t="s">
        <v>36</v>
      </c>
      <c r="H25" s="90" t="s">
        <v>37</v>
      </c>
      <c r="I25" s="90" t="s">
        <v>173</v>
      </c>
      <c r="J25" s="90" t="s">
        <v>174</v>
      </c>
      <c r="K25" s="90" t="s">
        <v>170</v>
      </c>
      <c r="L25" s="90" t="s">
        <v>37</v>
      </c>
      <c r="M25" s="90" t="s">
        <v>37</v>
      </c>
      <c r="N25" s="90" t="s">
        <v>37</v>
      </c>
      <c r="O25" s="90" t="s">
        <v>37</v>
      </c>
      <c r="P25" s="90" t="s">
        <v>37</v>
      </c>
      <c r="Q25" s="90" t="s">
        <v>37</v>
      </c>
      <c r="R25" s="90" t="s">
        <v>37</v>
      </c>
      <c r="S25" s="90" t="s">
        <v>37</v>
      </c>
      <c r="T25" s="90" t="s">
        <v>37</v>
      </c>
      <c r="U25" s="232" t="s">
        <v>37</v>
      </c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144"/>
    </row>
    <row r="26" spans="4:34" ht="23.25" thickBot="1">
      <c r="F26" s="272"/>
      <c r="G26" s="275"/>
      <c r="H26" s="89" t="s">
        <v>38</v>
      </c>
      <c r="I26" s="89" t="s">
        <v>38</v>
      </c>
      <c r="J26" s="89" t="s">
        <v>38</v>
      </c>
      <c r="K26" s="89" t="s">
        <v>38</v>
      </c>
      <c r="L26" s="89" t="s">
        <v>38</v>
      </c>
      <c r="M26" s="89" t="s">
        <v>38</v>
      </c>
      <c r="N26" s="89" t="s">
        <v>38</v>
      </c>
      <c r="O26" s="89" t="s">
        <v>38</v>
      </c>
      <c r="P26" s="89" t="s">
        <v>38</v>
      </c>
      <c r="Q26" s="89" t="s">
        <v>38</v>
      </c>
      <c r="R26" s="89" t="s">
        <v>38</v>
      </c>
      <c r="S26" s="89" t="s">
        <v>38</v>
      </c>
      <c r="T26" s="89" t="s">
        <v>38</v>
      </c>
      <c r="U26" s="233" t="s">
        <v>38</v>
      </c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144"/>
    </row>
    <row r="27" spans="4:34" ht="13.5" thickBot="1">
      <c r="F27" s="272"/>
      <c r="G27" s="87" t="s">
        <v>39</v>
      </c>
      <c r="H27" s="194" t="s">
        <v>30</v>
      </c>
      <c r="I27" s="194" t="s">
        <v>172</v>
      </c>
      <c r="J27" s="36" t="s">
        <v>94</v>
      </c>
      <c r="K27" s="36" t="s">
        <v>95</v>
      </c>
      <c r="L27" s="86" t="s">
        <v>80</v>
      </c>
      <c r="M27" s="86" t="s">
        <v>81</v>
      </c>
      <c r="N27" s="86" t="s">
        <v>82</v>
      </c>
      <c r="O27" s="86" t="s">
        <v>83</v>
      </c>
      <c r="P27" s="86" t="s">
        <v>84</v>
      </c>
      <c r="Q27" s="86" t="s">
        <v>85</v>
      </c>
      <c r="R27" s="86" t="s">
        <v>86</v>
      </c>
      <c r="S27" s="86" t="s">
        <v>87</v>
      </c>
      <c r="T27" s="86" t="s">
        <v>88</v>
      </c>
      <c r="U27" s="234" t="s">
        <v>89</v>
      </c>
      <c r="V27" s="238"/>
      <c r="W27" s="238"/>
      <c r="X27" s="213"/>
      <c r="Y27" s="213"/>
      <c r="Z27" s="213"/>
      <c r="AA27" s="213"/>
      <c r="AB27" s="213"/>
      <c r="AC27" s="213"/>
      <c r="AD27" s="213"/>
      <c r="AE27" s="213"/>
      <c r="AF27" s="213"/>
      <c r="AG27" s="213"/>
      <c r="AH27" s="144"/>
    </row>
    <row r="28" spans="4:34" ht="13.5" thickBot="1">
      <c r="F28" s="273"/>
      <c r="G28" s="87"/>
      <c r="H28" s="86" t="s">
        <v>40</v>
      </c>
      <c r="I28" s="86" t="s">
        <v>40</v>
      </c>
      <c r="J28" s="86" t="s">
        <v>40</v>
      </c>
      <c r="K28" s="86" t="s">
        <v>40</v>
      </c>
      <c r="L28" s="86" t="s">
        <v>40</v>
      </c>
      <c r="M28" s="86" t="s">
        <v>40</v>
      </c>
      <c r="N28" s="86" t="s">
        <v>40</v>
      </c>
      <c r="O28" s="86" t="s">
        <v>40</v>
      </c>
      <c r="P28" s="86" t="s">
        <v>40</v>
      </c>
      <c r="Q28" s="86" t="s">
        <v>40</v>
      </c>
      <c r="R28" s="86" t="s">
        <v>40</v>
      </c>
      <c r="S28" s="86" t="s">
        <v>40</v>
      </c>
      <c r="T28" s="86" t="s">
        <v>40</v>
      </c>
      <c r="U28" s="234" t="s">
        <v>40</v>
      </c>
      <c r="V28" s="238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144"/>
    </row>
    <row r="29" spans="4:34" ht="13.5" thickBot="1">
      <c r="F29" s="86" t="s">
        <v>0</v>
      </c>
      <c r="G29" s="88"/>
      <c r="H29" s="87" t="s">
        <v>41</v>
      </c>
      <c r="I29" s="87" t="s">
        <v>41</v>
      </c>
      <c r="J29" s="87" t="s">
        <v>41</v>
      </c>
      <c r="K29" s="87" t="s">
        <v>41</v>
      </c>
      <c r="L29" s="87" t="s">
        <v>41</v>
      </c>
      <c r="M29" s="87" t="s">
        <v>41</v>
      </c>
      <c r="N29" s="87" t="s">
        <v>41</v>
      </c>
      <c r="O29" s="87" t="s">
        <v>41</v>
      </c>
      <c r="P29" s="87" t="s">
        <v>41</v>
      </c>
      <c r="Q29" s="87" t="s">
        <v>41</v>
      </c>
      <c r="R29" s="87" t="s">
        <v>41</v>
      </c>
      <c r="S29" s="87" t="s">
        <v>41</v>
      </c>
      <c r="T29" s="87" t="s">
        <v>41</v>
      </c>
      <c r="U29" s="235" t="s">
        <v>41</v>
      </c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39"/>
      <c r="AG29" s="239"/>
      <c r="AH29" s="144"/>
    </row>
    <row r="30" spans="4:34" ht="23.25" thickBot="1">
      <c r="F30" s="86" t="s">
        <v>26</v>
      </c>
      <c r="G30" s="86" t="s">
        <v>27</v>
      </c>
      <c r="H30" s="85">
        <v>1234298.76</v>
      </c>
      <c r="I30" s="85">
        <f t="shared" ref="I30:K30" si="0">102858.23*1.04</f>
        <v>106972.5592</v>
      </c>
      <c r="J30" s="85">
        <f t="shared" si="0"/>
        <v>106972.5592</v>
      </c>
      <c r="K30" s="85">
        <f t="shared" si="0"/>
        <v>106972.5592</v>
      </c>
      <c r="L30" s="85">
        <f>102858.23*1.04</f>
        <v>106972.5592</v>
      </c>
      <c r="M30" s="85">
        <f>102858.23*1.04</f>
        <v>106972.5592</v>
      </c>
      <c r="N30" s="85">
        <f>+M30*1.04</f>
        <v>111251.46156800001</v>
      </c>
      <c r="O30" s="85">
        <f>N30</f>
        <v>111251.46156800001</v>
      </c>
      <c r="P30" s="85">
        <f t="shared" ref="P30:U30" si="1">O30</f>
        <v>111251.46156800001</v>
      </c>
      <c r="Q30" s="85">
        <f t="shared" si="1"/>
        <v>111251.46156800001</v>
      </c>
      <c r="R30" s="85">
        <f t="shared" si="1"/>
        <v>111251.46156800001</v>
      </c>
      <c r="S30" s="85">
        <f t="shared" si="1"/>
        <v>111251.46156800001</v>
      </c>
      <c r="T30" s="85">
        <f t="shared" si="1"/>
        <v>111251.46156800001</v>
      </c>
      <c r="U30" s="236">
        <f t="shared" si="1"/>
        <v>111251.46156800001</v>
      </c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144"/>
    </row>
    <row r="31" spans="4:34" ht="23.25" thickBot="1">
      <c r="F31" s="86" t="s">
        <v>44</v>
      </c>
      <c r="G31" s="86" t="s">
        <v>45</v>
      </c>
      <c r="H31" s="37">
        <v>195142.68</v>
      </c>
      <c r="I31" s="37">
        <f>I30*Assumptions!$C$9</f>
        <v>16912.363039795433</v>
      </c>
      <c r="J31" s="37">
        <f>J30*Assumptions!$C$9</f>
        <v>16912.363039795433</v>
      </c>
      <c r="K31" s="37">
        <f>K30*Assumptions!$C$9</f>
        <v>16912.363039795433</v>
      </c>
      <c r="L31" s="37">
        <f>L30*Assumptions!$C$9</f>
        <v>16912.363039795433</v>
      </c>
      <c r="M31" s="37">
        <f>M30*Assumptions!$C$9</f>
        <v>16912.363039795433</v>
      </c>
      <c r="N31" s="37">
        <f>N30*Assumptions!$C$9</f>
        <v>17588.857561387253</v>
      </c>
      <c r="O31" s="37">
        <f>O30*Assumptions!$C$9</f>
        <v>17588.857561387253</v>
      </c>
      <c r="P31" s="37">
        <f>P30*Assumptions!$C$9</f>
        <v>17588.857561387253</v>
      </c>
      <c r="Q31" s="37">
        <f>Q30*Assumptions!$C$9</f>
        <v>17588.857561387253</v>
      </c>
      <c r="R31" s="37">
        <f>R30*Assumptions!$C$9</f>
        <v>17588.857561387253</v>
      </c>
      <c r="S31" s="37">
        <f>S30*Assumptions!$C$9</f>
        <v>17588.857561387253</v>
      </c>
      <c r="T31" s="37">
        <f>T30*Assumptions!$C$9</f>
        <v>17588.857561387253</v>
      </c>
      <c r="U31" s="204">
        <f>U30*Assumptions!$C$9</f>
        <v>17588.857561387253</v>
      </c>
      <c r="V31" s="215"/>
      <c r="W31" s="215"/>
      <c r="X31" s="215"/>
      <c r="Y31" s="215"/>
      <c r="Z31" s="215"/>
      <c r="AA31" s="215"/>
      <c r="AB31" s="215"/>
      <c r="AC31" s="215"/>
      <c r="AD31" s="215"/>
      <c r="AE31" s="215"/>
      <c r="AF31" s="215"/>
      <c r="AG31" s="215"/>
      <c r="AH31" s="144"/>
    </row>
    <row r="32" spans="4:34" ht="23.25" thickBot="1">
      <c r="F32" s="86" t="s">
        <v>46</v>
      </c>
      <c r="G32" s="86" t="s">
        <v>47</v>
      </c>
      <c r="H32" s="38">
        <v>722188.2</v>
      </c>
      <c r="I32" s="38">
        <f>I30*Assumptions!$C$10</f>
        <v>62589.643807223656</v>
      </c>
      <c r="J32" s="38">
        <f>J30*Assumptions!$C$10</f>
        <v>62589.643807223656</v>
      </c>
      <c r="K32" s="38">
        <f>K30*Assumptions!$C$10</f>
        <v>62589.643807223656</v>
      </c>
      <c r="L32" s="38">
        <f>L30*Assumptions!$C$10</f>
        <v>62589.643807223656</v>
      </c>
      <c r="M32" s="38">
        <f>M30*Assumptions!$C$10</f>
        <v>62589.643807223656</v>
      </c>
      <c r="N32" s="38">
        <f>N30*Assumptions!$C$10</f>
        <v>65093.229559512605</v>
      </c>
      <c r="O32" s="38">
        <f>O30*Assumptions!$C$10</f>
        <v>65093.229559512605</v>
      </c>
      <c r="P32" s="38">
        <f>P30*Assumptions!$C$10</f>
        <v>65093.229559512605</v>
      </c>
      <c r="Q32" s="38">
        <f>Q30*Assumptions!$C$10</f>
        <v>65093.229559512605</v>
      </c>
      <c r="R32" s="38">
        <f>R30*Assumptions!$C$10</f>
        <v>65093.229559512605</v>
      </c>
      <c r="S32" s="38">
        <f>S30*Assumptions!$C$10</f>
        <v>65093.229559512605</v>
      </c>
      <c r="T32" s="38">
        <f>T30*Assumptions!$C$10</f>
        <v>65093.229559512605</v>
      </c>
      <c r="U32" s="205">
        <f>U30*Assumptions!$C$10</f>
        <v>65093.229559512605</v>
      </c>
      <c r="V32" s="215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144"/>
    </row>
    <row r="33" spans="8:34"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</row>
    <row r="34" spans="8:34"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</row>
    <row r="35" spans="8:34"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</row>
    <row r="36" spans="8:34"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</row>
    <row r="37" spans="8:34" ht="13.5" thickBot="1"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</row>
    <row r="38" spans="8:34" ht="23.25" thickBot="1">
      <c r="H38" s="44" t="s">
        <v>62</v>
      </c>
      <c r="I38" s="47">
        <f>I30+I31+I32</f>
        <v>186474.56604701909</v>
      </c>
      <c r="J38" s="47">
        <f t="shared" ref="J38:U38" si="2">J30+J31+J32</f>
        <v>186474.56604701909</v>
      </c>
      <c r="K38" s="47">
        <f t="shared" si="2"/>
        <v>186474.56604701909</v>
      </c>
      <c r="L38" s="47">
        <f t="shared" si="2"/>
        <v>186474.56604701909</v>
      </c>
      <c r="M38" s="47">
        <f t="shared" si="2"/>
        <v>186474.56604701909</v>
      </c>
      <c r="N38" s="47">
        <f t="shared" si="2"/>
        <v>193933.54868889987</v>
      </c>
      <c r="O38" s="47">
        <f t="shared" si="2"/>
        <v>193933.54868889987</v>
      </c>
      <c r="P38" s="47">
        <f t="shared" si="2"/>
        <v>193933.54868889987</v>
      </c>
      <c r="Q38" s="47">
        <f t="shared" si="2"/>
        <v>193933.54868889987</v>
      </c>
      <c r="R38" s="47">
        <f t="shared" si="2"/>
        <v>193933.54868889987</v>
      </c>
      <c r="S38" s="47">
        <f t="shared" si="2"/>
        <v>193933.54868889987</v>
      </c>
      <c r="T38" s="47">
        <f t="shared" si="2"/>
        <v>193933.54868889987</v>
      </c>
      <c r="U38" s="207">
        <f t="shared" si="2"/>
        <v>193933.54868889987</v>
      </c>
      <c r="V38" s="217"/>
      <c r="W38" s="217"/>
      <c r="X38" s="217"/>
      <c r="Y38" s="217"/>
      <c r="Z38" s="217"/>
      <c r="AA38" s="217"/>
      <c r="AB38" s="217"/>
      <c r="AC38" s="217"/>
      <c r="AD38" s="217"/>
      <c r="AE38" s="144"/>
      <c r="AF38" s="144"/>
      <c r="AG38" s="144"/>
      <c r="AH38" s="144"/>
    </row>
    <row r="39" spans="8:34" ht="15.75" thickBot="1">
      <c r="H39" s="45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218"/>
      <c r="W39" s="218"/>
      <c r="X39" s="218"/>
      <c r="Y39" s="218"/>
      <c r="Z39" s="218"/>
      <c r="AA39" s="218"/>
      <c r="AB39" s="218"/>
      <c r="AC39" s="218"/>
      <c r="AD39" s="218"/>
      <c r="AE39" s="144"/>
      <c r="AF39" s="144"/>
      <c r="AG39" s="144"/>
      <c r="AH39" s="144"/>
    </row>
    <row r="40" spans="8:34" ht="13.5" thickBot="1">
      <c r="H40" s="44" t="s">
        <v>63</v>
      </c>
      <c r="I40" s="48">
        <f>G18</f>
        <v>14</v>
      </c>
      <c r="J40" s="48">
        <f>I40</f>
        <v>14</v>
      </c>
      <c r="K40" s="48">
        <f t="shared" ref="K40:T40" si="3">J40</f>
        <v>14</v>
      </c>
      <c r="L40" s="48">
        <f t="shared" si="3"/>
        <v>14</v>
      </c>
      <c r="M40" s="48">
        <f t="shared" si="3"/>
        <v>14</v>
      </c>
      <c r="N40" s="48">
        <f t="shared" si="3"/>
        <v>14</v>
      </c>
      <c r="O40" s="48">
        <f t="shared" si="3"/>
        <v>14</v>
      </c>
      <c r="P40" s="48">
        <f t="shared" si="3"/>
        <v>14</v>
      </c>
      <c r="Q40" s="48">
        <f t="shared" si="3"/>
        <v>14</v>
      </c>
      <c r="R40" s="48">
        <f t="shared" si="3"/>
        <v>14</v>
      </c>
      <c r="S40" s="48">
        <f t="shared" si="3"/>
        <v>14</v>
      </c>
      <c r="T40" s="48">
        <f t="shared" si="3"/>
        <v>14</v>
      </c>
      <c r="U40" s="138">
        <f t="shared" ref="U40" si="4">T40</f>
        <v>14</v>
      </c>
      <c r="V40" s="219"/>
      <c r="W40" s="219"/>
      <c r="X40" s="219"/>
      <c r="Y40" s="219"/>
      <c r="Z40" s="219"/>
      <c r="AA40" s="219"/>
      <c r="AB40" s="219"/>
      <c r="AC40" s="219"/>
      <c r="AD40" s="219"/>
      <c r="AE40" s="144"/>
      <c r="AF40" s="144"/>
      <c r="AG40" s="144"/>
      <c r="AH40" s="144"/>
    </row>
    <row r="41" spans="8:34" ht="13.5" thickBot="1">
      <c r="H41" s="44" t="s">
        <v>64</v>
      </c>
      <c r="I41" s="46">
        <v>173.33333333333334</v>
      </c>
      <c r="J41" s="46">
        <v>173.33333333333334</v>
      </c>
      <c r="K41" s="46">
        <v>173.33333333333334</v>
      </c>
      <c r="L41" s="46">
        <v>173.33333333333334</v>
      </c>
      <c r="M41" s="46">
        <v>173.33333333333334</v>
      </c>
      <c r="N41" s="46">
        <v>173.33333333333334</v>
      </c>
      <c r="O41" s="46">
        <v>173.33333333333334</v>
      </c>
      <c r="P41" s="46">
        <v>173.33333333333334</v>
      </c>
      <c r="Q41" s="46">
        <v>173.33333333333334</v>
      </c>
      <c r="R41" s="46">
        <v>173.33333333333334</v>
      </c>
      <c r="S41" s="46">
        <v>173.33333333333334</v>
      </c>
      <c r="T41" s="46">
        <v>173.333333333333</v>
      </c>
      <c r="U41" s="208">
        <v>173.333333333333</v>
      </c>
      <c r="V41" s="220"/>
      <c r="W41" s="220"/>
      <c r="X41" s="220"/>
      <c r="Y41" s="220"/>
      <c r="Z41" s="220"/>
      <c r="AA41" s="220"/>
      <c r="AB41" s="220"/>
      <c r="AC41" s="220"/>
      <c r="AD41" s="220"/>
      <c r="AE41" s="144"/>
      <c r="AF41" s="144"/>
      <c r="AG41" s="144"/>
      <c r="AH41" s="144"/>
    </row>
    <row r="42" spans="8:34" ht="13.5" thickBot="1">
      <c r="H42" s="44" t="s">
        <v>65</v>
      </c>
      <c r="I42" s="121">
        <f>I40*I41</f>
        <v>2426.666666666667</v>
      </c>
      <c r="J42" s="121">
        <f t="shared" ref="J42:T42" si="5">J40*J41</f>
        <v>2426.666666666667</v>
      </c>
      <c r="K42" s="121">
        <f t="shared" si="5"/>
        <v>2426.666666666667</v>
      </c>
      <c r="L42" s="121">
        <f t="shared" si="5"/>
        <v>2426.666666666667</v>
      </c>
      <c r="M42" s="121">
        <f t="shared" si="5"/>
        <v>2426.666666666667</v>
      </c>
      <c r="N42" s="121">
        <f t="shared" si="5"/>
        <v>2426.666666666667</v>
      </c>
      <c r="O42" s="121">
        <f t="shared" si="5"/>
        <v>2426.666666666667</v>
      </c>
      <c r="P42" s="121">
        <f t="shared" si="5"/>
        <v>2426.666666666667</v>
      </c>
      <c r="Q42" s="121">
        <f t="shared" si="5"/>
        <v>2426.666666666667</v>
      </c>
      <c r="R42" s="121">
        <f t="shared" si="5"/>
        <v>2426.666666666667</v>
      </c>
      <c r="S42" s="121">
        <f t="shared" si="5"/>
        <v>2426.666666666667</v>
      </c>
      <c r="T42" s="121">
        <f t="shared" si="5"/>
        <v>2426.666666666662</v>
      </c>
      <c r="U42" s="222">
        <f t="shared" ref="U42" si="6">U40*U41</f>
        <v>2426.666666666662</v>
      </c>
      <c r="V42" s="220"/>
      <c r="W42" s="260">
        <f>SUM(I42:T42)</f>
        <v>29120.000000000004</v>
      </c>
      <c r="X42" s="220"/>
      <c r="Y42" s="220"/>
      <c r="Z42" s="220"/>
      <c r="AA42" s="220"/>
      <c r="AB42" s="220"/>
      <c r="AC42" s="220"/>
      <c r="AD42" s="220"/>
      <c r="AE42" s="144"/>
      <c r="AF42" s="144"/>
      <c r="AG42" s="144"/>
      <c r="AH42" s="144"/>
    </row>
    <row r="43" spans="8:34" ht="15">
      <c r="H43" s="43"/>
      <c r="I43" s="123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5"/>
      <c r="U43" s="209"/>
      <c r="V43" s="218"/>
      <c r="W43" s="218"/>
      <c r="X43" s="218"/>
      <c r="Y43" s="218"/>
      <c r="Z43" s="218"/>
      <c r="AA43" s="218"/>
      <c r="AB43" s="218"/>
      <c r="AC43" s="218"/>
      <c r="AD43" s="218"/>
      <c r="AE43" s="144"/>
      <c r="AF43" s="144"/>
      <c r="AG43" s="144"/>
      <c r="AH43" s="144"/>
    </row>
    <row r="44" spans="8:34" ht="22.5">
      <c r="H44" s="44" t="s">
        <v>66</v>
      </c>
      <c r="I44" s="227">
        <f>I38/I42</f>
        <v>76.843914579815547</v>
      </c>
      <c r="J44" s="210">
        <f t="shared" ref="J44:T44" si="7">J38/J42</f>
        <v>76.843914579815547</v>
      </c>
      <c r="K44" s="210">
        <f t="shared" si="7"/>
        <v>76.843914579815547</v>
      </c>
      <c r="L44" s="210">
        <f t="shared" si="7"/>
        <v>76.843914579815547</v>
      </c>
      <c r="M44" s="210">
        <f t="shared" si="7"/>
        <v>76.843914579815547</v>
      </c>
      <c r="N44" s="210">
        <f t="shared" si="7"/>
        <v>79.91767116300818</v>
      </c>
      <c r="O44" s="210">
        <f t="shared" si="7"/>
        <v>79.91767116300818</v>
      </c>
      <c r="P44" s="210">
        <f t="shared" si="7"/>
        <v>79.91767116300818</v>
      </c>
      <c r="Q44" s="210">
        <f t="shared" si="7"/>
        <v>79.91767116300818</v>
      </c>
      <c r="R44" s="210">
        <f t="shared" si="7"/>
        <v>79.91767116300818</v>
      </c>
      <c r="S44" s="210">
        <f t="shared" si="7"/>
        <v>79.91767116300818</v>
      </c>
      <c r="T44" s="228">
        <f t="shared" si="7"/>
        <v>79.91767116300835</v>
      </c>
      <c r="U44" s="210">
        <f t="shared" ref="U44" si="8">U38/U42</f>
        <v>79.91767116300835</v>
      </c>
      <c r="V44" s="219"/>
      <c r="W44" s="219"/>
      <c r="X44" s="219"/>
      <c r="Y44" s="219"/>
      <c r="Z44" s="219"/>
      <c r="AA44" s="219"/>
      <c r="AB44" s="219"/>
      <c r="AC44" s="219"/>
      <c r="AD44" s="219"/>
      <c r="AE44" s="144"/>
      <c r="AF44" s="144"/>
      <c r="AG44" s="144"/>
      <c r="AH44" s="144"/>
    </row>
    <row r="45" spans="8:34">
      <c r="H45" s="30"/>
      <c r="I45" s="223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224"/>
      <c r="U45" s="129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</row>
    <row r="46" spans="8:34">
      <c r="H46" s="30"/>
      <c r="I46" s="223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224"/>
      <c r="U46" s="129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</row>
    <row r="47" spans="8:34">
      <c r="H47" s="30"/>
      <c r="I47" s="151">
        <f>I44*(1+$K$54)</f>
        <v>76.939969473040307</v>
      </c>
      <c r="J47" s="139">
        <f t="shared" ref="J47:K47" si="9">J44*(1+$K$54)</f>
        <v>76.939969473040307</v>
      </c>
      <c r="K47" s="139">
        <f t="shared" si="9"/>
        <v>76.939969473040307</v>
      </c>
      <c r="L47" s="139">
        <f t="shared" ref="L47" si="10">K47*(1+$L$54)</f>
        <v>77.273376007423479</v>
      </c>
      <c r="M47" s="139">
        <f t="shared" ref="M47" si="11">L47*(1+$L$54)</f>
        <v>77.608227303455649</v>
      </c>
      <c r="N47" s="139">
        <f t="shared" ref="N47" si="12">M47*(1+$L$54)</f>
        <v>77.944529621770627</v>
      </c>
      <c r="O47" s="139">
        <f t="shared" ref="O47" si="13">N47*(1+$L$54)</f>
        <v>78.282289250131626</v>
      </c>
      <c r="P47" s="139">
        <f t="shared" ref="P47" si="14">O47*(1+$L$54)</f>
        <v>78.621512503548857</v>
      </c>
      <c r="Q47" s="139">
        <f t="shared" ref="Q47" si="15">P47*(1+$L$54)</f>
        <v>78.962205724397563</v>
      </c>
      <c r="R47" s="139">
        <f t="shared" ref="R47" si="16">Q47*(1+$L$54)</f>
        <v>79.304375282536611</v>
      </c>
      <c r="S47" s="139">
        <f t="shared" ref="S47" si="17">R47*(1+$L$54)</f>
        <v>79.648027575427605</v>
      </c>
      <c r="T47" s="152">
        <f t="shared" ref="T47" si="18">S47*(1+$L$54)</f>
        <v>79.993169028254457</v>
      </c>
      <c r="U47" s="139">
        <f t="shared" ref="U47" si="19">T47*(1+$L$54)</f>
        <v>80.339806094043553</v>
      </c>
      <c r="V47" s="221"/>
      <c r="W47" s="131">
        <f>AVERAGE(I47:T47)</f>
        <v>78.204801726338943</v>
      </c>
      <c r="X47" s="30" t="s">
        <v>177</v>
      </c>
      <c r="Y47" s="221"/>
      <c r="Z47" s="221"/>
      <c r="AA47" s="221"/>
      <c r="AB47" s="221"/>
      <c r="AC47" s="221"/>
      <c r="AD47" s="221"/>
      <c r="AE47" s="221"/>
      <c r="AF47" s="144"/>
      <c r="AG47" s="144"/>
      <c r="AH47" s="144"/>
    </row>
    <row r="48" spans="8:34" ht="13.5" thickBot="1">
      <c r="H48" s="30"/>
      <c r="I48" s="127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225"/>
      <c r="U48" s="139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</row>
    <row r="49" spans="7:32">
      <c r="H49" s="30"/>
      <c r="I49" s="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</row>
    <row r="50" spans="7:32">
      <c r="G50" s="132" t="s">
        <v>109</v>
      </c>
      <c r="H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</row>
    <row r="51" spans="7:32">
      <c r="G51" s="133" t="s">
        <v>110</v>
      </c>
      <c r="H51" s="30"/>
      <c r="I51" s="196"/>
      <c r="J51" s="196"/>
      <c r="K51" s="79">
        <v>2019</v>
      </c>
      <c r="L51" s="79">
        <v>2020</v>
      </c>
      <c r="M51" s="79">
        <v>2021</v>
      </c>
      <c r="N51" s="79">
        <v>2022</v>
      </c>
      <c r="O51" s="79">
        <v>2023</v>
      </c>
      <c r="P51" s="79">
        <v>2024</v>
      </c>
      <c r="Q51" s="196"/>
      <c r="R51" s="196"/>
      <c r="S51" s="196"/>
      <c r="T51" s="196"/>
      <c r="U51" s="196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</row>
    <row r="52" spans="7:32" ht="18">
      <c r="G52" s="134" t="s">
        <v>111</v>
      </c>
      <c r="H52" s="30"/>
      <c r="I52" s="197"/>
      <c r="J52" s="197"/>
      <c r="K52" s="195" t="s">
        <v>115</v>
      </c>
      <c r="L52" s="135" t="s">
        <v>116</v>
      </c>
      <c r="M52" s="135" t="s">
        <v>117</v>
      </c>
      <c r="N52" s="135" t="s">
        <v>118</v>
      </c>
      <c r="O52" s="135" t="s">
        <v>119</v>
      </c>
      <c r="P52" s="198" t="s">
        <v>120</v>
      </c>
      <c r="Q52" s="197"/>
      <c r="R52" s="197"/>
      <c r="S52" s="197"/>
      <c r="T52" s="197"/>
      <c r="U52" s="197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</row>
    <row r="53" spans="7:32">
      <c r="G53" s="241" t="s">
        <v>112</v>
      </c>
      <c r="H53" s="30"/>
      <c r="I53" s="129"/>
      <c r="J53" s="129"/>
      <c r="K53" s="30"/>
      <c r="L53" s="30"/>
      <c r="M53" s="30"/>
      <c r="N53" s="30"/>
      <c r="O53" s="30"/>
      <c r="P53" s="30"/>
      <c r="Q53" s="129"/>
      <c r="R53" s="129"/>
      <c r="S53" s="129"/>
      <c r="T53" s="129"/>
      <c r="U53" s="129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</row>
    <row r="54" spans="7:32">
      <c r="G54" s="136" t="s">
        <v>125</v>
      </c>
      <c r="H54" s="30"/>
      <c r="I54" s="129"/>
      <c r="J54" s="129"/>
      <c r="K54" s="137">
        <f>(1.5/12)/100</f>
        <v>1.25E-3</v>
      </c>
      <c r="L54" s="137">
        <f>(3.9/9)/100</f>
        <v>4.3333333333333331E-3</v>
      </c>
      <c r="M54" s="137">
        <v>0</v>
      </c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</row>
  </sheetData>
  <mergeCells count="2">
    <mergeCell ref="F25:F28"/>
    <mergeCell ref="G25:G26"/>
  </mergeCells>
  <pageMargins left="0.7" right="0.7" top="0.75" bottom="0.75" header="0.3" footer="0.3"/>
  <pageSetup orientation="portrait" horizontalDpi="0" verticalDpi="0" r:id="rId1"/>
  <headerFooter>
    <oddHeader>&amp;RExh. RJW-2 Wyman WP4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49C9E-FC56-458A-B197-42C221B0C66E}">
  <dimension ref="A2:AF44"/>
  <sheetViews>
    <sheetView zoomScaleNormal="100" workbookViewId="0">
      <selection activeCell="B67" sqref="B67"/>
    </sheetView>
  </sheetViews>
  <sheetFormatPr defaultColWidth="8.83203125" defaultRowHeight="12.75"/>
  <cols>
    <col min="1" max="2" width="8.83203125" style="30"/>
    <col min="3" max="3" width="12" style="30" bestFit="1" customWidth="1"/>
    <col min="4" max="4" width="26.83203125" style="30" bestFit="1" customWidth="1"/>
    <col min="5" max="5" width="12" style="30" bestFit="1" customWidth="1"/>
    <col min="6" max="6" width="11.6640625" style="30" bestFit="1" customWidth="1"/>
    <col min="7" max="18" width="10.1640625" style="30" bestFit="1" customWidth="1"/>
    <col min="19" max="16384" width="8.83203125" style="30"/>
  </cols>
  <sheetData>
    <row r="2" spans="1:32">
      <c r="A2" s="174" t="s">
        <v>165</v>
      </c>
    </row>
    <row r="3" spans="1:32">
      <c r="A3" s="174"/>
    </row>
    <row r="4" spans="1:32">
      <c r="E4" s="117" t="s">
        <v>80</v>
      </c>
    </row>
    <row r="5" spans="1:32">
      <c r="C5" s="117"/>
      <c r="D5" s="117" t="str">
        <f>"EMPLOYEE"&amp;11325&amp;-1</f>
        <v>EMPLOYEE11325-1</v>
      </c>
      <c r="E5" s="118">
        <v>1</v>
      </c>
      <c r="F5" s="93">
        <v>0.8</v>
      </c>
      <c r="G5" s="30">
        <f t="shared" ref="G5:G10" si="0">E5*F5</f>
        <v>0.8</v>
      </c>
    </row>
    <row r="6" spans="1:32">
      <c r="C6" s="117"/>
      <c r="D6" s="117" t="str">
        <f>"EMPLOYEE"&amp;11325&amp;-2</f>
        <v>EMPLOYEE11325-2</v>
      </c>
      <c r="E6" s="118">
        <v>1</v>
      </c>
      <c r="F6" s="93">
        <v>0.8</v>
      </c>
      <c r="G6" s="30">
        <f t="shared" si="0"/>
        <v>0.8</v>
      </c>
    </row>
    <row r="7" spans="1:32">
      <c r="C7" s="117"/>
      <c r="D7" s="117" t="str">
        <f>"EMPLOYEE"&amp;11325&amp;-3</f>
        <v>EMPLOYEE11325-3</v>
      </c>
      <c r="E7" s="118">
        <v>1</v>
      </c>
      <c r="F7" s="93">
        <v>0.8</v>
      </c>
      <c r="G7" s="30">
        <f t="shared" si="0"/>
        <v>0.8</v>
      </c>
    </row>
    <row r="8" spans="1:32">
      <c r="C8" s="117"/>
      <c r="D8" s="117" t="str">
        <f>"EMPLOYEE"&amp;11325&amp;-4</f>
        <v>EMPLOYEE11325-4</v>
      </c>
      <c r="E8" s="118">
        <v>1</v>
      </c>
      <c r="F8" s="93">
        <v>1</v>
      </c>
      <c r="G8" s="30">
        <f t="shared" si="0"/>
        <v>1</v>
      </c>
    </row>
    <row r="9" spans="1:32">
      <c r="C9" s="117"/>
      <c r="D9" s="117" t="str">
        <f>"EMPLOYEE"&amp;11325&amp;-5</f>
        <v>EMPLOYEE11325-5</v>
      </c>
      <c r="E9" s="118">
        <v>1</v>
      </c>
      <c r="F9" s="93">
        <v>1</v>
      </c>
      <c r="G9" s="30">
        <f t="shared" si="0"/>
        <v>1</v>
      </c>
    </row>
    <row r="10" spans="1:32">
      <c r="C10" s="117"/>
      <c r="D10" s="117" t="str">
        <f>"EMPLOYEE"&amp;11325&amp;-6</f>
        <v>EMPLOYEE11325-6</v>
      </c>
      <c r="E10" s="118">
        <v>1</v>
      </c>
      <c r="F10" s="93">
        <v>1</v>
      </c>
      <c r="G10" s="30">
        <f t="shared" si="0"/>
        <v>1</v>
      </c>
    </row>
    <row r="11" spans="1:32">
      <c r="C11" s="113" t="s">
        <v>17</v>
      </c>
      <c r="D11" s="113" t="s">
        <v>17</v>
      </c>
      <c r="E11" s="109">
        <v>6</v>
      </c>
      <c r="G11" s="30">
        <f>SUM(G5:G10)</f>
        <v>5.4</v>
      </c>
    </row>
    <row r="14" spans="1:32">
      <c r="D14" s="30" t="s">
        <v>96</v>
      </c>
      <c r="E14" s="93">
        <v>1</v>
      </c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</row>
    <row r="15" spans="1:32" ht="13.5" thickBot="1"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</row>
    <row r="16" spans="1:32" ht="23.25" thickBot="1">
      <c r="D16" s="271"/>
      <c r="E16" s="274" t="s">
        <v>36</v>
      </c>
      <c r="F16" s="90" t="s">
        <v>37</v>
      </c>
      <c r="G16" s="90" t="s">
        <v>173</v>
      </c>
      <c r="H16" s="90" t="s">
        <v>174</v>
      </c>
      <c r="I16" s="90" t="s">
        <v>170</v>
      </c>
      <c r="J16" s="90" t="s">
        <v>37</v>
      </c>
      <c r="K16" s="90" t="s">
        <v>37</v>
      </c>
      <c r="L16" s="90" t="s">
        <v>37</v>
      </c>
      <c r="M16" s="90" t="s">
        <v>37</v>
      </c>
      <c r="N16" s="90" t="s">
        <v>37</v>
      </c>
      <c r="O16" s="90" t="s">
        <v>37</v>
      </c>
      <c r="P16" s="90" t="s">
        <v>37</v>
      </c>
      <c r="Q16" s="90" t="s">
        <v>37</v>
      </c>
      <c r="R16" s="90" t="s">
        <v>37</v>
      </c>
      <c r="S16" s="232" t="s">
        <v>37</v>
      </c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144"/>
    </row>
    <row r="17" spans="4:32" ht="34.5" thickBot="1">
      <c r="D17" s="272"/>
      <c r="E17" s="275"/>
      <c r="F17" s="89" t="s">
        <v>38</v>
      </c>
      <c r="G17" s="89" t="s">
        <v>38</v>
      </c>
      <c r="H17" s="89" t="s">
        <v>38</v>
      </c>
      <c r="I17" s="89" t="s">
        <v>38</v>
      </c>
      <c r="J17" s="89" t="s">
        <v>38</v>
      </c>
      <c r="K17" s="89" t="s">
        <v>38</v>
      </c>
      <c r="L17" s="89" t="s">
        <v>38</v>
      </c>
      <c r="M17" s="89" t="s">
        <v>38</v>
      </c>
      <c r="N17" s="89" t="s">
        <v>38</v>
      </c>
      <c r="O17" s="89" t="s">
        <v>38</v>
      </c>
      <c r="P17" s="89" t="s">
        <v>38</v>
      </c>
      <c r="Q17" s="89" t="s">
        <v>38</v>
      </c>
      <c r="R17" s="89" t="s">
        <v>38</v>
      </c>
      <c r="S17" s="233" t="s">
        <v>38</v>
      </c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144"/>
    </row>
    <row r="18" spans="4:32" ht="23.25" thickBot="1">
      <c r="D18" s="272"/>
      <c r="E18" s="87" t="s">
        <v>39</v>
      </c>
      <c r="F18" s="194" t="s">
        <v>30</v>
      </c>
      <c r="G18" s="194" t="s">
        <v>172</v>
      </c>
      <c r="H18" s="36" t="s">
        <v>94</v>
      </c>
      <c r="I18" s="36" t="s">
        <v>95</v>
      </c>
      <c r="J18" s="86" t="s">
        <v>80</v>
      </c>
      <c r="K18" s="86" t="s">
        <v>81</v>
      </c>
      <c r="L18" s="86" t="s">
        <v>82</v>
      </c>
      <c r="M18" s="86" t="s">
        <v>83</v>
      </c>
      <c r="N18" s="86" t="s">
        <v>84</v>
      </c>
      <c r="O18" s="86" t="s">
        <v>85</v>
      </c>
      <c r="P18" s="86" t="s">
        <v>86</v>
      </c>
      <c r="Q18" s="86" t="s">
        <v>87</v>
      </c>
      <c r="R18" s="86" t="s">
        <v>88</v>
      </c>
      <c r="S18" s="234" t="s">
        <v>89</v>
      </c>
      <c r="T18" s="238"/>
      <c r="U18" s="238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144"/>
    </row>
    <row r="19" spans="4:32" ht="13.5" thickBot="1">
      <c r="D19" s="273"/>
      <c r="E19" s="87"/>
      <c r="F19" s="86" t="s">
        <v>40</v>
      </c>
      <c r="G19" s="86" t="s">
        <v>40</v>
      </c>
      <c r="H19" s="86" t="s">
        <v>40</v>
      </c>
      <c r="I19" s="86" t="s">
        <v>40</v>
      </c>
      <c r="J19" s="86" t="s">
        <v>40</v>
      </c>
      <c r="K19" s="86" t="s">
        <v>40</v>
      </c>
      <c r="L19" s="86" t="s">
        <v>40</v>
      </c>
      <c r="M19" s="86" t="s">
        <v>40</v>
      </c>
      <c r="N19" s="86" t="s">
        <v>40</v>
      </c>
      <c r="O19" s="86" t="s">
        <v>40</v>
      </c>
      <c r="P19" s="86" t="s">
        <v>40</v>
      </c>
      <c r="Q19" s="86" t="s">
        <v>40</v>
      </c>
      <c r="R19" s="86" t="s">
        <v>40</v>
      </c>
      <c r="S19" s="234" t="s">
        <v>40</v>
      </c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144"/>
    </row>
    <row r="20" spans="4:32" ht="13.5" thickBot="1">
      <c r="D20" s="86" t="s">
        <v>0</v>
      </c>
      <c r="E20" s="88"/>
      <c r="F20" s="87" t="s">
        <v>41</v>
      </c>
      <c r="G20" s="87" t="s">
        <v>41</v>
      </c>
      <c r="H20" s="87" t="s">
        <v>41</v>
      </c>
      <c r="I20" s="87" t="s">
        <v>41</v>
      </c>
      <c r="J20" s="87" t="s">
        <v>41</v>
      </c>
      <c r="K20" s="87" t="s">
        <v>41</v>
      </c>
      <c r="L20" s="87" t="s">
        <v>41</v>
      </c>
      <c r="M20" s="87" t="s">
        <v>41</v>
      </c>
      <c r="N20" s="87" t="s">
        <v>41</v>
      </c>
      <c r="O20" s="87" t="s">
        <v>41</v>
      </c>
      <c r="P20" s="87" t="s">
        <v>41</v>
      </c>
      <c r="Q20" s="87" t="s">
        <v>41</v>
      </c>
      <c r="R20" s="87" t="s">
        <v>41</v>
      </c>
      <c r="S20" s="235" t="s">
        <v>41</v>
      </c>
      <c r="T20" s="239"/>
      <c r="U20" s="239"/>
      <c r="V20" s="239"/>
      <c r="W20" s="239"/>
      <c r="X20" s="239"/>
      <c r="Y20" s="239"/>
      <c r="Z20" s="239"/>
      <c r="AA20" s="239"/>
      <c r="AB20" s="239"/>
      <c r="AC20" s="239"/>
      <c r="AD20" s="239"/>
      <c r="AE20" s="239"/>
      <c r="AF20" s="144"/>
    </row>
    <row r="21" spans="4:32" ht="23.25" thickBot="1">
      <c r="D21" s="86" t="s">
        <v>26</v>
      </c>
      <c r="E21" s="86" t="s">
        <v>27</v>
      </c>
      <c r="F21" s="180"/>
      <c r="G21" s="180">
        <v>46577.58</v>
      </c>
      <c r="H21" s="180">
        <v>46577.58</v>
      </c>
      <c r="I21" s="180">
        <v>46577.58</v>
      </c>
      <c r="J21" s="180">
        <v>46577.58</v>
      </c>
      <c r="K21" s="180">
        <v>46577.58</v>
      </c>
      <c r="L21" s="180">
        <v>46577.58</v>
      </c>
      <c r="M21" s="180">
        <v>46577.58</v>
      </c>
      <c r="N21" s="180">
        <v>46577.58</v>
      </c>
      <c r="O21" s="180">
        <v>46577.58</v>
      </c>
      <c r="P21" s="180">
        <v>46577.58</v>
      </c>
      <c r="Q21" s="180">
        <v>46577.58</v>
      </c>
      <c r="R21" s="180">
        <v>46577.58</v>
      </c>
      <c r="S21" s="243">
        <v>46577.58</v>
      </c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144"/>
    </row>
    <row r="22" spans="4:32" ht="34.5" customHeight="1" thickBot="1">
      <c r="D22" s="86" t="s">
        <v>44</v>
      </c>
      <c r="E22" s="86" t="s">
        <v>45</v>
      </c>
      <c r="F22" s="181"/>
      <c r="G22" s="181">
        <v>7363.92</v>
      </c>
      <c r="H22" s="181">
        <v>7363.92</v>
      </c>
      <c r="I22" s="181">
        <v>7363.92</v>
      </c>
      <c r="J22" s="181">
        <v>7363.92</v>
      </c>
      <c r="K22" s="181">
        <v>7363.92</v>
      </c>
      <c r="L22" s="181">
        <v>7363.92</v>
      </c>
      <c r="M22" s="181">
        <v>7363.92</v>
      </c>
      <c r="N22" s="181">
        <v>7363.92</v>
      </c>
      <c r="O22" s="181">
        <v>7363.92</v>
      </c>
      <c r="P22" s="181">
        <v>7363.92</v>
      </c>
      <c r="Q22" s="181">
        <v>7363.92</v>
      </c>
      <c r="R22" s="181">
        <v>7363.92</v>
      </c>
      <c r="S22" s="244">
        <v>7363.92</v>
      </c>
      <c r="T22" s="248"/>
      <c r="U22" s="248"/>
      <c r="V22" s="248"/>
      <c r="W22" s="248"/>
      <c r="X22" s="248"/>
      <c r="Y22" s="248"/>
      <c r="Z22" s="248"/>
      <c r="AA22" s="248"/>
      <c r="AB22" s="248"/>
      <c r="AC22" s="248"/>
      <c r="AD22" s="248"/>
      <c r="AE22" s="248"/>
      <c r="AF22" s="144"/>
    </row>
    <row r="23" spans="4:32" ht="34.5" customHeight="1" thickBot="1">
      <c r="D23" s="86" t="s">
        <v>46</v>
      </c>
      <c r="E23" s="86" t="s">
        <v>47</v>
      </c>
      <c r="F23" s="180"/>
      <c r="G23" s="180">
        <v>27252.54</v>
      </c>
      <c r="H23" s="180">
        <v>27252.54</v>
      </c>
      <c r="I23" s="180">
        <v>27252.54</v>
      </c>
      <c r="J23" s="180">
        <v>27252.54</v>
      </c>
      <c r="K23" s="180">
        <v>27252.54</v>
      </c>
      <c r="L23" s="180">
        <v>27252.54</v>
      </c>
      <c r="M23" s="180">
        <v>27252.54</v>
      </c>
      <c r="N23" s="180">
        <v>27252.54</v>
      </c>
      <c r="O23" s="180">
        <v>27252.54</v>
      </c>
      <c r="P23" s="180">
        <v>27252.54</v>
      </c>
      <c r="Q23" s="180">
        <v>27252.54</v>
      </c>
      <c r="R23" s="180">
        <v>27252.54</v>
      </c>
      <c r="S23" s="243">
        <v>27252.54</v>
      </c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144"/>
    </row>
    <row r="24" spans="4:32" ht="34.5" thickBot="1">
      <c r="D24" s="182" t="s">
        <v>143</v>
      </c>
      <c r="E24" s="182" t="s">
        <v>144</v>
      </c>
      <c r="F24" s="180"/>
      <c r="G24" s="180">
        <v>-7198.09</v>
      </c>
      <c r="H24" s="180">
        <v>-7198.09</v>
      </c>
      <c r="I24" s="180">
        <v>-7198.09</v>
      </c>
      <c r="J24" s="180">
        <v>-7198.09</v>
      </c>
      <c r="K24" s="180">
        <v>-7198.09</v>
      </c>
      <c r="L24" s="180">
        <v>-7198.09</v>
      </c>
      <c r="M24" s="180">
        <v>-7198.09</v>
      </c>
      <c r="N24" s="180">
        <v>-7198.09</v>
      </c>
      <c r="O24" s="180">
        <v>-7198.09</v>
      </c>
      <c r="P24" s="180">
        <v>-7198.09</v>
      </c>
      <c r="Q24" s="180">
        <v>-7198.09</v>
      </c>
      <c r="R24" s="180">
        <v>-7198.09</v>
      </c>
      <c r="S24" s="243">
        <v>-7198.09</v>
      </c>
      <c r="T24" s="248"/>
      <c r="U24" s="248"/>
      <c r="V24" s="248"/>
      <c r="W24" s="248"/>
      <c r="X24" s="248"/>
      <c r="Y24" s="248"/>
      <c r="Z24" s="248"/>
      <c r="AA24" s="248"/>
      <c r="AB24" s="248"/>
      <c r="AC24" s="248"/>
      <c r="AD24" s="248"/>
      <c r="AE24" s="248"/>
      <c r="AF24" s="144"/>
    </row>
    <row r="25" spans="4:32"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</row>
    <row r="26" spans="4:32" ht="13.5" thickBot="1"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</row>
    <row r="27" spans="4:32" ht="34.5" thickBot="1">
      <c r="F27" s="183" t="s">
        <v>62</v>
      </c>
      <c r="G27" s="184">
        <f>G21+G22+G23+G24</f>
        <v>73995.950000000012</v>
      </c>
      <c r="H27" s="184">
        <f t="shared" ref="H27:S27" si="1">H21+H22+H23+H24</f>
        <v>73995.950000000012</v>
      </c>
      <c r="I27" s="184">
        <f t="shared" si="1"/>
        <v>73995.950000000012</v>
      </c>
      <c r="J27" s="184">
        <f t="shared" si="1"/>
        <v>73995.950000000012</v>
      </c>
      <c r="K27" s="184">
        <f t="shared" si="1"/>
        <v>73995.950000000012</v>
      </c>
      <c r="L27" s="184">
        <f t="shared" si="1"/>
        <v>73995.950000000012</v>
      </c>
      <c r="M27" s="184">
        <f t="shared" si="1"/>
        <v>73995.950000000012</v>
      </c>
      <c r="N27" s="184">
        <f t="shared" si="1"/>
        <v>73995.950000000012</v>
      </c>
      <c r="O27" s="184">
        <f t="shared" si="1"/>
        <v>73995.950000000012</v>
      </c>
      <c r="P27" s="184">
        <f t="shared" si="1"/>
        <v>73995.950000000012</v>
      </c>
      <c r="Q27" s="184">
        <f t="shared" si="1"/>
        <v>73995.950000000012</v>
      </c>
      <c r="R27" s="184">
        <f t="shared" si="1"/>
        <v>73995.950000000012</v>
      </c>
      <c r="S27" s="245">
        <f t="shared" si="1"/>
        <v>73995.950000000012</v>
      </c>
      <c r="T27" s="249"/>
      <c r="U27" s="249"/>
      <c r="V27" s="249"/>
      <c r="W27" s="249"/>
      <c r="X27" s="249"/>
      <c r="Y27" s="249"/>
      <c r="Z27" s="249"/>
      <c r="AA27" s="249"/>
      <c r="AB27" s="249"/>
      <c r="AC27" s="144"/>
      <c r="AD27" s="144"/>
      <c r="AE27" s="144"/>
      <c r="AF27" s="144"/>
    </row>
    <row r="28" spans="4:32" ht="15.75" thickBot="1">
      <c r="F28" s="185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250"/>
      <c r="U28" s="250"/>
      <c r="V28" s="250"/>
      <c r="W28" s="250"/>
      <c r="X28" s="250"/>
      <c r="Y28" s="250"/>
      <c r="Z28" s="250"/>
      <c r="AA28" s="250"/>
      <c r="AB28" s="250"/>
      <c r="AC28" s="144"/>
      <c r="AD28" s="144"/>
      <c r="AE28" s="144"/>
      <c r="AF28" s="144"/>
    </row>
    <row r="29" spans="4:32" ht="13.5" thickBot="1">
      <c r="F29" s="183" t="s">
        <v>63</v>
      </c>
      <c r="G29" s="187">
        <f>+G11</f>
        <v>5.4</v>
      </c>
      <c r="H29" s="187">
        <f>G29</f>
        <v>5.4</v>
      </c>
      <c r="I29" s="187">
        <f t="shared" ref="I29:R29" si="2">H29</f>
        <v>5.4</v>
      </c>
      <c r="J29" s="187">
        <f t="shared" si="2"/>
        <v>5.4</v>
      </c>
      <c r="K29" s="187">
        <f t="shared" si="2"/>
        <v>5.4</v>
      </c>
      <c r="L29" s="187">
        <f t="shared" si="2"/>
        <v>5.4</v>
      </c>
      <c r="M29" s="187">
        <f t="shared" si="2"/>
        <v>5.4</v>
      </c>
      <c r="N29" s="187">
        <f t="shared" si="2"/>
        <v>5.4</v>
      </c>
      <c r="O29" s="187">
        <f t="shared" si="2"/>
        <v>5.4</v>
      </c>
      <c r="P29" s="187">
        <f t="shared" si="2"/>
        <v>5.4</v>
      </c>
      <c r="Q29" s="187">
        <f t="shared" si="2"/>
        <v>5.4</v>
      </c>
      <c r="R29" s="187">
        <f t="shared" si="2"/>
        <v>5.4</v>
      </c>
      <c r="S29" s="246">
        <f t="shared" ref="S29" si="3">R29</f>
        <v>5.4</v>
      </c>
      <c r="T29" s="251"/>
      <c r="U29" s="251"/>
      <c r="V29" s="251"/>
      <c r="W29" s="251"/>
      <c r="X29" s="251"/>
      <c r="Y29" s="251"/>
      <c r="Z29" s="251"/>
      <c r="AA29" s="251"/>
      <c r="AB29" s="251"/>
      <c r="AC29" s="144"/>
      <c r="AD29" s="144"/>
      <c r="AE29" s="144"/>
      <c r="AF29" s="144"/>
    </row>
    <row r="30" spans="4:32" ht="23.25" thickBot="1">
      <c r="F30" s="183" t="s">
        <v>64</v>
      </c>
      <c r="G30" s="188">
        <v>173.33333333333334</v>
      </c>
      <c r="H30" s="188">
        <v>173.33333333333334</v>
      </c>
      <c r="I30" s="188">
        <v>173.33333333333334</v>
      </c>
      <c r="J30" s="188">
        <v>173.33333333333334</v>
      </c>
      <c r="K30" s="188">
        <v>173.33333333333334</v>
      </c>
      <c r="L30" s="188">
        <v>173.33333333333334</v>
      </c>
      <c r="M30" s="188">
        <v>173.33333333333334</v>
      </c>
      <c r="N30" s="188">
        <v>173.33333333333334</v>
      </c>
      <c r="O30" s="188">
        <v>173.33333333333334</v>
      </c>
      <c r="P30" s="188">
        <v>173.33333333333334</v>
      </c>
      <c r="Q30" s="188">
        <v>173.33333333333334</v>
      </c>
      <c r="R30" s="188">
        <v>173.33333333333334</v>
      </c>
      <c r="S30" s="247">
        <v>173.333333333333</v>
      </c>
      <c r="T30" s="252"/>
      <c r="U30" s="252"/>
      <c r="V30" s="252"/>
      <c r="W30" s="252"/>
      <c r="X30" s="252"/>
      <c r="Y30" s="252"/>
      <c r="Z30" s="252"/>
      <c r="AA30" s="252"/>
      <c r="AB30" s="252"/>
      <c r="AC30" s="144"/>
      <c r="AD30" s="144"/>
      <c r="AE30" s="144"/>
      <c r="AF30" s="144"/>
    </row>
    <row r="31" spans="4:32" ht="23.25" thickBot="1">
      <c r="F31" s="183" t="s">
        <v>65</v>
      </c>
      <c r="G31" s="188">
        <f>G29*G30</f>
        <v>936.00000000000011</v>
      </c>
      <c r="H31" s="188">
        <f t="shared" ref="H31:R31" si="4">H29*H30</f>
        <v>936.00000000000011</v>
      </c>
      <c r="I31" s="188">
        <f t="shared" si="4"/>
        <v>936.00000000000011</v>
      </c>
      <c r="J31" s="188">
        <f t="shared" si="4"/>
        <v>936.00000000000011</v>
      </c>
      <c r="K31" s="188">
        <f t="shared" si="4"/>
        <v>936.00000000000011</v>
      </c>
      <c r="L31" s="188">
        <f t="shared" si="4"/>
        <v>936.00000000000011</v>
      </c>
      <c r="M31" s="188">
        <f t="shared" si="4"/>
        <v>936.00000000000011</v>
      </c>
      <c r="N31" s="188">
        <f t="shared" si="4"/>
        <v>936.00000000000011</v>
      </c>
      <c r="O31" s="188">
        <f t="shared" si="4"/>
        <v>936.00000000000011</v>
      </c>
      <c r="P31" s="188">
        <f t="shared" si="4"/>
        <v>936.00000000000011</v>
      </c>
      <c r="Q31" s="188">
        <f t="shared" si="4"/>
        <v>936.00000000000011</v>
      </c>
      <c r="R31" s="188">
        <f t="shared" si="4"/>
        <v>936.00000000000011</v>
      </c>
      <c r="S31" s="247">
        <f t="shared" ref="S31" si="5">S29*S30</f>
        <v>935.99999999999829</v>
      </c>
      <c r="T31" s="252"/>
      <c r="U31" s="252"/>
      <c r="V31" s="252">
        <f>SUM(G31:R31)</f>
        <v>11232.000000000002</v>
      </c>
      <c r="W31" s="252"/>
      <c r="X31" s="252"/>
      <c r="Y31" s="252"/>
      <c r="Z31" s="252"/>
      <c r="AA31" s="252"/>
      <c r="AB31" s="252"/>
      <c r="AC31" s="144"/>
      <c r="AD31" s="144"/>
      <c r="AE31" s="144"/>
      <c r="AF31" s="144"/>
    </row>
    <row r="32" spans="4:32" ht="15.75" thickBot="1"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250"/>
      <c r="U32" s="250"/>
      <c r="V32" s="250"/>
      <c r="W32" s="250"/>
      <c r="X32" s="250"/>
      <c r="Y32" s="250"/>
      <c r="Z32" s="250"/>
      <c r="AA32" s="250"/>
      <c r="AB32" s="250"/>
      <c r="AC32" s="144"/>
      <c r="AD32" s="144"/>
      <c r="AE32" s="144"/>
      <c r="AF32" s="144"/>
    </row>
    <row r="33" spans="5:32" ht="34.5" thickBot="1">
      <c r="F33" s="183" t="s">
        <v>66</v>
      </c>
      <c r="G33" s="253">
        <f>G27/G31</f>
        <v>79.055502136752139</v>
      </c>
      <c r="H33" s="253">
        <f t="shared" ref="H33:R33" si="6">H27/H31</f>
        <v>79.055502136752139</v>
      </c>
      <c r="I33" s="253">
        <f t="shared" si="6"/>
        <v>79.055502136752139</v>
      </c>
      <c r="J33" s="253">
        <f t="shared" si="6"/>
        <v>79.055502136752139</v>
      </c>
      <c r="K33" s="253">
        <f t="shared" si="6"/>
        <v>79.055502136752139</v>
      </c>
      <c r="L33" s="253">
        <f t="shared" si="6"/>
        <v>79.055502136752139</v>
      </c>
      <c r="M33" s="253">
        <f t="shared" si="6"/>
        <v>79.055502136752139</v>
      </c>
      <c r="N33" s="253">
        <f t="shared" si="6"/>
        <v>79.055502136752139</v>
      </c>
      <c r="O33" s="253">
        <f t="shared" si="6"/>
        <v>79.055502136752139</v>
      </c>
      <c r="P33" s="253">
        <f t="shared" si="6"/>
        <v>79.055502136752139</v>
      </c>
      <c r="Q33" s="253">
        <f t="shared" si="6"/>
        <v>79.055502136752139</v>
      </c>
      <c r="R33" s="253">
        <f t="shared" si="6"/>
        <v>79.055502136752139</v>
      </c>
      <c r="S33" s="254">
        <f t="shared" ref="S33" si="7">S27/S31</f>
        <v>79.055502136752295</v>
      </c>
      <c r="T33" s="251"/>
      <c r="U33" s="251"/>
      <c r="V33" s="251"/>
      <c r="W33" s="251"/>
      <c r="X33" s="251"/>
      <c r="Y33" s="251"/>
      <c r="Z33" s="251"/>
      <c r="AA33" s="251"/>
      <c r="AB33" s="251"/>
      <c r="AC33" s="144"/>
      <c r="AD33" s="144"/>
      <c r="AE33" s="144"/>
      <c r="AF33" s="144"/>
    </row>
    <row r="34" spans="5:32">
      <c r="G34" s="148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50"/>
      <c r="S34" s="129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</row>
    <row r="35" spans="5:32">
      <c r="G35" s="223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224"/>
      <c r="S35" s="129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</row>
    <row r="36" spans="5:32">
      <c r="G36" s="151">
        <f>G33*(1+$J$44)</f>
        <v>79.055502136752139</v>
      </c>
      <c r="H36" s="139">
        <f>H33*(1+$J$44)</f>
        <v>79.055502136752139</v>
      </c>
      <c r="I36" s="139">
        <f>I33*(1+$J$44)</f>
        <v>79.055502136752139</v>
      </c>
      <c r="J36" s="139">
        <f t="shared" ref="J36:S36" si="8">I36*(1+$K$44)</f>
        <v>79.055502136752139</v>
      </c>
      <c r="K36" s="139">
        <f t="shared" si="8"/>
        <v>79.055502136752139</v>
      </c>
      <c r="L36" s="139">
        <f t="shared" si="8"/>
        <v>79.055502136752139</v>
      </c>
      <c r="M36" s="139">
        <f t="shared" si="8"/>
        <v>79.055502136752139</v>
      </c>
      <c r="N36" s="139">
        <f t="shared" si="8"/>
        <v>79.055502136752139</v>
      </c>
      <c r="O36" s="139">
        <f t="shared" si="8"/>
        <v>79.055502136752139</v>
      </c>
      <c r="P36" s="139">
        <f t="shared" si="8"/>
        <v>79.055502136752139</v>
      </c>
      <c r="Q36" s="139">
        <f t="shared" si="8"/>
        <v>79.055502136752139</v>
      </c>
      <c r="R36" s="152">
        <f t="shared" si="8"/>
        <v>79.055502136752139</v>
      </c>
      <c r="S36" s="139">
        <f t="shared" si="8"/>
        <v>79.055502136752139</v>
      </c>
      <c r="T36" s="221"/>
      <c r="U36" s="221"/>
      <c r="V36" s="131">
        <f>AVERAGE(G36:R36)</f>
        <v>79.055502136752139</v>
      </c>
      <c r="W36" s="30" t="s">
        <v>177</v>
      </c>
      <c r="X36" s="221"/>
      <c r="Y36" s="221"/>
      <c r="Z36" s="221"/>
      <c r="AA36" s="221"/>
      <c r="AB36" s="221"/>
      <c r="AC36" s="144"/>
      <c r="AD36" s="144"/>
      <c r="AE36" s="144"/>
      <c r="AF36" s="144"/>
    </row>
    <row r="37" spans="5:32">
      <c r="G37" s="223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52"/>
      <c r="S37" s="129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</row>
    <row r="38" spans="5:32" ht="13.5" thickBot="1">
      <c r="G38" s="127"/>
      <c r="H38" s="128"/>
      <c r="I38" s="153"/>
      <c r="J38" s="153"/>
      <c r="K38" s="153"/>
      <c r="L38" s="153"/>
      <c r="M38" s="153"/>
      <c r="N38" s="153"/>
      <c r="O38" s="153"/>
      <c r="P38" s="153"/>
      <c r="Q38" s="153"/>
      <c r="R38" s="225"/>
      <c r="S38" s="139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</row>
    <row r="40" spans="5:32">
      <c r="E40" s="189" t="s">
        <v>109</v>
      </c>
      <c r="H40" s="196"/>
      <c r="I40" s="196"/>
    </row>
    <row r="41" spans="5:32">
      <c r="E41" s="190" t="s">
        <v>110</v>
      </c>
      <c r="H41" s="197"/>
      <c r="I41" s="197"/>
      <c r="J41" s="79">
        <v>2019</v>
      </c>
      <c r="K41" s="79">
        <v>2020</v>
      </c>
      <c r="L41" s="79">
        <v>2021</v>
      </c>
      <c r="M41" s="79">
        <v>2022</v>
      </c>
      <c r="N41" s="79">
        <v>2023</v>
      </c>
      <c r="O41" s="79">
        <v>2024</v>
      </c>
      <c r="P41" s="79">
        <v>2025</v>
      </c>
      <c r="Q41" s="79">
        <v>2026</v>
      </c>
      <c r="R41" s="79">
        <v>2027</v>
      </c>
      <c r="S41" s="79">
        <v>2028</v>
      </c>
    </row>
    <row r="42" spans="5:32" ht="18">
      <c r="E42" s="191" t="s">
        <v>111</v>
      </c>
      <c r="H42" s="129"/>
      <c r="I42" s="129"/>
      <c r="J42" s="195" t="s">
        <v>115</v>
      </c>
      <c r="K42" s="135" t="s">
        <v>116</v>
      </c>
      <c r="L42" s="135" t="s">
        <v>117</v>
      </c>
      <c r="M42" s="135" t="s">
        <v>118</v>
      </c>
      <c r="N42" s="135" t="s">
        <v>119</v>
      </c>
      <c r="O42" s="135" t="s">
        <v>120</v>
      </c>
      <c r="P42" s="135" t="s">
        <v>121</v>
      </c>
      <c r="Q42" s="135" t="s">
        <v>122</v>
      </c>
      <c r="R42" s="135" t="s">
        <v>123</v>
      </c>
      <c r="S42" s="135" t="s">
        <v>124</v>
      </c>
    </row>
    <row r="43" spans="5:32">
      <c r="E43" s="192" t="s">
        <v>112</v>
      </c>
      <c r="H43" s="242"/>
      <c r="I43" s="242"/>
    </row>
    <row r="44" spans="5:32">
      <c r="E44" s="136" t="s">
        <v>125</v>
      </c>
      <c r="J44" s="137">
        <v>0</v>
      </c>
      <c r="K44" s="137">
        <v>0</v>
      </c>
      <c r="L44" s="137">
        <f>(3.2/12)/100</f>
        <v>2.6666666666666666E-3</v>
      </c>
    </row>
  </sheetData>
  <mergeCells count="2">
    <mergeCell ref="D16:D19"/>
    <mergeCell ref="E16:E17"/>
  </mergeCells>
  <pageMargins left="0.7" right="0.7" top="0.75" bottom="0.75" header="0.3" footer="0.3"/>
  <pageSetup orientation="portrait" horizontalDpi="0" verticalDpi="0" r:id="rId1"/>
  <headerFooter>
    <oddHeader>&amp;RExh. RJW-2 Wyman WP4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49"/>
  <sheetViews>
    <sheetView topLeftCell="A10" zoomScaleNormal="100" workbookViewId="0">
      <selection activeCell="B67" sqref="B67"/>
    </sheetView>
  </sheetViews>
  <sheetFormatPr defaultRowHeight="12.75"/>
  <cols>
    <col min="6" max="6" width="13.5" bestFit="1" customWidth="1"/>
    <col min="7" max="7" width="12.1640625" bestFit="1" customWidth="1"/>
    <col min="8" max="17" width="12" bestFit="1" customWidth="1"/>
    <col min="18" max="27" width="9.6640625" bestFit="1" customWidth="1"/>
  </cols>
  <sheetData>
    <row r="1" spans="1:31" s="30" customFormat="1"/>
    <row r="2" spans="1:31">
      <c r="A2" s="174" t="s">
        <v>166</v>
      </c>
    </row>
    <row r="3" spans="1:31" s="30" customFormat="1">
      <c r="A3" s="174"/>
    </row>
    <row r="4" spans="1:31">
      <c r="D4" s="99" t="s">
        <v>0</v>
      </c>
      <c r="E4" s="99" t="s">
        <v>1</v>
      </c>
      <c r="F4" s="95" t="s">
        <v>2</v>
      </c>
      <c r="G4" s="95" t="s">
        <v>80</v>
      </c>
    </row>
    <row r="5" spans="1:31">
      <c r="D5" s="95" t="s">
        <v>15</v>
      </c>
      <c r="E5" s="95" t="s">
        <v>97</v>
      </c>
      <c r="F5" s="97">
        <v>1</v>
      </c>
      <c r="G5" s="100">
        <v>1</v>
      </c>
    </row>
    <row r="6" spans="1:31">
      <c r="D6" s="95" t="s">
        <v>17</v>
      </c>
      <c r="E6" s="95" t="s">
        <v>98</v>
      </c>
      <c r="F6" s="97">
        <v>3</v>
      </c>
      <c r="G6" s="100">
        <v>3</v>
      </c>
    </row>
    <row r="7" spans="1:31">
      <c r="D7" s="96" t="s">
        <v>23</v>
      </c>
      <c r="E7" s="96" t="s">
        <v>17</v>
      </c>
      <c r="F7" s="98">
        <v>4</v>
      </c>
      <c r="G7" s="98">
        <v>4</v>
      </c>
    </row>
    <row r="9" spans="1:31">
      <c r="F9" s="103">
        <v>1.4999999999999999E-2</v>
      </c>
      <c r="G9" s="103">
        <v>1.4999999999999999E-2</v>
      </c>
      <c r="H9" s="103">
        <v>1.4999999999999999E-2</v>
      </c>
      <c r="I9" s="103">
        <v>1.4999999999999999E-2</v>
      </c>
      <c r="J9" s="103">
        <v>1.4999999999999999E-2</v>
      </c>
      <c r="K9" s="93">
        <v>0.02</v>
      </c>
      <c r="L9" s="93">
        <v>0.02</v>
      </c>
      <c r="M9" s="93">
        <v>0.02</v>
      </c>
      <c r="N9" s="93">
        <v>0.02</v>
      </c>
      <c r="O9" s="93">
        <v>0.02</v>
      </c>
      <c r="P9" s="93">
        <v>0.02</v>
      </c>
      <c r="Q9" s="93">
        <v>0.02</v>
      </c>
    </row>
    <row r="10" spans="1:31">
      <c r="F10" s="93">
        <v>0.02</v>
      </c>
      <c r="G10" s="93">
        <v>0.02</v>
      </c>
      <c r="H10" s="93">
        <v>0.02</v>
      </c>
      <c r="I10" s="93">
        <v>0.02</v>
      </c>
      <c r="J10" s="93">
        <v>0.02</v>
      </c>
      <c r="K10" s="103">
        <v>0.03</v>
      </c>
      <c r="L10" s="103">
        <v>0.03</v>
      </c>
      <c r="M10" s="103">
        <v>0.03</v>
      </c>
      <c r="N10" s="103">
        <v>0.03</v>
      </c>
      <c r="O10" s="103">
        <v>0.03</v>
      </c>
      <c r="P10" s="103">
        <v>0.03</v>
      </c>
      <c r="Q10" s="103">
        <v>0.03</v>
      </c>
    </row>
    <row r="12" spans="1:31">
      <c r="F12" s="105">
        <v>17891.61</v>
      </c>
      <c r="G12" s="105">
        <v>17891.61</v>
      </c>
      <c r="H12" s="105">
        <v>17891.61</v>
      </c>
      <c r="I12" s="105">
        <v>17891.61</v>
      </c>
      <c r="J12" s="105">
        <v>17891.61</v>
      </c>
      <c r="K12" s="105">
        <v>17891.61</v>
      </c>
      <c r="L12" s="105">
        <v>17891.61</v>
      </c>
      <c r="M12" s="105">
        <v>17891.61</v>
      </c>
      <c r="N12" s="105">
        <v>17891.61</v>
      </c>
      <c r="O12" s="105">
        <v>17891.61</v>
      </c>
      <c r="P12" s="105">
        <v>17891.61</v>
      </c>
      <c r="Q12" s="105">
        <v>17891.61</v>
      </c>
    </row>
    <row r="13" spans="1:31">
      <c r="F13">
        <f>F12*(1+F9)</f>
        <v>18159.98415</v>
      </c>
      <c r="G13">
        <f>F13</f>
        <v>18159.98415</v>
      </c>
      <c r="H13">
        <f>G13</f>
        <v>18159.98415</v>
      </c>
      <c r="I13" s="30">
        <f>H13</f>
        <v>18159.98415</v>
      </c>
      <c r="J13" s="30">
        <f>I13</f>
        <v>18159.98415</v>
      </c>
      <c r="K13" s="30">
        <f>J13*(1+K9)</f>
        <v>18523.183832999999</v>
      </c>
      <c r="L13" s="30">
        <f t="shared" ref="L13:M13" si="0">K13*(1+L9)</f>
        <v>18893.647509660001</v>
      </c>
      <c r="M13" s="30">
        <f t="shared" si="0"/>
        <v>19271.5204598532</v>
      </c>
      <c r="N13" s="30">
        <f>M13</f>
        <v>19271.5204598532</v>
      </c>
      <c r="O13" s="30">
        <f t="shared" ref="O13:Q13" si="1">N13</f>
        <v>19271.5204598532</v>
      </c>
      <c r="P13" s="30">
        <f t="shared" si="1"/>
        <v>19271.5204598532</v>
      </c>
      <c r="Q13" s="30">
        <f t="shared" si="1"/>
        <v>19271.5204598532</v>
      </c>
    </row>
    <row r="14" spans="1:31">
      <c r="F14">
        <f>Q13</f>
        <v>19271.5204598532</v>
      </c>
      <c r="G14" s="30">
        <f>F14</f>
        <v>19271.5204598532</v>
      </c>
      <c r="H14" s="30">
        <f t="shared" ref="H14:J14" si="2">G14</f>
        <v>19271.5204598532</v>
      </c>
      <c r="I14" s="30">
        <f t="shared" si="2"/>
        <v>19271.5204598532</v>
      </c>
      <c r="J14" s="30">
        <f t="shared" si="2"/>
        <v>19271.5204598532</v>
      </c>
      <c r="K14">
        <f>J14*(1+K10)</f>
        <v>19849.666073648797</v>
      </c>
      <c r="L14">
        <f>K14</f>
        <v>19849.666073648797</v>
      </c>
      <c r="M14" s="30">
        <f t="shared" ref="M14:Q14" si="3">L14</f>
        <v>19849.666073648797</v>
      </c>
      <c r="N14" s="30">
        <f t="shared" si="3"/>
        <v>19849.666073648797</v>
      </c>
      <c r="O14" s="30">
        <f t="shared" si="3"/>
        <v>19849.666073648797</v>
      </c>
      <c r="P14" s="30">
        <f t="shared" si="3"/>
        <v>19849.666073648797</v>
      </c>
      <c r="Q14" s="30">
        <f t="shared" si="3"/>
        <v>19849.666073648797</v>
      </c>
    </row>
    <row r="16" spans="1:31"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</row>
    <row r="17" spans="4:31">
      <c r="D17" s="101" t="s">
        <v>33</v>
      </c>
      <c r="E17" s="101" t="s">
        <v>15</v>
      </c>
      <c r="F17" s="120">
        <v>19268.5204598532</v>
      </c>
      <c r="G17" s="120">
        <v>19269.5204598532</v>
      </c>
      <c r="H17" s="120">
        <v>19270.5204598532</v>
      </c>
      <c r="I17" s="102">
        <v>19271.5204598532</v>
      </c>
      <c r="J17" s="102">
        <v>19271.5204598532</v>
      </c>
      <c r="K17" s="102">
        <v>19271.5204598532</v>
      </c>
      <c r="L17" s="102">
        <v>19271.5204598532</v>
      </c>
      <c r="M17" s="102">
        <v>19271.5204598532</v>
      </c>
      <c r="N17" s="102">
        <v>19849.666073648797</v>
      </c>
      <c r="O17" s="102">
        <v>19849.666073648797</v>
      </c>
      <c r="P17" s="102">
        <v>19849.666073648797</v>
      </c>
      <c r="Q17" s="102">
        <v>19849.666073648797</v>
      </c>
      <c r="R17" s="256">
        <v>19849.666073648797</v>
      </c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4"/>
    </row>
    <row r="18" spans="4:31">
      <c r="D18" s="104" t="s">
        <v>45</v>
      </c>
      <c r="E18" s="104" t="s">
        <v>44</v>
      </c>
      <c r="F18" s="120">
        <f>F17*Assumptions!$C$9</f>
        <v>3046.3533423323329</v>
      </c>
      <c r="G18" s="120">
        <f>G17*Assumptions!$C$9</f>
        <v>3046.5114423457035</v>
      </c>
      <c r="H18" s="120">
        <f>H17*Assumptions!$C$9</f>
        <v>3046.6695423590741</v>
      </c>
      <c r="I18" s="105">
        <f>I17*Assumptions!$C$9</f>
        <v>3046.8276423724446</v>
      </c>
      <c r="J18" s="105">
        <f>J17*Assumptions!$C$9</f>
        <v>3046.8276423724446</v>
      </c>
      <c r="K18" s="105">
        <f>K17*Assumptions!$C$9</f>
        <v>3046.8276423724446</v>
      </c>
      <c r="L18" s="105">
        <f>L17*Assumptions!$C$9</f>
        <v>3046.8276423724446</v>
      </c>
      <c r="M18" s="105">
        <f>M17*Assumptions!$C$9</f>
        <v>3046.8276423724446</v>
      </c>
      <c r="N18" s="105">
        <f>N17*Assumptions!$C$9</f>
        <v>3138.2324716436183</v>
      </c>
      <c r="O18" s="105">
        <f>O17*Assumptions!$C$9</f>
        <v>3138.2324716436183</v>
      </c>
      <c r="P18" s="105">
        <f>P17*Assumptions!$C$9</f>
        <v>3138.2324716436183</v>
      </c>
      <c r="Q18" s="105">
        <f>Q17*Assumptions!$C$9</f>
        <v>3138.2324716436183</v>
      </c>
      <c r="R18" s="256">
        <f>R17*Assumptions!$C$9</f>
        <v>3138.2324716436183</v>
      </c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4"/>
    </row>
    <row r="19" spans="4:31">
      <c r="D19" s="140" t="s">
        <v>47</v>
      </c>
      <c r="E19" s="140" t="s">
        <v>46</v>
      </c>
      <c r="F19" s="141">
        <f>F17*Assumptions!$C$10</f>
        <v>11274.011216461698</v>
      </c>
      <c r="G19" s="141">
        <f>G17*Assumptions!$C$10</f>
        <v>11274.596316456271</v>
      </c>
      <c r="H19" s="141">
        <f>H17*Assumptions!$C$10</f>
        <v>11275.181416450841</v>
      </c>
      <c r="I19" s="141">
        <f>I17*Assumptions!$C$10</f>
        <v>11275.766516445414</v>
      </c>
      <c r="J19" s="141">
        <f>J17*Assumptions!$C$10</f>
        <v>11275.766516445414</v>
      </c>
      <c r="K19" s="141">
        <f>K17*Assumptions!$C$10</f>
        <v>11275.766516445414</v>
      </c>
      <c r="L19" s="141">
        <f>L17*Assumptions!$C$10</f>
        <v>11275.766516445414</v>
      </c>
      <c r="M19" s="141">
        <f>M17*Assumptions!$C$10</f>
        <v>11275.766516445414</v>
      </c>
      <c r="N19" s="141">
        <f>N17*Assumptions!$C$10</f>
        <v>11614.039511938776</v>
      </c>
      <c r="O19" s="141">
        <f>O17*Assumptions!$C$10</f>
        <v>11614.039511938776</v>
      </c>
      <c r="P19" s="141">
        <f>P17*Assumptions!$C$10</f>
        <v>11614.039511938776</v>
      </c>
      <c r="Q19" s="141">
        <f>Q17*Assumptions!$C$10</f>
        <v>11614.039511938776</v>
      </c>
      <c r="R19" s="257">
        <f>R17*Assumptions!$C$10</f>
        <v>11614.039511938776</v>
      </c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4"/>
    </row>
    <row r="20" spans="4:31" s="154" customFormat="1">
      <c r="D20" s="142"/>
      <c r="E20" s="142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4"/>
      <c r="AC20" s="144"/>
      <c r="AD20" s="144"/>
      <c r="AE20" s="144"/>
    </row>
    <row r="21" spans="4:31" s="154" customFormat="1">
      <c r="D21" s="117" t="s">
        <v>0</v>
      </c>
      <c r="E21" s="117" t="s">
        <v>24</v>
      </c>
      <c r="F21" s="179">
        <v>1</v>
      </c>
      <c r="G21" s="120"/>
      <c r="H21" s="120" t="s">
        <v>32</v>
      </c>
      <c r="I21" s="120" t="s">
        <v>53</v>
      </c>
      <c r="J21" s="120" t="s">
        <v>54</v>
      </c>
      <c r="K21" s="120" t="s">
        <v>55</v>
      </c>
      <c r="L21" s="120" t="s">
        <v>56</v>
      </c>
      <c r="M21" s="120" t="s">
        <v>57</v>
      </c>
      <c r="N21" s="120" t="s">
        <v>58</v>
      </c>
      <c r="O21" s="120" t="s">
        <v>59</v>
      </c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4"/>
      <c r="AC21" s="144"/>
      <c r="AD21" s="144"/>
      <c r="AE21" s="144"/>
    </row>
    <row r="22" spans="4:31" s="154" customFormat="1">
      <c r="D22" s="140" t="s">
        <v>26</v>
      </c>
      <c r="E22" s="140" t="s">
        <v>108</v>
      </c>
      <c r="F22" s="141">
        <f>5998.71</f>
        <v>5998.71</v>
      </c>
      <c r="G22" s="176" t="s">
        <v>137</v>
      </c>
      <c r="H22" s="177">
        <v>0.5</v>
      </c>
      <c r="I22" s="141"/>
      <c r="J22" s="141"/>
      <c r="K22" s="141"/>
      <c r="L22" s="141"/>
      <c r="M22" s="141"/>
      <c r="N22" s="177">
        <v>0.5</v>
      </c>
      <c r="O22" s="177">
        <f>SUM(H22:N22)</f>
        <v>1</v>
      </c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4"/>
      <c r="AC22" s="144"/>
      <c r="AD22" s="144"/>
      <c r="AE22" s="144"/>
    </row>
    <row r="23" spans="4:31" s="144" customFormat="1">
      <c r="D23" s="142"/>
      <c r="E23" s="142"/>
      <c r="F23" s="178" t="s">
        <v>138</v>
      </c>
      <c r="G23" s="178" t="s">
        <v>139</v>
      </c>
      <c r="H23" s="178" t="s">
        <v>140</v>
      </c>
      <c r="I23" s="143"/>
      <c r="J23" s="143"/>
      <c r="K23" s="143"/>
      <c r="L23" s="143"/>
      <c r="M23" s="143"/>
      <c r="N23" s="175"/>
      <c r="O23" s="175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</row>
    <row r="24" spans="4:31" s="144" customFormat="1">
      <c r="D24" s="142"/>
      <c r="E24" s="142"/>
      <c r="F24" s="143">
        <f>F22*(1+H46)^12</f>
        <v>6150.4081197902333</v>
      </c>
      <c r="G24" s="143">
        <f>F24*(1+I46)^12</f>
        <v>6243.3011526255586</v>
      </c>
      <c r="H24" s="143">
        <f>G24*(1+J46)^12</f>
        <v>6337.5972005748854</v>
      </c>
      <c r="I24" s="143"/>
      <c r="J24" s="143"/>
      <c r="K24" s="143"/>
      <c r="L24" s="143"/>
      <c r="M24" s="143"/>
      <c r="N24" s="143"/>
      <c r="O24" s="143"/>
      <c r="P24" s="143"/>
      <c r="Q24" s="143"/>
    </row>
    <row r="25" spans="4:31" s="144" customFormat="1" ht="13.5" thickBot="1">
      <c r="D25" s="142"/>
      <c r="E25" s="142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</row>
    <row r="26" spans="4:31" ht="13.5" thickBot="1">
      <c r="F26" s="90" t="s">
        <v>173</v>
      </c>
      <c r="G26" s="90" t="s">
        <v>174</v>
      </c>
      <c r="H26" s="90" t="s">
        <v>170</v>
      </c>
      <c r="I26" s="90" t="s">
        <v>37</v>
      </c>
      <c r="J26" s="90" t="s">
        <v>37</v>
      </c>
      <c r="K26" s="90" t="s">
        <v>37</v>
      </c>
      <c r="L26" s="90" t="s">
        <v>37</v>
      </c>
      <c r="M26" s="90" t="s">
        <v>37</v>
      </c>
      <c r="N26" s="90" t="s">
        <v>37</v>
      </c>
      <c r="O26" s="90" t="s">
        <v>37</v>
      </c>
      <c r="P26" s="90" t="s">
        <v>37</v>
      </c>
      <c r="Q26" s="90" t="s">
        <v>37</v>
      </c>
      <c r="R26" s="232" t="s">
        <v>37</v>
      </c>
      <c r="S26" s="237"/>
      <c r="T26" s="237"/>
      <c r="U26" s="237"/>
      <c r="V26" s="237"/>
      <c r="W26" s="237"/>
      <c r="X26" s="237"/>
      <c r="Y26" s="237"/>
      <c r="Z26" s="237"/>
      <c r="AA26" s="237"/>
      <c r="AB26" s="237"/>
      <c r="AC26" s="237"/>
      <c r="AD26" s="237"/>
      <c r="AE26" s="144"/>
    </row>
    <row r="27" spans="4:31" ht="23.25" thickBot="1">
      <c r="F27" s="89" t="s">
        <v>38</v>
      </c>
      <c r="G27" s="89" t="s">
        <v>38</v>
      </c>
      <c r="H27" s="89" t="s">
        <v>38</v>
      </c>
      <c r="I27" s="89" t="s">
        <v>38</v>
      </c>
      <c r="J27" s="89" t="s">
        <v>38</v>
      </c>
      <c r="K27" s="89" t="s">
        <v>38</v>
      </c>
      <c r="L27" s="89" t="s">
        <v>38</v>
      </c>
      <c r="M27" s="89" t="s">
        <v>38</v>
      </c>
      <c r="N27" s="89" t="s">
        <v>38</v>
      </c>
      <c r="O27" s="89" t="s">
        <v>38</v>
      </c>
      <c r="P27" s="89" t="s">
        <v>38</v>
      </c>
      <c r="Q27" s="89" t="s">
        <v>38</v>
      </c>
      <c r="R27" s="233" t="s">
        <v>38</v>
      </c>
      <c r="S27" s="238"/>
      <c r="T27" s="238"/>
      <c r="U27" s="238"/>
      <c r="V27" s="238"/>
      <c r="W27" s="238"/>
      <c r="X27" s="238"/>
      <c r="Y27" s="238"/>
      <c r="Z27" s="238"/>
      <c r="AA27" s="238"/>
      <c r="AB27" s="238"/>
      <c r="AC27" s="238"/>
      <c r="AD27" s="238"/>
      <c r="AE27" s="144"/>
    </row>
    <row r="28" spans="4:31" ht="13.5" thickBot="1">
      <c r="F28" s="194" t="s">
        <v>172</v>
      </c>
      <c r="G28" s="36" t="s">
        <v>94</v>
      </c>
      <c r="H28" s="36" t="s">
        <v>95</v>
      </c>
      <c r="I28" s="86" t="s">
        <v>80</v>
      </c>
      <c r="J28" s="86" t="s">
        <v>81</v>
      </c>
      <c r="K28" s="86" t="s">
        <v>82</v>
      </c>
      <c r="L28" s="86" t="s">
        <v>83</v>
      </c>
      <c r="M28" s="86" t="s">
        <v>84</v>
      </c>
      <c r="N28" s="86" t="s">
        <v>85</v>
      </c>
      <c r="O28" s="86" t="s">
        <v>86</v>
      </c>
      <c r="P28" s="86" t="s">
        <v>87</v>
      </c>
      <c r="Q28" s="86" t="s">
        <v>88</v>
      </c>
      <c r="R28" s="234" t="s">
        <v>89</v>
      </c>
      <c r="S28" s="238"/>
      <c r="T28" s="238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144"/>
    </row>
    <row r="29" spans="4:31" ht="13.5" thickBot="1">
      <c r="F29" s="86" t="s">
        <v>40</v>
      </c>
      <c r="G29" s="86" t="s">
        <v>40</v>
      </c>
      <c r="H29" s="86" t="s">
        <v>40</v>
      </c>
      <c r="I29" s="86" t="s">
        <v>40</v>
      </c>
      <c r="J29" s="86" t="s">
        <v>40</v>
      </c>
      <c r="K29" s="86" t="s">
        <v>40</v>
      </c>
      <c r="L29" s="86" t="s">
        <v>40</v>
      </c>
      <c r="M29" s="86" t="s">
        <v>40</v>
      </c>
      <c r="N29" s="86" t="s">
        <v>40</v>
      </c>
      <c r="O29" s="86" t="s">
        <v>40</v>
      </c>
      <c r="P29" s="86" t="s">
        <v>40</v>
      </c>
      <c r="Q29" s="86" t="s">
        <v>40</v>
      </c>
      <c r="R29" s="234" t="s">
        <v>40</v>
      </c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D29" s="238"/>
      <c r="AE29" s="144"/>
    </row>
    <row r="30" spans="4:31" ht="45.75" thickBot="1">
      <c r="E30" s="44" t="s">
        <v>62</v>
      </c>
      <c r="F30" s="47">
        <f>SUM(F17:F19)+($H$24*$H$22)</f>
        <v>36757.683618934672</v>
      </c>
      <c r="G30" s="47">
        <f t="shared" ref="G30:R30" si="4">SUM(G17:G19)+($H$24*$H$22)</f>
        <v>36759.426818942622</v>
      </c>
      <c r="H30" s="47">
        <f t="shared" si="4"/>
        <v>36761.170018950565</v>
      </c>
      <c r="I30" s="47">
        <f t="shared" si="4"/>
        <v>36762.913218958507</v>
      </c>
      <c r="J30" s="47">
        <f t="shared" si="4"/>
        <v>36762.913218958507</v>
      </c>
      <c r="K30" s="47">
        <f t="shared" si="4"/>
        <v>36762.913218958507</v>
      </c>
      <c r="L30" s="47">
        <f t="shared" si="4"/>
        <v>36762.913218958507</v>
      </c>
      <c r="M30" s="47">
        <f t="shared" si="4"/>
        <v>36762.913218958507</v>
      </c>
      <c r="N30" s="47">
        <f t="shared" si="4"/>
        <v>37770.736657518639</v>
      </c>
      <c r="O30" s="47">
        <f t="shared" si="4"/>
        <v>37770.736657518639</v>
      </c>
      <c r="P30" s="47">
        <f t="shared" si="4"/>
        <v>37770.736657518639</v>
      </c>
      <c r="Q30" s="47">
        <f t="shared" si="4"/>
        <v>37770.736657518639</v>
      </c>
      <c r="R30" s="207">
        <f t="shared" si="4"/>
        <v>37770.736657518639</v>
      </c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144"/>
    </row>
    <row r="31" spans="4:31" ht="15.75" thickBot="1">
      <c r="E31" s="45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144"/>
    </row>
    <row r="32" spans="4:31" ht="13.5" thickBot="1">
      <c r="E32" s="44" t="s">
        <v>63</v>
      </c>
      <c r="F32" s="48">
        <f>G7+(F21*H22)</f>
        <v>4.5</v>
      </c>
      <c r="G32" s="48">
        <f t="shared" ref="G32:I32" si="5">F32</f>
        <v>4.5</v>
      </c>
      <c r="H32" s="48">
        <f t="shared" si="5"/>
        <v>4.5</v>
      </c>
      <c r="I32" s="48">
        <f t="shared" si="5"/>
        <v>4.5</v>
      </c>
      <c r="J32" s="48">
        <f>I32</f>
        <v>4.5</v>
      </c>
      <c r="K32" s="48">
        <f t="shared" ref="K32:R32" si="6">J32</f>
        <v>4.5</v>
      </c>
      <c r="L32" s="48">
        <f t="shared" si="6"/>
        <v>4.5</v>
      </c>
      <c r="M32" s="48">
        <f t="shared" si="6"/>
        <v>4.5</v>
      </c>
      <c r="N32" s="48">
        <f t="shared" si="6"/>
        <v>4.5</v>
      </c>
      <c r="O32" s="48">
        <f t="shared" si="6"/>
        <v>4.5</v>
      </c>
      <c r="P32" s="48">
        <f t="shared" si="6"/>
        <v>4.5</v>
      </c>
      <c r="Q32" s="48">
        <f t="shared" si="6"/>
        <v>4.5</v>
      </c>
      <c r="R32" s="138">
        <f t="shared" si="6"/>
        <v>4.5</v>
      </c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144"/>
    </row>
    <row r="33" spans="3:31" ht="23.25" thickBot="1">
      <c r="E33" s="44" t="s">
        <v>64</v>
      </c>
      <c r="F33" s="46">
        <v>173.33333333333334</v>
      </c>
      <c r="G33" s="46">
        <v>173.33333333333334</v>
      </c>
      <c r="H33" s="46">
        <v>173.33333333333334</v>
      </c>
      <c r="I33" s="46">
        <v>173.33333333333334</v>
      </c>
      <c r="J33" s="46">
        <v>173.33333333333334</v>
      </c>
      <c r="K33" s="46">
        <v>173.33333333333334</v>
      </c>
      <c r="L33" s="46">
        <v>173.33333333333334</v>
      </c>
      <c r="M33" s="46">
        <v>173.33333333333334</v>
      </c>
      <c r="N33" s="46">
        <v>173.33333333333334</v>
      </c>
      <c r="O33" s="46">
        <v>173.33333333333334</v>
      </c>
      <c r="P33" s="46">
        <v>173.33333333333334</v>
      </c>
      <c r="Q33" s="46">
        <v>173.33333333333334</v>
      </c>
      <c r="R33" s="208">
        <v>173.33333333333334</v>
      </c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144"/>
    </row>
    <row r="34" spans="3:31" ht="23.25" thickBot="1">
      <c r="E34" s="44" t="s">
        <v>65</v>
      </c>
      <c r="F34" s="46">
        <f t="shared" ref="F34:H34" si="7">F32*F33</f>
        <v>780</v>
      </c>
      <c r="G34" s="46">
        <f t="shared" si="7"/>
        <v>780</v>
      </c>
      <c r="H34" s="46">
        <f t="shared" si="7"/>
        <v>780</v>
      </c>
      <c r="I34" s="46">
        <f>I32*I33</f>
        <v>780</v>
      </c>
      <c r="J34" s="46">
        <f t="shared" ref="J34:R34" si="8">J32*J33</f>
        <v>780</v>
      </c>
      <c r="K34" s="46">
        <f t="shared" si="8"/>
        <v>780</v>
      </c>
      <c r="L34" s="46">
        <f t="shared" si="8"/>
        <v>780</v>
      </c>
      <c r="M34" s="46">
        <f t="shared" si="8"/>
        <v>780</v>
      </c>
      <c r="N34" s="46">
        <f t="shared" si="8"/>
        <v>780</v>
      </c>
      <c r="O34" s="46">
        <f t="shared" si="8"/>
        <v>780</v>
      </c>
      <c r="P34" s="46">
        <f t="shared" si="8"/>
        <v>780</v>
      </c>
      <c r="Q34" s="46">
        <f t="shared" si="8"/>
        <v>780</v>
      </c>
      <c r="R34" s="208">
        <f t="shared" si="8"/>
        <v>780</v>
      </c>
      <c r="S34" s="220"/>
      <c r="T34" s="220"/>
      <c r="U34" s="220">
        <f>SUM(F34:Q34)</f>
        <v>9360</v>
      </c>
      <c r="V34" s="220"/>
      <c r="W34" s="220"/>
      <c r="X34" s="220"/>
      <c r="Y34" s="220"/>
      <c r="Z34" s="220"/>
      <c r="AA34" s="220"/>
      <c r="AB34" s="220"/>
      <c r="AC34" s="220"/>
      <c r="AD34" s="220"/>
      <c r="AE34" s="144"/>
    </row>
    <row r="35" spans="3:31" ht="15.75" thickBot="1"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8"/>
      <c r="AD35" s="218"/>
      <c r="AE35" s="144"/>
    </row>
    <row r="36" spans="3:31" ht="34.5" thickBot="1">
      <c r="E36" s="44" t="s">
        <v>66</v>
      </c>
      <c r="F36" s="48">
        <f t="shared" ref="F36:H36" si="9">F30/F34</f>
        <v>47.125235408890603</v>
      </c>
      <c r="G36" s="48">
        <f t="shared" si="9"/>
        <v>47.127470280695668</v>
      </c>
      <c r="H36" s="48">
        <f t="shared" si="9"/>
        <v>47.129705152500726</v>
      </c>
      <c r="I36" s="48">
        <f>I30/I34</f>
        <v>47.131940024305777</v>
      </c>
      <c r="J36" s="48">
        <f t="shared" ref="J36:R36" si="10">J30/J34</f>
        <v>47.131940024305777</v>
      </c>
      <c r="K36" s="48">
        <f t="shared" si="10"/>
        <v>47.131940024305777</v>
      </c>
      <c r="L36" s="48">
        <f t="shared" si="10"/>
        <v>47.131940024305777</v>
      </c>
      <c r="M36" s="48">
        <f t="shared" si="10"/>
        <v>47.131940024305777</v>
      </c>
      <c r="N36" s="48">
        <f t="shared" si="10"/>
        <v>48.42402135579313</v>
      </c>
      <c r="O36" s="48">
        <f t="shared" si="10"/>
        <v>48.42402135579313</v>
      </c>
      <c r="P36" s="48">
        <f t="shared" si="10"/>
        <v>48.42402135579313</v>
      </c>
      <c r="Q36" s="48">
        <f t="shared" si="10"/>
        <v>48.42402135579313</v>
      </c>
      <c r="R36" s="138">
        <f t="shared" si="10"/>
        <v>48.42402135579313</v>
      </c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144"/>
    </row>
    <row r="37" spans="3:31" ht="13.5" thickBot="1"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</row>
    <row r="38" spans="3:31">
      <c r="F38" s="148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50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</row>
    <row r="39" spans="3:31">
      <c r="E39" s="30"/>
      <c r="F39" s="151">
        <f>F36*(1+$J$47)</f>
        <v>47.125235408890603</v>
      </c>
      <c r="G39" s="139">
        <f t="shared" ref="G39:H39" si="11">G36*(1+$J$47)</f>
        <v>47.127470280695668</v>
      </c>
      <c r="H39" s="139">
        <f t="shared" si="11"/>
        <v>47.129705152500726</v>
      </c>
      <c r="I39" s="139">
        <f>I36*(1+$K$47)</f>
        <v>47.131940024305777</v>
      </c>
      <c r="J39" s="139">
        <f t="shared" ref="J39:R39" si="12">J36*(1+$K$47)</f>
        <v>47.131940024305777</v>
      </c>
      <c r="K39" s="139">
        <f t="shared" si="12"/>
        <v>47.131940024305777</v>
      </c>
      <c r="L39" s="139">
        <f t="shared" si="12"/>
        <v>47.131940024305777</v>
      </c>
      <c r="M39" s="139">
        <f t="shared" si="12"/>
        <v>47.131940024305777</v>
      </c>
      <c r="N39" s="139">
        <f t="shared" si="12"/>
        <v>48.42402135579313</v>
      </c>
      <c r="O39" s="139">
        <f t="shared" si="12"/>
        <v>48.42402135579313</v>
      </c>
      <c r="P39" s="139">
        <f t="shared" si="12"/>
        <v>48.42402135579313</v>
      </c>
      <c r="Q39" s="152">
        <f t="shared" si="12"/>
        <v>48.42402135579313</v>
      </c>
      <c r="R39" s="130">
        <f t="shared" si="12"/>
        <v>48.42402135579313</v>
      </c>
      <c r="S39" s="221"/>
      <c r="T39" s="221"/>
      <c r="U39" s="131">
        <f>AVERAGE(F39:Q39)</f>
        <v>47.561516365565694</v>
      </c>
      <c r="V39" s="30" t="s">
        <v>177</v>
      </c>
      <c r="X39" s="221"/>
      <c r="Y39" s="221"/>
      <c r="Z39" s="221"/>
      <c r="AA39" s="221"/>
      <c r="AB39" s="221"/>
      <c r="AC39" s="221"/>
      <c r="AD39" s="221"/>
      <c r="AE39" s="144"/>
    </row>
    <row r="40" spans="3:31">
      <c r="E40" s="30"/>
      <c r="F40" s="223"/>
      <c r="G40" s="129"/>
      <c r="H40" s="129"/>
      <c r="I40" s="129"/>
      <c r="J40" s="139"/>
      <c r="K40" s="139"/>
      <c r="L40" s="139"/>
      <c r="M40" s="139"/>
      <c r="N40" s="139"/>
      <c r="O40" s="139"/>
      <c r="P40" s="139"/>
      <c r="Q40" s="152"/>
      <c r="R40" s="130"/>
      <c r="S40" s="221"/>
      <c r="T40" s="221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</row>
    <row r="41" spans="3:31" ht="13.5" thickBot="1">
      <c r="E41" s="30"/>
      <c r="F41" s="127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225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</row>
    <row r="42" spans="3:31">
      <c r="E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</row>
    <row r="43" spans="3:31">
      <c r="E43" s="30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</row>
    <row r="44" spans="3:31">
      <c r="C44" s="189" t="s">
        <v>109</v>
      </c>
      <c r="E44" s="30"/>
      <c r="H44" s="79">
        <v>2017</v>
      </c>
      <c r="I44" s="79">
        <v>2018</v>
      </c>
      <c r="J44" s="79">
        <v>2019</v>
      </c>
      <c r="K44" s="79">
        <v>2020</v>
      </c>
      <c r="L44" s="79">
        <v>2021</v>
      </c>
      <c r="M44" s="79">
        <v>2022</v>
      </c>
      <c r="N44" s="79">
        <v>2023</v>
      </c>
      <c r="O44" s="79">
        <v>2024</v>
      </c>
      <c r="P44" s="196"/>
      <c r="Q44" s="196"/>
      <c r="R44" s="196"/>
    </row>
    <row r="45" spans="3:31" ht="18">
      <c r="C45" s="190" t="s">
        <v>110</v>
      </c>
      <c r="E45" s="30"/>
      <c r="H45" s="135" t="s">
        <v>113</v>
      </c>
      <c r="I45" s="135" t="s">
        <v>114</v>
      </c>
      <c r="J45" s="135" t="s">
        <v>115</v>
      </c>
      <c r="K45" s="135" t="s">
        <v>116</v>
      </c>
      <c r="L45" s="135" t="s">
        <v>117</v>
      </c>
      <c r="M45" s="135" t="s">
        <v>118</v>
      </c>
      <c r="N45" s="135" t="s">
        <v>119</v>
      </c>
      <c r="O45" s="198" t="s">
        <v>120</v>
      </c>
      <c r="P45" s="197"/>
      <c r="Q45" s="197"/>
      <c r="R45" s="197"/>
    </row>
    <row r="46" spans="3:31">
      <c r="C46" s="191" t="s">
        <v>111</v>
      </c>
      <c r="E46" s="30"/>
      <c r="H46" s="137">
        <f>(2.5/12)/100</f>
        <v>2.0833333333333333E-3</v>
      </c>
      <c r="I46" s="137">
        <f t="shared" ref="I46" si="13">(1.5/12)/100</f>
        <v>1.25E-3</v>
      </c>
      <c r="J46" s="137">
        <f>(1.5/12)/100</f>
        <v>1.25E-3</v>
      </c>
      <c r="K46" s="137">
        <f>(3.9/12)/100</f>
        <v>3.2500000000000003E-3</v>
      </c>
      <c r="L46" s="137">
        <f>(3.2/12)/100</f>
        <v>2.6666666666666666E-3</v>
      </c>
      <c r="M46" s="30"/>
      <c r="N46" s="30"/>
      <c r="O46" s="30"/>
      <c r="P46" s="129"/>
      <c r="Q46" s="129"/>
      <c r="R46" s="129"/>
    </row>
    <row r="47" spans="3:31">
      <c r="C47" s="192" t="s">
        <v>112</v>
      </c>
      <c r="J47" s="137">
        <v>0</v>
      </c>
      <c r="K47" s="137">
        <v>0</v>
      </c>
      <c r="O47" s="129"/>
      <c r="P47" s="129"/>
      <c r="Q47" s="129"/>
      <c r="R47" s="129"/>
    </row>
    <row r="48" spans="3:31">
      <c r="C48" s="136" t="s">
        <v>125</v>
      </c>
      <c r="D48" s="30"/>
    </row>
    <row r="49" spans="4:4">
      <c r="D49" s="30"/>
    </row>
  </sheetData>
  <pageMargins left="0.7" right="0.7" top="0.75" bottom="0.75" header="0.3" footer="0.3"/>
  <pageSetup orientation="portrait" horizontalDpi="0" verticalDpi="0" r:id="rId1"/>
  <headerFooter>
    <oddHeader>&amp;RExh. RJW-2 Wyman WP4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61"/>
  <sheetViews>
    <sheetView zoomScaleNormal="100" workbookViewId="0">
      <selection activeCell="B67" sqref="B67"/>
    </sheetView>
  </sheetViews>
  <sheetFormatPr defaultRowHeight="12.75"/>
  <cols>
    <col min="4" max="4" width="29" bestFit="1" customWidth="1"/>
    <col min="6" max="6" width="12" bestFit="1" customWidth="1"/>
    <col min="7" max="7" width="13.83203125" bestFit="1" customWidth="1"/>
    <col min="8" max="17" width="12" bestFit="1" customWidth="1"/>
    <col min="18" max="26" width="9.6640625" bestFit="1" customWidth="1"/>
    <col min="27" max="27" width="9.6640625" customWidth="1"/>
  </cols>
  <sheetData>
    <row r="1" spans="1:17" s="30" customFormat="1"/>
    <row r="2" spans="1:17">
      <c r="A2" s="174" t="s">
        <v>167</v>
      </c>
    </row>
    <row r="3" spans="1:17" s="30" customFormat="1">
      <c r="A3" s="174"/>
    </row>
    <row r="4" spans="1:17">
      <c r="C4" s="117" t="s">
        <v>51</v>
      </c>
      <c r="D4" s="117" t="str">
        <f>"EMPLOYEE"&amp;13600&amp;-1</f>
        <v>EMPLOYEE13600-1</v>
      </c>
      <c r="F4" s="118">
        <v>1</v>
      </c>
      <c r="G4" s="119">
        <v>1</v>
      </c>
    </row>
    <row r="5" spans="1:17">
      <c r="C5" s="117" t="s">
        <v>28</v>
      </c>
      <c r="D5" s="117" t="str">
        <f>"EMPLOYEE"&amp;13600&amp;-2</f>
        <v>EMPLOYEE13600-2</v>
      </c>
      <c r="F5" s="118">
        <v>1</v>
      </c>
      <c r="G5" s="119">
        <v>1</v>
      </c>
    </row>
    <row r="6" spans="1:17">
      <c r="C6" s="117" t="s">
        <v>108</v>
      </c>
      <c r="D6" s="117" t="str">
        <f>"EMPLOYEE"&amp;13600&amp;-3</f>
        <v>EMPLOYEE13600-3</v>
      </c>
      <c r="F6" s="118">
        <v>1</v>
      </c>
      <c r="G6" s="119">
        <v>1</v>
      </c>
    </row>
    <row r="9" spans="1:17">
      <c r="C9" s="110" t="s">
        <v>1</v>
      </c>
      <c r="D9" s="106" t="s">
        <v>2</v>
      </c>
      <c r="E9" s="106" t="s">
        <v>80</v>
      </c>
    </row>
    <row r="10" spans="1:17">
      <c r="C10" s="106" t="s">
        <v>97</v>
      </c>
      <c r="D10" s="108">
        <v>1</v>
      </c>
      <c r="E10" s="111">
        <v>3</v>
      </c>
    </row>
    <row r="11" spans="1:17">
      <c r="C11" s="106" t="s">
        <v>16</v>
      </c>
      <c r="D11" s="108">
        <v>8</v>
      </c>
      <c r="E11" s="111">
        <v>6</v>
      </c>
    </row>
    <row r="12" spans="1:17">
      <c r="C12" s="106" t="s">
        <v>98</v>
      </c>
      <c r="D12" s="108">
        <v>2</v>
      </c>
      <c r="E12" s="111">
        <v>2</v>
      </c>
    </row>
    <row r="13" spans="1:17">
      <c r="C13" s="106" t="s">
        <v>101</v>
      </c>
      <c r="D13" s="108">
        <v>1</v>
      </c>
      <c r="E13" s="111">
        <v>1</v>
      </c>
    </row>
    <row r="14" spans="1:17">
      <c r="C14" s="107" t="s">
        <v>17</v>
      </c>
      <c r="D14" s="109">
        <v>12</v>
      </c>
      <c r="E14" s="109">
        <v>12</v>
      </c>
    </row>
    <row r="16" spans="1:17">
      <c r="F16" s="103">
        <v>1.4999999999999999E-2</v>
      </c>
      <c r="G16" s="103">
        <v>1.4999999999999999E-2</v>
      </c>
      <c r="H16" s="103">
        <v>1.4999999999999999E-2</v>
      </c>
      <c r="I16" s="103">
        <v>1.4999999999999999E-2</v>
      </c>
      <c r="J16" s="103">
        <v>1.4999999999999999E-2</v>
      </c>
      <c r="K16" s="93">
        <v>0.02</v>
      </c>
      <c r="L16" s="93">
        <v>0.02</v>
      </c>
      <c r="M16" s="93">
        <v>0.02</v>
      </c>
      <c r="N16" s="93">
        <v>0.02</v>
      </c>
      <c r="O16" s="93">
        <v>0.02</v>
      </c>
      <c r="P16" s="93">
        <v>0.02</v>
      </c>
      <c r="Q16" s="93">
        <v>0.02</v>
      </c>
    </row>
    <row r="17" spans="4:31">
      <c r="F17" s="93">
        <v>0.02</v>
      </c>
      <c r="G17" s="93">
        <v>0.02</v>
      </c>
      <c r="H17" s="93">
        <v>0.02</v>
      </c>
      <c r="I17" s="93">
        <v>0.02</v>
      </c>
      <c r="J17" s="93">
        <v>0.02</v>
      </c>
      <c r="K17" s="103">
        <v>0.03</v>
      </c>
      <c r="L17" s="103">
        <v>0.03</v>
      </c>
      <c r="M17" s="103">
        <v>0.03</v>
      </c>
      <c r="N17" s="103">
        <v>0.03</v>
      </c>
      <c r="O17" s="103">
        <v>0.03</v>
      </c>
      <c r="P17" s="103">
        <v>0.03</v>
      </c>
      <c r="Q17" s="103">
        <v>0.03</v>
      </c>
    </row>
    <row r="18" spans="4:31"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</row>
    <row r="19" spans="4:31">
      <c r="F19" s="115">
        <v>50341.65</v>
      </c>
      <c r="G19" s="115">
        <v>50341.65</v>
      </c>
      <c r="H19" s="115">
        <v>50341.65</v>
      </c>
      <c r="I19" s="115">
        <v>50341.65</v>
      </c>
      <c r="J19" s="115">
        <v>50341.65</v>
      </c>
      <c r="K19" s="115">
        <v>50341.65</v>
      </c>
      <c r="L19" s="115">
        <v>50341.65</v>
      </c>
      <c r="M19" s="115">
        <v>50341.65</v>
      </c>
      <c r="N19" s="115">
        <v>50341.65</v>
      </c>
      <c r="O19" s="115">
        <v>50341.65</v>
      </c>
      <c r="P19" s="115">
        <v>50341.65</v>
      </c>
      <c r="Q19" s="115">
        <v>50341.65</v>
      </c>
    </row>
    <row r="20" spans="4:31">
      <c r="F20" s="30">
        <f>F19*(1+F16)</f>
        <v>51096.774749999997</v>
      </c>
      <c r="G20" s="30">
        <f>F20</f>
        <v>51096.774749999997</v>
      </c>
      <c r="H20" s="30">
        <f>G20</f>
        <v>51096.774749999997</v>
      </c>
      <c r="I20" s="30">
        <f>H20</f>
        <v>51096.774749999997</v>
      </c>
      <c r="J20" s="30">
        <f>I20</f>
        <v>51096.774749999997</v>
      </c>
      <c r="K20" s="30">
        <f>J20*(1+K16)</f>
        <v>52118.710244999995</v>
      </c>
      <c r="L20" s="30">
        <f t="shared" ref="L20:M20" si="0">K20*(1+L16)</f>
        <v>53161.084449899994</v>
      </c>
      <c r="M20" s="30">
        <f t="shared" si="0"/>
        <v>54224.306138897991</v>
      </c>
      <c r="N20" s="30">
        <f>M20</f>
        <v>54224.306138897991</v>
      </c>
      <c r="O20" s="30">
        <f t="shared" ref="O20:Q20" si="1">N20</f>
        <v>54224.306138897991</v>
      </c>
      <c r="P20" s="30">
        <f t="shared" si="1"/>
        <v>54224.306138897991</v>
      </c>
      <c r="Q20" s="30">
        <f t="shared" si="1"/>
        <v>54224.306138897991</v>
      </c>
    </row>
    <row r="21" spans="4:31">
      <c r="F21" s="30">
        <f>Q20</f>
        <v>54224.306138897991</v>
      </c>
      <c r="G21" s="30">
        <f>F21</f>
        <v>54224.306138897991</v>
      </c>
      <c r="H21" s="30">
        <f t="shared" ref="H21:J21" si="2">G21</f>
        <v>54224.306138897991</v>
      </c>
      <c r="I21" s="30">
        <f t="shared" si="2"/>
        <v>54224.306138897991</v>
      </c>
      <c r="J21" s="30">
        <f t="shared" si="2"/>
        <v>54224.306138897991</v>
      </c>
      <c r="K21" s="30">
        <f>J21*(1+K17)</f>
        <v>55851.035323064934</v>
      </c>
      <c r="L21" s="30">
        <f>K21</f>
        <v>55851.035323064934</v>
      </c>
      <c r="M21" s="30">
        <f t="shared" ref="M21:Q21" si="3">L21</f>
        <v>55851.035323064934</v>
      </c>
      <c r="N21" s="30">
        <f t="shared" si="3"/>
        <v>55851.035323064934</v>
      </c>
      <c r="O21" s="30">
        <f t="shared" si="3"/>
        <v>55851.035323064934</v>
      </c>
      <c r="P21" s="30">
        <f t="shared" si="3"/>
        <v>55851.035323064934</v>
      </c>
      <c r="Q21" s="30">
        <f t="shared" si="3"/>
        <v>55851.035323064934</v>
      </c>
    </row>
    <row r="24" spans="4:31">
      <c r="F24" s="120">
        <v>22764.94</v>
      </c>
      <c r="G24" s="120">
        <v>22764.94</v>
      </c>
      <c r="H24" s="120">
        <v>22764.94</v>
      </c>
      <c r="I24" s="120">
        <v>22764.94</v>
      </c>
      <c r="J24" s="120">
        <v>22764.94</v>
      </c>
      <c r="K24" s="120">
        <v>22764.94</v>
      </c>
      <c r="L24" s="120">
        <v>22764.94</v>
      </c>
      <c r="M24" s="120">
        <v>22764.94</v>
      </c>
      <c r="N24" s="120">
        <v>22764.94</v>
      </c>
      <c r="O24" s="120">
        <v>22764.94</v>
      </c>
      <c r="P24" s="120">
        <v>22764.94</v>
      </c>
      <c r="Q24" s="120">
        <v>22764.94</v>
      </c>
    </row>
    <row r="25" spans="4:31">
      <c r="F25" s="116">
        <f>F24</f>
        <v>22764.94</v>
      </c>
      <c r="G25" s="116">
        <f t="shared" ref="G25" si="4">G24</f>
        <v>22764.94</v>
      </c>
      <c r="H25" s="116">
        <f>H24*(1+0.03)</f>
        <v>23447.888199999998</v>
      </c>
      <c r="I25" s="116">
        <f t="shared" ref="I25:Q25" si="5">I24*(1+0.03)</f>
        <v>23447.888199999998</v>
      </c>
      <c r="J25" s="116">
        <f t="shared" si="5"/>
        <v>23447.888199999998</v>
      </c>
      <c r="K25" s="116">
        <f t="shared" si="5"/>
        <v>23447.888199999998</v>
      </c>
      <c r="L25" s="116">
        <f t="shared" si="5"/>
        <v>23447.888199999998</v>
      </c>
      <c r="M25" s="116">
        <f t="shared" si="5"/>
        <v>23447.888199999998</v>
      </c>
      <c r="N25" s="116">
        <f t="shared" si="5"/>
        <v>23447.888199999998</v>
      </c>
      <c r="O25" s="116">
        <f t="shared" si="5"/>
        <v>23447.888199999998</v>
      </c>
      <c r="P25" s="116">
        <f t="shared" si="5"/>
        <v>23447.888199999998</v>
      </c>
      <c r="Q25" s="116">
        <f t="shared" si="5"/>
        <v>23447.888199999998</v>
      </c>
    </row>
    <row r="26" spans="4:31">
      <c r="F26" s="116">
        <f>Q25</f>
        <v>23447.888199999998</v>
      </c>
      <c r="G26" s="116">
        <f>F26</f>
        <v>23447.888199999998</v>
      </c>
      <c r="H26">
        <f>G26*(1.03)</f>
        <v>24151.324846</v>
      </c>
      <c r="I26">
        <f>H26</f>
        <v>24151.324846</v>
      </c>
      <c r="J26" s="30">
        <f t="shared" ref="J26:Q26" si="6">I26</f>
        <v>24151.324846</v>
      </c>
      <c r="K26" s="30">
        <f t="shared" si="6"/>
        <v>24151.324846</v>
      </c>
      <c r="L26" s="30">
        <f t="shared" si="6"/>
        <v>24151.324846</v>
      </c>
      <c r="M26" s="30">
        <f t="shared" si="6"/>
        <v>24151.324846</v>
      </c>
      <c r="N26" s="30">
        <f t="shared" si="6"/>
        <v>24151.324846</v>
      </c>
      <c r="O26" s="30">
        <f t="shared" si="6"/>
        <v>24151.324846</v>
      </c>
      <c r="P26" s="30">
        <f t="shared" si="6"/>
        <v>24151.324846</v>
      </c>
      <c r="Q26" s="30">
        <f t="shared" si="6"/>
        <v>24151.324846</v>
      </c>
    </row>
    <row r="28" spans="4:31"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</row>
    <row r="29" spans="4:31">
      <c r="D29" s="112" t="s">
        <v>27</v>
      </c>
      <c r="E29" s="112" t="s">
        <v>26</v>
      </c>
      <c r="F29" s="120">
        <f t="shared" ref="F29:G29" si="7">G29</f>
        <v>23447.888199999998</v>
      </c>
      <c r="G29" s="120">
        <f t="shared" si="7"/>
        <v>23447.888199999998</v>
      </c>
      <c r="H29" s="120">
        <f>I29</f>
        <v>23447.888199999998</v>
      </c>
      <c r="I29" s="115">
        <f t="shared" ref="I29:R29" si="8">F26</f>
        <v>23447.888199999998</v>
      </c>
      <c r="J29" s="120">
        <f t="shared" si="8"/>
        <v>23447.888199999998</v>
      </c>
      <c r="K29" s="120">
        <f t="shared" si="8"/>
        <v>24151.324846</v>
      </c>
      <c r="L29" s="120">
        <f t="shared" si="8"/>
        <v>24151.324846</v>
      </c>
      <c r="M29" s="120">
        <f t="shared" si="8"/>
        <v>24151.324846</v>
      </c>
      <c r="N29" s="120">
        <f t="shared" si="8"/>
        <v>24151.324846</v>
      </c>
      <c r="O29" s="120">
        <f t="shared" si="8"/>
        <v>24151.324846</v>
      </c>
      <c r="P29" s="120">
        <f t="shared" si="8"/>
        <v>24151.324846</v>
      </c>
      <c r="Q29" s="120">
        <f t="shared" si="8"/>
        <v>24151.324846</v>
      </c>
      <c r="R29" s="256">
        <f t="shared" si="8"/>
        <v>24151.324846</v>
      </c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4"/>
    </row>
    <row r="30" spans="4:31">
      <c r="D30" s="112" t="s">
        <v>102</v>
      </c>
      <c r="E30" s="112" t="s">
        <v>103</v>
      </c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258"/>
      <c r="S30" s="259"/>
      <c r="T30" s="259"/>
      <c r="U30" s="259"/>
      <c r="V30" s="259"/>
      <c r="W30" s="259"/>
      <c r="X30" s="259"/>
      <c r="Y30" s="259"/>
      <c r="Z30" s="259"/>
      <c r="AA30" s="259"/>
      <c r="AB30" s="259"/>
      <c r="AC30" s="259"/>
      <c r="AD30" s="259"/>
      <c r="AE30" s="144"/>
    </row>
    <row r="31" spans="4:31">
      <c r="D31" s="112" t="s">
        <v>33</v>
      </c>
      <c r="E31" s="112" t="s">
        <v>15</v>
      </c>
      <c r="F31" s="120">
        <f t="shared" ref="F31:G31" si="9">G31</f>
        <v>54224.306138897991</v>
      </c>
      <c r="G31" s="120">
        <f t="shared" si="9"/>
        <v>54224.306138897991</v>
      </c>
      <c r="H31" s="120">
        <f>I31</f>
        <v>54224.306138897991</v>
      </c>
      <c r="I31" s="115">
        <f t="shared" ref="I31:R31" si="10">F21</f>
        <v>54224.306138897991</v>
      </c>
      <c r="J31" s="115">
        <f t="shared" si="10"/>
        <v>54224.306138897991</v>
      </c>
      <c r="K31" s="115">
        <f t="shared" si="10"/>
        <v>54224.306138897991</v>
      </c>
      <c r="L31" s="115">
        <f t="shared" si="10"/>
        <v>54224.306138897991</v>
      </c>
      <c r="M31" s="115">
        <f t="shared" si="10"/>
        <v>54224.306138897991</v>
      </c>
      <c r="N31" s="115">
        <f t="shared" si="10"/>
        <v>55851.035323064934</v>
      </c>
      <c r="O31" s="115">
        <f t="shared" si="10"/>
        <v>55851.035323064934</v>
      </c>
      <c r="P31" s="115">
        <f t="shared" si="10"/>
        <v>55851.035323064934</v>
      </c>
      <c r="Q31" s="115">
        <f t="shared" si="10"/>
        <v>55851.035323064934</v>
      </c>
      <c r="R31" s="256">
        <f t="shared" si="10"/>
        <v>55851.035323064934</v>
      </c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4"/>
    </row>
    <row r="32" spans="4:31">
      <c r="D32" s="112" t="s">
        <v>34</v>
      </c>
      <c r="E32" s="112" t="s">
        <v>22</v>
      </c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258"/>
      <c r="S32" s="259"/>
      <c r="T32" s="259"/>
      <c r="U32" s="259"/>
      <c r="V32" s="259"/>
      <c r="W32" s="259"/>
      <c r="X32" s="259"/>
      <c r="Y32" s="259"/>
      <c r="Z32" s="259"/>
      <c r="AA32" s="259"/>
      <c r="AB32" s="259"/>
      <c r="AC32" s="259"/>
      <c r="AD32" s="259"/>
      <c r="AE32" s="144"/>
    </row>
    <row r="33" spans="4:31">
      <c r="D33" s="112" t="s">
        <v>104</v>
      </c>
      <c r="E33" s="112" t="s">
        <v>105</v>
      </c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258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144"/>
    </row>
    <row r="34" spans="4:31">
      <c r="D34" s="112" t="s">
        <v>45</v>
      </c>
      <c r="E34" s="112" t="s">
        <v>44</v>
      </c>
      <c r="F34" s="120">
        <f>SUM(F29:F31)*Assumptions!$C$9</f>
        <v>12279.974963494997</v>
      </c>
      <c r="G34" s="120">
        <f>SUM(G29:G31)*Assumptions!$C$9</f>
        <v>12279.974963494997</v>
      </c>
      <c r="H34" s="120">
        <f>SUM(H29:H31)*Assumptions!$C$9</f>
        <v>12279.974963494997</v>
      </c>
      <c r="I34" s="115">
        <f>SUM(I29:I31)*Assumptions!$C$9</f>
        <v>12279.974963494997</v>
      </c>
      <c r="J34" s="115">
        <f>SUM(J29:J31)*Assumptions!$C$9</f>
        <v>12279.974963494997</v>
      </c>
      <c r="K34" s="115">
        <f>SUM(K29:K31)*Assumptions!$C$9</f>
        <v>12391.188306632888</v>
      </c>
      <c r="L34" s="115">
        <f>SUM(L29:L31)*Assumptions!$C$9</f>
        <v>12391.188306632888</v>
      </c>
      <c r="M34" s="115">
        <f>SUM(M29:M31)*Assumptions!$C$9</f>
        <v>12391.188306632888</v>
      </c>
      <c r="N34" s="115">
        <f>SUM(N29:N31)*Assumptions!$C$9</f>
        <v>12648.374212399849</v>
      </c>
      <c r="O34" s="115">
        <f>SUM(O29:O31)*Assumptions!$C$9</f>
        <v>12648.374212399849</v>
      </c>
      <c r="P34" s="115">
        <f>SUM(P29:P31)*Assumptions!$C$9</f>
        <v>12648.374212399849</v>
      </c>
      <c r="Q34" s="115">
        <f>SUM(Q29:Q31)*Assumptions!$C$9</f>
        <v>12648.374212399849</v>
      </c>
      <c r="R34" s="256">
        <f>SUM(R29:R31)*Assumptions!$C$9</f>
        <v>12648.374212399849</v>
      </c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4"/>
    </row>
    <row r="35" spans="4:31">
      <c r="D35" s="112" t="s">
        <v>99</v>
      </c>
      <c r="E35" s="112" t="s">
        <v>100</v>
      </c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258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144"/>
    </row>
    <row r="36" spans="4:31">
      <c r="D36" s="112" t="s">
        <v>47</v>
      </c>
      <c r="E36" s="112" t="s">
        <v>46</v>
      </c>
      <c r="F36" s="120">
        <f>(F29+F31)*Assumptions!$C$10</f>
        <v>45446.000486048746</v>
      </c>
      <c r="G36" s="120">
        <f>(G29+G31)*Assumptions!$C$10</f>
        <v>45446.000486048746</v>
      </c>
      <c r="H36" s="120">
        <f>(H29+H31)*Assumptions!$C$10</f>
        <v>45446.000486048746</v>
      </c>
      <c r="I36" s="115">
        <f>(I29+I31)*Assumptions!$C$10</f>
        <v>45446.000486048746</v>
      </c>
      <c r="J36" s="115">
        <f>(J29+J31)*Assumptions!$C$10</f>
        <v>45446.000486048746</v>
      </c>
      <c r="K36" s="115">
        <f>(K29+K31)*Assumptions!$C$10</f>
        <v>45857.581263804772</v>
      </c>
      <c r="L36" s="115">
        <f>(L29+L31)*Assumptions!$C$10</f>
        <v>45857.581263804772</v>
      </c>
      <c r="M36" s="115">
        <f>(M29+M31)*Assumptions!$C$10</f>
        <v>45857.581263804772</v>
      </c>
      <c r="N36" s="115">
        <f>(N29+N31)*Assumptions!$C$10</f>
        <v>46809.380500630214</v>
      </c>
      <c r="O36" s="115">
        <f>(O29+O31)*Assumptions!$C$10</f>
        <v>46809.380500630214</v>
      </c>
      <c r="P36" s="115">
        <f>(P29+P31)*Assumptions!$C$10</f>
        <v>46809.380500630214</v>
      </c>
      <c r="Q36" s="115">
        <f>(Q29+Q31)*Assumptions!$C$10</f>
        <v>46809.380500630214</v>
      </c>
      <c r="R36" s="256">
        <f>(R29+R31)*Assumptions!$C$10</f>
        <v>46809.380500630214</v>
      </c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4"/>
    </row>
    <row r="37" spans="4:31">
      <c r="D37" s="112" t="s">
        <v>106</v>
      </c>
      <c r="E37" s="112" t="s">
        <v>107</v>
      </c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258"/>
      <c r="S37" s="259"/>
      <c r="T37" s="259"/>
      <c r="U37" s="259"/>
      <c r="V37" s="259"/>
      <c r="W37" s="259"/>
      <c r="X37" s="259"/>
      <c r="Y37" s="259"/>
      <c r="Z37" s="259"/>
      <c r="AA37" s="259"/>
      <c r="AB37" s="259"/>
      <c r="AC37" s="259"/>
      <c r="AD37" s="259"/>
      <c r="AE37" s="144"/>
    </row>
    <row r="38" spans="4:31" s="144" customFormat="1">
      <c r="D38" s="155"/>
      <c r="E38" s="155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</row>
    <row r="39" spans="4:31" s="144" customFormat="1" ht="13.5" thickBot="1">
      <c r="D39" s="155"/>
      <c r="E39" s="155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</row>
    <row r="40" spans="4:31" s="144" customFormat="1" ht="13.5" thickBot="1">
      <c r="D40" s="155"/>
      <c r="F40" s="90" t="s">
        <v>173</v>
      </c>
      <c r="G40" s="90" t="s">
        <v>174</v>
      </c>
      <c r="H40" s="90" t="s">
        <v>170</v>
      </c>
      <c r="I40" s="90" t="s">
        <v>37</v>
      </c>
      <c r="J40" s="90" t="s">
        <v>37</v>
      </c>
      <c r="K40" s="90" t="s">
        <v>37</v>
      </c>
      <c r="L40" s="90" t="s">
        <v>37</v>
      </c>
      <c r="M40" s="90" t="s">
        <v>37</v>
      </c>
      <c r="N40" s="90" t="s">
        <v>37</v>
      </c>
      <c r="O40" s="90" t="s">
        <v>37</v>
      </c>
      <c r="P40" s="90" t="s">
        <v>37</v>
      </c>
      <c r="Q40" s="90" t="s">
        <v>37</v>
      </c>
      <c r="R40" s="232" t="s">
        <v>37</v>
      </c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  <c r="AD40" s="237"/>
    </row>
    <row r="41" spans="4:31" s="144" customFormat="1" ht="23.25" thickBot="1">
      <c r="D41" s="155"/>
      <c r="F41" s="89" t="s">
        <v>38</v>
      </c>
      <c r="G41" s="89" t="s">
        <v>38</v>
      </c>
      <c r="H41" s="89" t="s">
        <v>38</v>
      </c>
      <c r="I41" s="89" t="s">
        <v>38</v>
      </c>
      <c r="J41" s="89" t="s">
        <v>38</v>
      </c>
      <c r="K41" s="89" t="s">
        <v>38</v>
      </c>
      <c r="L41" s="89" t="s">
        <v>38</v>
      </c>
      <c r="M41" s="89" t="s">
        <v>38</v>
      </c>
      <c r="N41" s="89" t="s">
        <v>38</v>
      </c>
      <c r="O41" s="89" t="s">
        <v>38</v>
      </c>
      <c r="P41" s="89" t="s">
        <v>38</v>
      </c>
      <c r="Q41" s="89" t="s">
        <v>38</v>
      </c>
      <c r="R41" s="233" t="s">
        <v>38</v>
      </c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</row>
    <row r="42" spans="4:31" s="144" customFormat="1" ht="13.5" thickBot="1">
      <c r="D42" s="155"/>
      <c r="F42" s="194" t="s">
        <v>172</v>
      </c>
      <c r="G42" s="36" t="s">
        <v>94</v>
      </c>
      <c r="H42" s="36" t="s">
        <v>95</v>
      </c>
      <c r="I42" s="86" t="s">
        <v>80</v>
      </c>
      <c r="J42" s="86" t="s">
        <v>81</v>
      </c>
      <c r="K42" s="86" t="s">
        <v>82</v>
      </c>
      <c r="L42" s="86" t="s">
        <v>83</v>
      </c>
      <c r="M42" s="86" t="s">
        <v>84</v>
      </c>
      <c r="N42" s="86" t="s">
        <v>85</v>
      </c>
      <c r="O42" s="86" t="s">
        <v>86</v>
      </c>
      <c r="P42" s="86" t="s">
        <v>87</v>
      </c>
      <c r="Q42" s="86" t="s">
        <v>88</v>
      </c>
      <c r="R42" s="234" t="s">
        <v>89</v>
      </c>
      <c r="S42" s="238"/>
      <c r="T42" s="238"/>
      <c r="U42" s="213"/>
      <c r="V42" s="213"/>
      <c r="W42" s="213"/>
      <c r="X42" s="213"/>
      <c r="Y42" s="213"/>
      <c r="Z42" s="213"/>
      <c r="AA42" s="213"/>
      <c r="AB42" s="213"/>
      <c r="AC42" s="213"/>
      <c r="AD42" s="213"/>
    </row>
    <row r="43" spans="4:31" ht="13.5" thickBot="1">
      <c r="F43" s="86" t="s">
        <v>175</v>
      </c>
      <c r="G43" s="86" t="s">
        <v>176</v>
      </c>
      <c r="H43" s="86" t="s">
        <v>171</v>
      </c>
      <c r="I43" s="86" t="s">
        <v>40</v>
      </c>
      <c r="J43" s="86" t="s">
        <v>40</v>
      </c>
      <c r="K43" s="86" t="s">
        <v>40</v>
      </c>
      <c r="L43" s="86" t="s">
        <v>40</v>
      </c>
      <c r="M43" s="86" t="s">
        <v>40</v>
      </c>
      <c r="N43" s="86" t="s">
        <v>40</v>
      </c>
      <c r="O43" s="86" t="s">
        <v>40</v>
      </c>
      <c r="P43" s="86" t="s">
        <v>40</v>
      </c>
      <c r="Q43" s="86" t="s">
        <v>40</v>
      </c>
      <c r="R43" s="234" t="s">
        <v>40</v>
      </c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144"/>
    </row>
    <row r="44" spans="4:31" ht="45.75" thickBot="1">
      <c r="E44" s="44" t="s">
        <v>62</v>
      </c>
      <c r="F44" s="47">
        <f t="shared" ref="F44:H44" si="11">SUM(F29:F37)</f>
        <v>135398.16978844174</v>
      </c>
      <c r="G44" s="47">
        <f t="shared" si="11"/>
        <v>135398.16978844174</v>
      </c>
      <c r="H44" s="47">
        <f t="shared" si="11"/>
        <v>135398.16978844174</v>
      </c>
      <c r="I44" s="47">
        <f t="shared" ref="I44:R44" si="12">SUM(I29:I37)</f>
        <v>135398.16978844174</v>
      </c>
      <c r="J44" s="47">
        <f t="shared" si="12"/>
        <v>135398.16978844174</v>
      </c>
      <c r="K44" s="47">
        <f t="shared" si="12"/>
        <v>136624.40055533565</v>
      </c>
      <c r="L44" s="47">
        <f t="shared" si="12"/>
        <v>136624.40055533565</v>
      </c>
      <c r="M44" s="47">
        <f t="shared" si="12"/>
        <v>136624.40055533565</v>
      </c>
      <c r="N44" s="47">
        <f t="shared" si="12"/>
        <v>139460.11488209502</v>
      </c>
      <c r="O44" s="47">
        <f t="shared" si="12"/>
        <v>139460.11488209502</v>
      </c>
      <c r="P44" s="47">
        <f t="shared" si="12"/>
        <v>139460.11488209502</v>
      </c>
      <c r="Q44" s="47">
        <f t="shared" si="12"/>
        <v>139460.11488209502</v>
      </c>
      <c r="R44" s="207">
        <f t="shared" si="12"/>
        <v>139460.11488209502</v>
      </c>
      <c r="S44" s="217"/>
      <c r="T44" s="217"/>
      <c r="U44" s="217"/>
      <c r="V44" s="217"/>
      <c r="W44" s="217"/>
      <c r="X44" s="217"/>
      <c r="Y44" s="217"/>
      <c r="Z44" s="217"/>
      <c r="AA44" s="217"/>
      <c r="AB44" s="217"/>
      <c r="AC44" s="217"/>
      <c r="AD44" s="217"/>
      <c r="AE44" s="144"/>
    </row>
    <row r="45" spans="4:31" ht="15.75" thickBot="1">
      <c r="E45" s="45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218"/>
      <c r="T45" s="218"/>
      <c r="U45" s="218"/>
      <c r="V45" s="218"/>
      <c r="W45" s="218"/>
      <c r="X45" s="218"/>
      <c r="Y45" s="218"/>
      <c r="Z45" s="218"/>
      <c r="AA45" s="218"/>
      <c r="AB45" s="218"/>
      <c r="AC45" s="218"/>
      <c r="AD45" s="218"/>
      <c r="AE45" s="144"/>
    </row>
    <row r="46" spans="4:31" ht="13.5" thickBot="1">
      <c r="E46" s="44" t="s">
        <v>63</v>
      </c>
      <c r="F46" s="48">
        <f>D14+F6+F5+F4</f>
        <v>15</v>
      </c>
      <c r="G46" s="48">
        <f>F46</f>
        <v>15</v>
      </c>
      <c r="H46" s="48">
        <f t="shared" ref="H46:R46" si="13">G46</f>
        <v>15</v>
      </c>
      <c r="I46" s="48">
        <f t="shared" si="13"/>
        <v>15</v>
      </c>
      <c r="J46" s="48">
        <f t="shared" si="13"/>
        <v>15</v>
      </c>
      <c r="K46" s="48">
        <f t="shared" si="13"/>
        <v>15</v>
      </c>
      <c r="L46" s="48">
        <f t="shared" si="13"/>
        <v>15</v>
      </c>
      <c r="M46" s="48">
        <f t="shared" si="13"/>
        <v>15</v>
      </c>
      <c r="N46" s="48">
        <f t="shared" si="13"/>
        <v>15</v>
      </c>
      <c r="O46" s="48">
        <f t="shared" si="13"/>
        <v>15</v>
      </c>
      <c r="P46" s="48">
        <f t="shared" si="13"/>
        <v>15</v>
      </c>
      <c r="Q46" s="48">
        <f t="shared" si="13"/>
        <v>15</v>
      </c>
      <c r="R46" s="138">
        <f t="shared" si="13"/>
        <v>15</v>
      </c>
      <c r="S46" s="219"/>
      <c r="T46" s="219"/>
      <c r="U46" s="219"/>
      <c r="V46" s="219"/>
      <c r="W46" s="219"/>
      <c r="X46" s="219"/>
      <c r="Y46" s="219"/>
      <c r="Z46" s="219"/>
      <c r="AA46" s="219"/>
      <c r="AB46" s="219"/>
      <c r="AC46" s="219"/>
      <c r="AD46" s="219"/>
      <c r="AE46" s="144"/>
    </row>
    <row r="47" spans="4:31" ht="23.25" thickBot="1">
      <c r="E47" s="44" t="s">
        <v>64</v>
      </c>
      <c r="F47" s="46">
        <v>173.33333333333334</v>
      </c>
      <c r="G47" s="46">
        <v>173.33333333333334</v>
      </c>
      <c r="H47" s="46">
        <v>173.33333333333334</v>
      </c>
      <c r="I47" s="46">
        <v>173.33333333333334</v>
      </c>
      <c r="J47" s="46">
        <v>173.33333333333334</v>
      </c>
      <c r="K47" s="46">
        <v>173.33333333333334</v>
      </c>
      <c r="L47" s="46">
        <v>173.33333333333334</v>
      </c>
      <c r="M47" s="46">
        <v>173.33333333333334</v>
      </c>
      <c r="N47" s="46">
        <v>173.33333333333334</v>
      </c>
      <c r="O47" s="46">
        <v>173.33333333333334</v>
      </c>
      <c r="P47" s="46">
        <v>173.33333333333334</v>
      </c>
      <c r="Q47" s="46">
        <v>173.33333333333334</v>
      </c>
      <c r="R47" s="208">
        <v>173.33333333333334</v>
      </c>
      <c r="S47" s="220"/>
      <c r="T47" s="220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  <c r="AE47" s="144"/>
    </row>
    <row r="48" spans="4:31" ht="23.25" thickBot="1">
      <c r="E48" s="44" t="s">
        <v>65</v>
      </c>
      <c r="F48" s="46">
        <f t="shared" ref="F48:H48" si="14">F46*F47</f>
        <v>2600</v>
      </c>
      <c r="G48" s="46">
        <f t="shared" si="14"/>
        <v>2600</v>
      </c>
      <c r="H48" s="46">
        <f t="shared" si="14"/>
        <v>2600</v>
      </c>
      <c r="I48" s="46">
        <f>I46*I47</f>
        <v>2600</v>
      </c>
      <c r="J48" s="46">
        <f t="shared" ref="J48:R48" si="15">J46*J47</f>
        <v>2600</v>
      </c>
      <c r="K48" s="46">
        <f t="shared" si="15"/>
        <v>2600</v>
      </c>
      <c r="L48" s="46">
        <f t="shared" si="15"/>
        <v>2600</v>
      </c>
      <c r="M48" s="46">
        <f t="shared" si="15"/>
        <v>2600</v>
      </c>
      <c r="N48" s="46">
        <f t="shared" si="15"/>
        <v>2600</v>
      </c>
      <c r="O48" s="46">
        <f t="shared" si="15"/>
        <v>2600</v>
      </c>
      <c r="P48" s="46">
        <f t="shared" si="15"/>
        <v>2600</v>
      </c>
      <c r="Q48" s="46">
        <f t="shared" si="15"/>
        <v>2600</v>
      </c>
      <c r="R48" s="208">
        <f t="shared" si="15"/>
        <v>2600</v>
      </c>
      <c r="S48" s="220"/>
      <c r="T48" s="220"/>
      <c r="U48" s="220">
        <f>SUM(F48:Q48)</f>
        <v>31200</v>
      </c>
      <c r="V48" s="220"/>
      <c r="W48" s="220"/>
      <c r="X48" s="220"/>
      <c r="Y48" s="220"/>
      <c r="Z48" s="220"/>
      <c r="AA48" s="220"/>
      <c r="AB48" s="220"/>
      <c r="AC48" s="220"/>
      <c r="AD48" s="220"/>
      <c r="AE48" s="144"/>
    </row>
    <row r="49" spans="4:33" ht="15.75" thickBot="1"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218"/>
      <c r="T49" s="218"/>
      <c r="U49" s="218"/>
      <c r="V49" s="218"/>
      <c r="W49" s="218"/>
      <c r="X49" s="218"/>
      <c r="Y49" s="218"/>
      <c r="Z49" s="218"/>
      <c r="AA49" s="218"/>
      <c r="AB49" s="218"/>
      <c r="AC49" s="218"/>
      <c r="AD49" s="218"/>
      <c r="AE49" s="144"/>
    </row>
    <row r="50" spans="4:33" ht="34.5" thickBot="1">
      <c r="E50" s="44" t="s">
        <v>66</v>
      </c>
      <c r="F50" s="48">
        <f t="shared" ref="F50" si="16">F44/F48</f>
        <v>52.076219149400671</v>
      </c>
      <c r="G50" s="48">
        <f t="shared" ref="G50:H50" si="17">G44/G48</f>
        <v>52.076219149400671</v>
      </c>
      <c r="H50" s="48">
        <f t="shared" si="17"/>
        <v>52.076219149400671</v>
      </c>
      <c r="I50" s="48">
        <f>I44/I48</f>
        <v>52.076219149400671</v>
      </c>
      <c r="J50" s="48">
        <f t="shared" ref="J50:R50" si="18">J44/J48</f>
        <v>52.076219149400671</v>
      </c>
      <c r="K50" s="48">
        <f t="shared" si="18"/>
        <v>52.54784636743679</v>
      </c>
      <c r="L50" s="48">
        <f t="shared" si="18"/>
        <v>52.54784636743679</v>
      </c>
      <c r="M50" s="48">
        <f t="shared" si="18"/>
        <v>52.54784636743679</v>
      </c>
      <c r="N50" s="48">
        <f t="shared" si="18"/>
        <v>53.638505723882702</v>
      </c>
      <c r="O50" s="48">
        <f t="shared" si="18"/>
        <v>53.638505723882702</v>
      </c>
      <c r="P50" s="48">
        <f t="shared" si="18"/>
        <v>53.638505723882702</v>
      </c>
      <c r="Q50" s="48">
        <f t="shared" si="18"/>
        <v>53.638505723882702</v>
      </c>
      <c r="R50" s="138">
        <f t="shared" si="18"/>
        <v>53.638505723882702</v>
      </c>
      <c r="S50" s="219"/>
      <c r="T50" s="219"/>
      <c r="U50" s="219"/>
      <c r="V50" s="219"/>
      <c r="W50" s="219"/>
      <c r="X50" s="219"/>
      <c r="Y50" s="219"/>
      <c r="Z50" s="219"/>
      <c r="AA50" s="219"/>
      <c r="AB50" s="219"/>
      <c r="AC50" s="219"/>
      <c r="AD50" s="219"/>
      <c r="AE50" s="144"/>
    </row>
    <row r="51" spans="4:33" ht="13.5" thickBot="1">
      <c r="F51" s="30"/>
      <c r="G51" s="30"/>
      <c r="H51" s="30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</row>
    <row r="52" spans="4:33">
      <c r="F52" s="148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50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</row>
    <row r="53" spans="4:33">
      <c r="E53" s="30"/>
      <c r="F53" s="151">
        <f>F50*(1+$H$60)</f>
        <v>52.076219149400671</v>
      </c>
      <c r="G53" s="139">
        <f t="shared" ref="G53:H53" si="19">G50*(1+$H$60)</f>
        <v>52.076219149400671</v>
      </c>
      <c r="H53" s="139">
        <f t="shared" si="19"/>
        <v>52.076219149400671</v>
      </c>
      <c r="I53" s="139">
        <f t="shared" ref="I53:R53" si="20">I50*(1+$I$60)</f>
        <v>52.076219149400671</v>
      </c>
      <c r="J53" s="139">
        <f t="shared" si="20"/>
        <v>52.076219149400671</v>
      </c>
      <c r="K53" s="139">
        <f t="shared" si="20"/>
        <v>52.54784636743679</v>
      </c>
      <c r="L53" s="139">
        <f t="shared" si="20"/>
        <v>52.54784636743679</v>
      </c>
      <c r="M53" s="139">
        <f t="shared" si="20"/>
        <v>52.54784636743679</v>
      </c>
      <c r="N53" s="139">
        <f t="shared" si="20"/>
        <v>53.638505723882702</v>
      </c>
      <c r="O53" s="139">
        <f t="shared" si="20"/>
        <v>53.638505723882702</v>
      </c>
      <c r="P53" s="139">
        <f t="shared" si="20"/>
        <v>53.638505723882702</v>
      </c>
      <c r="Q53" s="152">
        <f t="shared" si="20"/>
        <v>53.638505723882702</v>
      </c>
      <c r="R53" s="130">
        <f t="shared" si="20"/>
        <v>53.638505723882702</v>
      </c>
      <c r="S53" s="221"/>
      <c r="T53" s="221"/>
      <c r="U53" s="131">
        <f>AVERAGE(F53:Q53)</f>
        <v>52.714888145403712</v>
      </c>
      <c r="V53" s="30" t="s">
        <v>177</v>
      </c>
      <c r="W53" s="221"/>
      <c r="X53" s="221"/>
      <c r="Y53" s="221"/>
      <c r="Z53" s="221"/>
      <c r="AA53" s="221"/>
      <c r="AB53" s="221"/>
      <c r="AC53" s="221"/>
      <c r="AD53" s="221"/>
      <c r="AE53" s="144"/>
    </row>
    <row r="54" spans="4:33">
      <c r="E54" s="30"/>
      <c r="F54" s="223"/>
      <c r="G54" s="129"/>
      <c r="H54" s="129"/>
      <c r="I54" s="129"/>
      <c r="J54" s="139"/>
      <c r="K54" s="139"/>
      <c r="L54" s="139"/>
      <c r="M54" s="139"/>
      <c r="N54" s="139"/>
      <c r="O54" s="139"/>
      <c r="P54" s="139"/>
      <c r="Q54" s="152"/>
      <c r="R54" s="130"/>
      <c r="S54" s="221"/>
      <c r="T54" s="221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30"/>
      <c r="AG54" s="30"/>
    </row>
    <row r="55" spans="4:33" ht="13.5" thickBot="1">
      <c r="D55" s="145" t="s">
        <v>109</v>
      </c>
      <c r="E55" s="30"/>
      <c r="F55" s="127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225"/>
      <c r="R55" s="30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</row>
    <row r="56" spans="4:33">
      <c r="D56" s="146" t="s">
        <v>110</v>
      </c>
      <c r="E56" s="30"/>
      <c r="G56" s="30"/>
      <c r="H56" s="30"/>
      <c r="I56" s="30"/>
      <c r="J56" s="30"/>
      <c r="K56" s="30"/>
      <c r="L56" s="30"/>
      <c r="M56" s="30"/>
      <c r="N56" s="129"/>
      <c r="O56" s="129"/>
      <c r="P56" s="129"/>
      <c r="Q56" s="129"/>
      <c r="R56" s="30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</row>
    <row r="57" spans="4:33">
      <c r="D57" s="147" t="s">
        <v>111</v>
      </c>
      <c r="E57" s="30"/>
      <c r="F57" s="196"/>
      <c r="G57" s="196"/>
      <c r="H57" s="79">
        <v>2019</v>
      </c>
      <c r="I57" s="79">
        <v>2020</v>
      </c>
      <c r="J57" s="79">
        <v>2021</v>
      </c>
      <c r="K57" s="79">
        <v>2022</v>
      </c>
      <c r="L57" s="79">
        <v>2023</v>
      </c>
      <c r="M57" s="79">
        <v>2024</v>
      </c>
      <c r="N57" s="196"/>
      <c r="O57" s="196"/>
      <c r="P57" s="196"/>
      <c r="Q57" s="196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</row>
    <row r="58" spans="4:33" ht="18">
      <c r="D58" s="241" t="s">
        <v>112</v>
      </c>
      <c r="E58" s="30"/>
      <c r="F58" s="197"/>
      <c r="G58" s="197"/>
      <c r="H58" s="195" t="s">
        <v>115</v>
      </c>
      <c r="I58" s="135" t="s">
        <v>116</v>
      </c>
      <c r="J58" s="135" t="s">
        <v>117</v>
      </c>
      <c r="K58" s="135" t="s">
        <v>118</v>
      </c>
      <c r="L58" s="135" t="s">
        <v>119</v>
      </c>
      <c r="M58" s="198" t="s">
        <v>120</v>
      </c>
      <c r="N58" s="197"/>
      <c r="O58" s="197"/>
      <c r="P58" s="197"/>
      <c r="Q58" s="197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</row>
    <row r="59" spans="4:33">
      <c r="D59" s="136" t="s">
        <v>125</v>
      </c>
      <c r="E59" s="30"/>
      <c r="F59" s="129"/>
      <c r="G59" s="129"/>
      <c r="H59" s="30"/>
      <c r="I59" s="30"/>
      <c r="J59" s="30"/>
      <c r="K59" s="30"/>
      <c r="L59" s="30"/>
      <c r="M59" s="30"/>
      <c r="N59" s="129"/>
      <c r="O59" s="129"/>
      <c r="P59" s="129"/>
      <c r="Q59" s="129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</row>
    <row r="60" spans="4:33">
      <c r="D60" s="30"/>
      <c r="E60" s="30"/>
      <c r="F60" s="30"/>
      <c r="G60" s="30"/>
      <c r="H60" s="137">
        <v>0</v>
      </c>
      <c r="I60" s="137">
        <v>0</v>
      </c>
      <c r="J60" s="137">
        <f>(3.2/12)/100</f>
        <v>2.6666666666666666E-3</v>
      </c>
      <c r="K60" s="30"/>
      <c r="L60" s="30"/>
      <c r="M60" s="30"/>
      <c r="N60" s="129"/>
      <c r="O60" s="129"/>
      <c r="P60" s="129"/>
      <c r="Q60" s="129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</row>
    <row r="61" spans="4:33"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129"/>
      <c r="O61" s="129"/>
      <c r="P61" s="129"/>
      <c r="Q61" s="129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</sheetData>
  <pageMargins left="0.7" right="0.7" top="0.75" bottom="0.75" header="0.3" footer="0.3"/>
  <pageSetup orientation="portrait" horizontalDpi="0" verticalDpi="0" r:id="rId1"/>
  <headerFooter>
    <oddHeader>&amp;RExh. RJW-2 Wyman WP4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0"/>
  <sheetViews>
    <sheetView zoomScaleNormal="100" workbookViewId="0">
      <selection activeCell="B67" sqref="B67"/>
    </sheetView>
  </sheetViews>
  <sheetFormatPr defaultRowHeight="12.75"/>
  <sheetData>
    <row r="2" spans="1:4">
      <c r="A2" s="174" t="s">
        <v>168</v>
      </c>
    </row>
    <row r="8" spans="1:4">
      <c r="C8" s="30"/>
      <c r="D8" s="30"/>
    </row>
    <row r="9" spans="1:4">
      <c r="C9" s="14">
        <v>0.15810001337048907</v>
      </c>
      <c r="D9" s="15" t="s">
        <v>48</v>
      </c>
    </row>
    <row r="10" spans="1:4">
      <c r="C10" s="13">
        <v>0.58509999457153916</v>
      </c>
      <c r="D10" s="15" t="s">
        <v>49</v>
      </c>
    </row>
  </sheetData>
  <pageMargins left="0.7" right="0.7" top="0.75" bottom="0.75" header="0.3" footer="0.3"/>
  <pageSetup orientation="portrait" horizontalDpi="0" verticalDpi="0" r:id="rId1"/>
  <headerFooter>
    <oddHeader>&amp;RExh. RJW-2 Wyman WP4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0032E5-9744-473D-A154-746DB04E11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00A43F-6F30-4AC1-BE44-AB07955F9379}"/>
</file>

<file path=customXml/itemProps3.xml><?xml version="1.0" encoding="utf-8"?>
<ds:datastoreItem xmlns:ds="http://schemas.openxmlformats.org/officeDocument/2006/customXml" ds:itemID="{F173BD02-0380-4EEE-AEB8-082208F70A2D}">
  <ds:schemaRefs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EB932B52-5BFC-4B92-9E7E-980F498F93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Index</vt:lpstr>
      <vt:lpstr>Summary</vt:lpstr>
      <vt:lpstr>11200 Gas Storage Ops</vt:lpstr>
      <vt:lpstr>11150 Gas Acquisition</vt:lpstr>
      <vt:lpstr>11300 Gas Control</vt:lpstr>
      <vt:lpstr>11325 MAS</vt:lpstr>
      <vt:lpstr>11348 MAST</vt:lpstr>
      <vt:lpstr>13600 Account Services</vt:lpstr>
      <vt:lpstr>Assumptions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Tobin Davilla</dc:creator>
  <cp:lastModifiedBy>Lee-Pella, Erica N.</cp:lastModifiedBy>
  <cp:lastPrinted>2020-12-17T23:35:25Z</cp:lastPrinted>
  <dcterms:created xsi:type="dcterms:W3CDTF">2016-11-01T17:31:29Z</dcterms:created>
  <dcterms:modified xsi:type="dcterms:W3CDTF">2020-12-17T23:35:38Z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Info for Andrew.xlsx</vt:lpwstr>
  </property>
  <property fmtid="{D5CDD505-2E9C-101B-9397-08002B2CF9AE}" pid="3" name="ContentTypeId">
    <vt:lpwstr>0x0101006E56B4D1795A2E4DB2F0B01679ED314A008EEC80525953A745BD9B79DC421B8604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