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tg.wa.lcl\atg\DIV\PCC\ACTIVE\Cases\UE\UE_UG_190529_30_PSE_2019_GRC\1_Filings\Testimony_Direct_Response\PC\01 Drafts\Garrett\Exhibits\working copies\"/>
    </mc:Choice>
  </mc:AlternateContent>
  <bookViews>
    <workbookView xWindow="-105" yWindow="-105" windowWidth="23250" windowHeight="12600"/>
  </bookViews>
  <sheets>
    <sheet name="RevReq" sheetId="1" r:id="rId1"/>
    <sheet name="Adj.Summary" sheetId="12" r:id="rId2"/>
    <sheet name="Wage Increase" sheetId="18" r:id="rId3"/>
    <sheet name="Incentives" sheetId="14" r:id="rId4"/>
    <sheet name="Plant Update" sheetId="8" r:id="rId5"/>
    <sheet name="Interim Protected EDIT" sheetId="6" r:id="rId6"/>
    <sheet name="AMI" sheetId="4" r:id="rId7"/>
    <sheet name="Tax Benefit of Interest" sheetId="17" r:id="rId8"/>
    <sheet name="Cost of Capital" sheetId="13" r:id="rId9"/>
    <sheet name="WP-1 AMA Update" sheetId="16" r:id="rId10"/>
  </sheets>
  <definedNames>
    <definedName name="_xlnm.Print_Area" localSheetId="1">Adj.Summary!$A$1:$W$67</definedName>
    <definedName name="_xlnm.Print_Area" localSheetId="6">AMI!$C$1:$F$100</definedName>
    <definedName name="_xlnm.Print_Area" localSheetId="8">'Cost of Capital'!$A$1:$I$45</definedName>
    <definedName name="_xlnm.Print_Area" localSheetId="3">Incentives!$A$1:$I$30</definedName>
    <definedName name="_xlnm.Print_Area" localSheetId="5">'Interim Protected EDIT'!$A$1:$I$44</definedName>
    <definedName name="_xlnm.Print_Area" localSheetId="4">'Plant Update'!$A$1:$I$30</definedName>
    <definedName name="_xlnm.Print_Area" localSheetId="0">RevReq!$A$1:$G$35</definedName>
    <definedName name="_xlnm.Print_Area" localSheetId="7">'Tax Benefit of Interest'!$A$1:$F$26</definedName>
    <definedName name="_xlnm.Print_Area" localSheetId="2">'Wage Increase'!$A$1:$I$32</definedName>
    <definedName name="_xlnm.Print_Area" localSheetId="9">'WP-1 AMA Update'!$A$1:$I$31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4" l="1"/>
  <c r="D14" i="4"/>
  <c r="D13" i="4"/>
  <c r="D12" i="4"/>
  <c r="F100" i="4"/>
  <c r="D100" i="4"/>
  <c r="F95" i="4"/>
  <c r="D95" i="4"/>
  <c r="F76" i="4"/>
  <c r="D76" i="4"/>
  <c r="F57" i="4"/>
  <c r="D57" i="4"/>
  <c r="F58" i="16"/>
  <c r="E58" i="16"/>
  <c r="K56" i="16"/>
  <c r="G56" i="16"/>
  <c r="K55" i="16"/>
  <c r="G55" i="16"/>
  <c r="K54" i="16"/>
  <c r="G54" i="16"/>
  <c r="K53" i="16"/>
  <c r="G53" i="16"/>
  <c r="K52" i="16"/>
  <c r="G52" i="16"/>
  <c r="K51" i="16"/>
  <c r="G51" i="16"/>
  <c r="K50" i="16"/>
  <c r="G50" i="16"/>
  <c r="K49" i="16"/>
  <c r="G49" i="16"/>
  <c r="K48" i="16"/>
  <c r="G48" i="16"/>
  <c r="K47" i="16"/>
  <c r="G47" i="16"/>
  <c r="K46" i="16"/>
  <c r="G46" i="16"/>
  <c r="K45" i="16"/>
  <c r="K59" i="16"/>
  <c r="G45" i="16"/>
  <c r="G59" i="16"/>
  <c r="K44" i="16"/>
  <c r="G44" i="16"/>
  <c r="K43" i="16"/>
  <c r="G43" i="16"/>
  <c r="K42" i="16"/>
  <c r="G42" i="16"/>
  <c r="K41" i="16"/>
  <c r="G41" i="16"/>
  <c r="K40" i="16"/>
  <c r="G40" i="16"/>
  <c r="K39" i="16"/>
  <c r="K58" i="16"/>
  <c r="G39" i="16"/>
  <c r="G58" i="16"/>
  <c r="G16" i="16"/>
  <c r="I15" i="16"/>
  <c r="I14" i="16"/>
  <c r="I13" i="16"/>
  <c r="G39" i="13"/>
  <c r="G35" i="13"/>
  <c r="G33" i="13"/>
  <c r="G37" i="13"/>
  <c r="D13" i="17"/>
  <c r="E37" i="13"/>
  <c r="M50" i="12"/>
  <c r="K50" i="12"/>
  <c r="O41" i="12"/>
  <c r="K41" i="12"/>
  <c r="G32" i="6"/>
  <c r="G31" i="6"/>
  <c r="G30" i="6"/>
  <c r="G33" i="6"/>
  <c r="G34" i="6"/>
  <c r="G35" i="6"/>
  <c r="G36" i="6"/>
  <c r="G37" i="6"/>
  <c r="G38" i="6"/>
  <c r="G39" i="6"/>
  <c r="G40" i="6"/>
  <c r="G41" i="6"/>
  <c r="G42" i="6"/>
  <c r="G44" i="6"/>
  <c r="F15" i="17"/>
  <c r="F17" i="17"/>
  <c r="F21" i="17"/>
  <c r="F23" i="17"/>
  <c r="G21" i="6"/>
  <c r="Q15" i="12"/>
  <c r="M15" i="12"/>
  <c r="I24" i="8"/>
  <c r="I18" i="8"/>
  <c r="E16" i="16"/>
  <c r="G16" i="8"/>
  <c r="E21" i="16"/>
  <c r="E22" i="16"/>
  <c r="G21" i="16"/>
  <c r="G22" i="16"/>
  <c r="I20" i="16"/>
  <c r="G20" i="8"/>
  <c r="I21" i="16"/>
  <c r="I22" i="16"/>
  <c r="G24" i="8"/>
  <c r="G13" i="8"/>
  <c r="I16" i="16"/>
  <c r="G14" i="8"/>
  <c r="G18" i="8"/>
  <c r="I21" i="8"/>
  <c r="G21" i="8"/>
  <c r="I25" i="8"/>
  <c r="I22" i="8"/>
  <c r="Q30" i="12"/>
  <c r="M30" i="12"/>
  <c r="G25" i="8"/>
  <c r="G22" i="8"/>
  <c r="O31" i="12"/>
  <c r="K31" i="12"/>
  <c r="F33" i="4"/>
  <c r="D31" i="4"/>
  <c r="D33" i="4"/>
  <c r="O46" i="12"/>
  <c r="K46" i="12"/>
  <c r="F22" i="4"/>
  <c r="D22" i="4"/>
  <c r="F16" i="4"/>
  <c r="D16" i="4"/>
  <c r="D24" i="4"/>
  <c r="Q46" i="12"/>
  <c r="M46" i="12"/>
  <c r="F24" i="4"/>
  <c r="G57" i="12"/>
  <c r="E57" i="12"/>
  <c r="G15" i="6"/>
  <c r="G17" i="6"/>
  <c r="G19" i="6"/>
  <c r="G23" i="6"/>
  <c r="O15" i="12"/>
  <c r="K15" i="12"/>
  <c r="I26" i="8"/>
  <c r="G26" i="8"/>
  <c r="Q31" i="12"/>
  <c r="M31" i="12"/>
  <c r="G24" i="1"/>
  <c r="Q55" i="12"/>
  <c r="M53" i="12"/>
  <c r="Q53" i="12"/>
  <c r="M52" i="12"/>
  <c r="Q52" i="12"/>
  <c r="M51" i="12"/>
  <c r="Q51" i="12"/>
  <c r="Q50" i="12"/>
  <c r="M49" i="12"/>
  <c r="Q49" i="12"/>
  <c r="M48" i="12"/>
  <c r="Q48" i="12"/>
  <c r="M47" i="12"/>
  <c r="M45" i="12"/>
  <c r="Q45" i="12"/>
  <c r="M44" i="12"/>
  <c r="Q44" i="12"/>
  <c r="M43" i="12"/>
  <c r="Q43" i="12"/>
  <c r="M42" i="12"/>
  <c r="Q42" i="12"/>
  <c r="M41" i="12"/>
  <c r="Q41" i="12"/>
  <c r="M40" i="12"/>
  <c r="Q40" i="12"/>
  <c r="M39" i="12"/>
  <c r="Q39" i="12"/>
  <c r="M38" i="12"/>
  <c r="M37" i="12"/>
  <c r="Q37" i="12"/>
  <c r="M36" i="12"/>
  <c r="Q36" i="12"/>
  <c r="M35" i="12"/>
  <c r="Q35" i="12"/>
  <c r="Q54" i="12"/>
  <c r="Q47" i="12"/>
  <c r="Q38" i="12"/>
  <c r="Q32" i="12"/>
  <c r="O32" i="12"/>
  <c r="Q29" i="12"/>
  <c r="O29" i="12"/>
  <c r="Q28" i="12"/>
  <c r="O28" i="12"/>
  <c r="Q27" i="12"/>
  <c r="O27" i="12"/>
  <c r="Q26" i="12"/>
  <c r="O26" i="12"/>
  <c r="Q25" i="12"/>
  <c r="O25" i="12"/>
  <c r="Q24" i="12"/>
  <c r="O24" i="12"/>
  <c r="Q23" i="12"/>
  <c r="O23" i="12"/>
  <c r="Q22" i="12"/>
  <c r="O22" i="12"/>
  <c r="Q21" i="12"/>
  <c r="O21" i="12"/>
  <c r="Q20" i="12"/>
  <c r="Q19" i="12"/>
  <c r="O19" i="12"/>
  <c r="Q18" i="12"/>
  <c r="O18" i="12"/>
  <c r="Q17" i="12"/>
  <c r="O17" i="12"/>
  <c r="Q16" i="12"/>
  <c r="O16" i="12"/>
  <c r="Q14" i="12"/>
  <c r="O14" i="12"/>
  <c r="Q13" i="12"/>
  <c r="O13" i="12"/>
  <c r="G11" i="14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M57" i="12"/>
  <c r="I57" i="12"/>
  <c r="G17" i="14"/>
  <c r="I15" i="14"/>
  <c r="I19" i="14"/>
  <c r="G13" i="14"/>
  <c r="I23" i="14"/>
  <c r="I25" i="14"/>
  <c r="G15" i="14"/>
  <c r="G19" i="14"/>
  <c r="G23" i="14"/>
  <c r="G25" i="14"/>
  <c r="K20" i="12"/>
  <c r="H57" i="12"/>
  <c r="F57" i="12"/>
  <c r="K45" i="12"/>
  <c r="O45" i="12"/>
  <c r="K44" i="12"/>
  <c r="O44" i="12"/>
  <c r="K43" i="12"/>
  <c r="O43" i="12"/>
  <c r="K42" i="12"/>
  <c r="O42" i="12"/>
  <c r="O40" i="12"/>
  <c r="K39" i="12"/>
  <c r="O39" i="12"/>
  <c r="K38" i="12"/>
  <c r="O38" i="12"/>
  <c r="O36" i="12"/>
  <c r="O35" i="12"/>
  <c r="O55" i="12"/>
  <c r="O54" i="12"/>
  <c r="K53" i="12"/>
  <c r="O53" i="12"/>
  <c r="K52" i="12"/>
  <c r="O52" i="12"/>
  <c r="K51" i="12"/>
  <c r="O51" i="12"/>
  <c r="O50" i="12"/>
  <c r="K49" i="12"/>
  <c r="O49" i="12"/>
  <c r="K48" i="12"/>
  <c r="O48" i="12"/>
  <c r="K47" i="12"/>
  <c r="O47" i="12"/>
  <c r="Q12" i="12"/>
  <c r="Q57" i="12"/>
  <c r="D11" i="17"/>
  <c r="O12" i="12"/>
  <c r="G20" i="1"/>
  <c r="E16" i="1"/>
  <c r="E10" i="1"/>
  <c r="G10" i="1"/>
  <c r="E41" i="13"/>
  <c r="G18" i="13"/>
  <c r="E16" i="13"/>
  <c r="G16" i="13"/>
  <c r="D15" i="17"/>
  <c r="D17" i="17"/>
  <c r="D21" i="17"/>
  <c r="D23" i="17"/>
  <c r="O37" i="12"/>
  <c r="K37" i="12"/>
  <c r="K57" i="12"/>
  <c r="G41" i="13"/>
  <c r="E20" i="13"/>
  <c r="G20" i="13"/>
  <c r="S31" i="12"/>
  <c r="W31" i="12"/>
  <c r="S23" i="12"/>
  <c r="W23" i="12"/>
  <c r="S15" i="12"/>
  <c r="S27" i="12"/>
  <c r="W27" i="12"/>
  <c r="S26" i="12"/>
  <c r="W26" i="12"/>
  <c r="S17" i="12"/>
  <c r="W17" i="12"/>
  <c r="S30" i="12"/>
  <c r="W30" i="12"/>
  <c r="S22" i="12"/>
  <c r="W22" i="12"/>
  <c r="S14" i="12"/>
  <c r="W14" i="12"/>
  <c r="S32" i="12"/>
  <c r="W32" i="12"/>
  <c r="S29" i="12"/>
  <c r="W29" i="12"/>
  <c r="S21" i="12"/>
  <c r="W21" i="12"/>
  <c r="S13" i="12"/>
  <c r="W13" i="12"/>
  <c r="S43" i="12"/>
  <c r="W43" i="12"/>
  <c r="S18" i="12"/>
  <c r="W18" i="12"/>
  <c r="S55" i="12"/>
  <c r="W55" i="12"/>
  <c r="S28" i="12"/>
  <c r="W28" i="12"/>
  <c r="S12" i="12"/>
  <c r="W12" i="12"/>
  <c r="S19" i="12"/>
  <c r="W19" i="12"/>
  <c r="S35" i="12"/>
  <c r="W35" i="12"/>
  <c r="S16" i="12"/>
  <c r="W16" i="12"/>
  <c r="S39" i="12"/>
  <c r="W39" i="12"/>
  <c r="S25" i="12"/>
  <c r="W25" i="12"/>
  <c r="S24" i="12"/>
  <c r="W24" i="12"/>
  <c r="S42" i="12"/>
  <c r="W42" i="12"/>
  <c r="S40" i="12"/>
  <c r="W40" i="12"/>
  <c r="S53" i="12"/>
  <c r="W53" i="12"/>
  <c r="S36" i="12"/>
  <c r="W36" i="12"/>
  <c r="S48" i="12"/>
  <c r="W48" i="12"/>
  <c r="S50" i="12"/>
  <c r="W50" i="12"/>
  <c r="S41" i="12"/>
  <c r="W41" i="12"/>
  <c r="S47" i="12"/>
  <c r="W47" i="12"/>
  <c r="S52" i="12"/>
  <c r="W52" i="12"/>
  <c r="S49" i="12"/>
  <c r="W49" i="12"/>
  <c r="S51" i="12"/>
  <c r="W51" i="12"/>
  <c r="S46" i="12"/>
  <c r="W46" i="12"/>
  <c r="S37" i="12"/>
  <c r="W37" i="12"/>
  <c r="S54" i="12"/>
  <c r="W54" i="12"/>
  <c r="S38" i="12"/>
  <c r="W38" i="12"/>
  <c r="S44" i="12"/>
  <c r="W44" i="12"/>
  <c r="S45" i="12"/>
  <c r="W45" i="12"/>
  <c r="G12" i="1"/>
  <c r="E14" i="1"/>
  <c r="W15" i="12"/>
  <c r="G14" i="1"/>
  <c r="E18" i="1"/>
  <c r="E22" i="1"/>
  <c r="E26" i="1"/>
  <c r="E30" i="1"/>
  <c r="E34" i="1"/>
  <c r="O20" i="12"/>
  <c r="S20" i="12"/>
  <c r="S57" i="12"/>
  <c r="O57" i="12"/>
  <c r="G16" i="1"/>
  <c r="G18" i="1"/>
  <c r="G22" i="1"/>
  <c r="G26" i="1"/>
  <c r="G30" i="1"/>
  <c r="G34" i="1"/>
  <c r="W20" i="12"/>
  <c r="W57" i="12"/>
</calcChain>
</file>

<file path=xl/sharedStrings.xml><?xml version="1.0" encoding="utf-8"?>
<sst xmlns="http://schemas.openxmlformats.org/spreadsheetml/2006/main" count="490" uniqueCount="297">
  <si>
    <t>CALCULATION OF GENERAL REVENUE REQUIREMENT</t>
  </si>
  <si>
    <t>Line</t>
  </si>
  <si>
    <t>No.</t>
  </si>
  <si>
    <t>Description</t>
  </si>
  <si>
    <t>Rate Base</t>
  </si>
  <si>
    <t>Net Operating Income Requirement</t>
  </si>
  <si>
    <t>Adjusted Net Operating Income</t>
  </si>
  <si>
    <t>Adjusted Rate Base</t>
  </si>
  <si>
    <t>Net Operating Income Deficiency/(Sufficiency)</t>
  </si>
  <si>
    <t>Revenue Conversion Factor</t>
  </si>
  <si>
    <t>Revenue Requirement</t>
  </si>
  <si>
    <t>Amount</t>
  </si>
  <si>
    <t>Per Company</t>
  </si>
  <si>
    <t>Per PC</t>
  </si>
  <si>
    <t>Schedule No. 1</t>
  </si>
  <si>
    <t>Adj. #</t>
  </si>
  <si>
    <t xml:space="preserve">NOI   </t>
  </si>
  <si>
    <t>Rev Req</t>
  </si>
  <si>
    <t>Public Counsel</t>
  </si>
  <si>
    <t>Rev. Req.</t>
  </si>
  <si>
    <t>Impact of</t>
  </si>
  <si>
    <t>Differences</t>
  </si>
  <si>
    <t>PC Neutral in Direct</t>
  </si>
  <si>
    <t>PC Opposes</t>
  </si>
  <si>
    <t>Public Counsel Adjustments</t>
  </si>
  <si>
    <t>and/or PC Neutral in Direct</t>
  </si>
  <si>
    <t>Schedule No. 2</t>
  </si>
  <si>
    <t>Source/Notes:</t>
  </si>
  <si>
    <t>Adjustment</t>
  </si>
  <si>
    <t>Federal Income Tax Rate</t>
  </si>
  <si>
    <t>Reduction in Federal Income Tax Expense</t>
  </si>
  <si>
    <t>Adjustment to Net Operating Income</t>
  </si>
  <si>
    <t>Schedule No. 3</t>
  </si>
  <si>
    <t>Schedule No. 4</t>
  </si>
  <si>
    <t>Schedule No. 5</t>
  </si>
  <si>
    <t>Pro Forma Adjustments</t>
  </si>
  <si>
    <t>Rate of Return</t>
  </si>
  <si>
    <t>(1)</t>
  </si>
  <si>
    <t>(3)</t>
  </si>
  <si>
    <t>(2)</t>
  </si>
  <si>
    <t>TRADITIONAL PRO FORMA COST OF CAPITAL</t>
  </si>
  <si>
    <t>Capital</t>
  </si>
  <si>
    <t>Weighted</t>
  </si>
  <si>
    <t>Component</t>
  </si>
  <si>
    <t>Structure</t>
  </si>
  <si>
    <t>Cost</t>
  </si>
  <si>
    <t>Total Debt</t>
  </si>
  <si>
    <t>Common</t>
  </si>
  <si>
    <t>Total</t>
  </si>
  <si>
    <t>PUBLIC COUNSEL</t>
  </si>
  <si>
    <t>COST OF CAPITAL</t>
  </si>
  <si>
    <t>PC Adjustment</t>
  </si>
  <si>
    <t xml:space="preserve">     Pro Forma Total</t>
  </si>
  <si>
    <t>Injuries &amp; Damages</t>
  </si>
  <si>
    <t>Schedule No. 6</t>
  </si>
  <si>
    <t>TWELVE MONTHS ENDED DECEMBER 31, 2018</t>
  </si>
  <si>
    <t>Dockets UE-190529 &amp; UG-190530</t>
  </si>
  <si>
    <t>PSE</t>
  </si>
  <si>
    <t>Annualize Rent Expense</t>
  </si>
  <si>
    <t>AMA to EOP Depreciation</t>
  </si>
  <si>
    <t>AMA to EOP Rate Base</t>
  </si>
  <si>
    <t>Employee Insurance</t>
  </si>
  <si>
    <t>Investment Plan</t>
  </si>
  <si>
    <t>Wage &amp; Payroll Tax</t>
  </si>
  <si>
    <t>Property and Liability Insurance</t>
  </si>
  <si>
    <t>Pension Plan</t>
  </si>
  <si>
    <t>Rate Case Expense</t>
  </si>
  <si>
    <t>Interest on Customer Deposits</t>
  </si>
  <si>
    <t>D&amp;O Insurance</t>
  </si>
  <si>
    <t>Excise Tax &amp; Filing Fee</t>
  </si>
  <si>
    <t>Incentive Pay</t>
  </si>
  <si>
    <t>Bad Debts</t>
  </si>
  <si>
    <t>Tax-Benefit of Interest</t>
  </si>
  <si>
    <t>Federal Income Tax</t>
  </si>
  <si>
    <t>Temperature Normalization</t>
  </si>
  <si>
    <t>Revenues and Expenses</t>
  </si>
  <si>
    <t>HR Tops</t>
  </si>
  <si>
    <t>Contract Escalations</t>
  </si>
  <si>
    <t>Public Improvement</t>
  </si>
  <si>
    <t>Credit Card Amortization</t>
  </si>
  <si>
    <t>AMI</t>
  </si>
  <si>
    <t>Environmental Remediation</t>
  </si>
  <si>
    <t>Wage Increase</t>
  </si>
  <si>
    <t>Property &amp; Liability Insurance</t>
  </si>
  <si>
    <t>Tax Benefit of Interest</t>
  </si>
  <si>
    <t>PUGET SOUND ENERGY COMPANY</t>
  </si>
  <si>
    <t>TEST YEAR ENDED DECEMBER 31, 2018</t>
  </si>
  <si>
    <t>INCENTIVE COMPENSATION</t>
  </si>
  <si>
    <t>Adjustment for Restated Expenses</t>
  </si>
  <si>
    <t>Exclude 50% Shareholder Benefit</t>
  </si>
  <si>
    <t>Test Year Incentive Compensation Plus Payroll Taxes</t>
  </si>
  <si>
    <t>Restated Incentive Compensation Plus Payroll Taxes</t>
  </si>
  <si>
    <t>Total Adjustment to Incentive Compensation and Payroll Taxes</t>
  </si>
  <si>
    <t>Attrition Adjustment</t>
  </si>
  <si>
    <t>Changes to Other Price Schedules</t>
  </si>
  <si>
    <t>Net Revenue Change before Attrition</t>
  </si>
  <si>
    <t>Net Revenue Change After Attrition</t>
  </si>
  <si>
    <t>6.23 GR</t>
  </si>
  <si>
    <t>6.01 GR</t>
  </si>
  <si>
    <t>6.02 GR</t>
  </si>
  <si>
    <t>6.03 GR</t>
  </si>
  <si>
    <t>6.04 GR</t>
  </si>
  <si>
    <t>6.05 GR</t>
  </si>
  <si>
    <t>6.06 GR</t>
  </si>
  <si>
    <t>6.07 GR</t>
  </si>
  <si>
    <t>6.08 GR</t>
  </si>
  <si>
    <t>6.09 GR</t>
  </si>
  <si>
    <t>6.10 GR</t>
  </si>
  <si>
    <t>6.11 GR</t>
  </si>
  <si>
    <t>6.12 GR</t>
  </si>
  <si>
    <t>6.13 GR</t>
  </si>
  <si>
    <t>6.14 GR</t>
  </si>
  <si>
    <t>6.15 GR</t>
  </si>
  <si>
    <t>6.16 GR</t>
  </si>
  <si>
    <t>6.17 GR</t>
  </si>
  <si>
    <t>6.18 GR</t>
  </si>
  <si>
    <t>6.19 GR</t>
  </si>
  <si>
    <t>8.01 GP</t>
  </si>
  <si>
    <t>Remove 2018 CRM</t>
  </si>
  <si>
    <t>SCH. 149 CRM</t>
  </si>
  <si>
    <t>8.02 GP</t>
  </si>
  <si>
    <t>NEW-PSE-WP-SEF-6.08E-6.08G-Incentive-19grc-06-2019.xlsx, tab Gas</t>
  </si>
  <si>
    <t>NOI</t>
  </si>
  <si>
    <t>Per PSE</t>
  </si>
  <si>
    <t>PUGET SOUND ENERGY</t>
  </si>
  <si>
    <t>GAS DOCKET NO. UG-190530</t>
  </si>
  <si>
    <t>Reduction to Requested Amount</t>
  </si>
  <si>
    <t>Net Revenue Change Requested or Recommended</t>
  </si>
  <si>
    <t>6.01 GP</t>
  </si>
  <si>
    <t>6.02 GP</t>
  </si>
  <si>
    <t>6.04 GP</t>
  </si>
  <si>
    <t>6.09 GP</t>
  </si>
  <si>
    <t>6.10 GP</t>
  </si>
  <si>
    <t>6.14 GP</t>
  </si>
  <si>
    <t>6.15 GP</t>
  </si>
  <si>
    <t>6.16 GP</t>
  </si>
  <si>
    <t>6.17 GP</t>
  </si>
  <si>
    <t>6.20 GP</t>
  </si>
  <si>
    <t>6.21 GP</t>
  </si>
  <si>
    <t>6.22 GP</t>
  </si>
  <si>
    <t>6.23 GP</t>
  </si>
  <si>
    <t>6.24 GP</t>
  </si>
  <si>
    <t>6.25 GP</t>
  </si>
  <si>
    <t>6.26 GP</t>
  </si>
  <si>
    <t>6.27 GP</t>
  </si>
  <si>
    <t>6.28 GP</t>
  </si>
  <si>
    <t>6.29 GP</t>
  </si>
  <si>
    <t>INTERIM PROTECTED EDIT AMORTIZATION</t>
  </si>
  <si>
    <t>2018 Protected EDIT ARAM Amortization</t>
  </si>
  <si>
    <t>2019 Protected EDIT ARAM Amortization</t>
  </si>
  <si>
    <t>Portion of 2019 Amortization by February 28 ((31+28)/365)</t>
  </si>
  <si>
    <t>2019 Amortization through February 28</t>
  </si>
  <si>
    <t>Total Protected EDIT Amortization 1/1/2018 - 2/28/2019</t>
  </si>
  <si>
    <t>WUTC Staff 67</t>
  </si>
  <si>
    <r>
      <t xml:space="preserve">Puget Sound Energy Adjustments (Note </t>
    </r>
    <r>
      <rPr>
        <vertAlign val="superscript"/>
        <sz val="12"/>
        <color theme="1"/>
        <rFont val="Times New Roman"/>
        <family val="1"/>
      </rPr>
      <t>1)</t>
    </r>
  </si>
  <si>
    <t>TEST YEAR AMI COST AND INVESTMENT</t>
  </si>
  <si>
    <t>Accumulated Depreciation</t>
  </si>
  <si>
    <t>Deferred Income Tax Liability</t>
  </si>
  <si>
    <t>Total Post-Test Year Rate Base Adjustment</t>
  </si>
  <si>
    <t>Accumulated Amortization of Depreciation Deferral</t>
  </si>
  <si>
    <t>Total Deferred Depreciation</t>
  </si>
  <si>
    <t>Total Rate Base Adjustment</t>
  </si>
  <si>
    <t>Net Operating Income</t>
  </si>
  <si>
    <t>Depreciation Expense</t>
  </si>
  <si>
    <t>Total Net Operating Income Adjustment</t>
  </si>
  <si>
    <t>PSE adjustment: NEW-PSE-WP-SEF-6.22E-AMI-19GRC-06-2019.xlsx.</t>
  </si>
  <si>
    <t>Plant In Service</t>
  </si>
  <si>
    <t>Deferred Federal Income Tax</t>
  </si>
  <si>
    <t>Total Rate Base Update Adjustment</t>
  </si>
  <si>
    <t>Depreciation Expense Update</t>
  </si>
  <si>
    <t>Income Tax Expense</t>
  </si>
  <si>
    <t>Electric</t>
  </si>
  <si>
    <t>Gas</t>
  </si>
  <si>
    <t>Plant in Service</t>
  </si>
  <si>
    <t>Depreciation</t>
  </si>
  <si>
    <t>Amortization</t>
  </si>
  <si>
    <t>Electric Depreciation and Amortization</t>
  </si>
  <si>
    <t>2018 AMA</t>
  </si>
  <si>
    <t>ADIT</t>
  </si>
  <si>
    <t>2018 Expense</t>
  </si>
  <si>
    <t>12 Mo. Ending</t>
  </si>
  <si>
    <t>Deferred Debits and Credits</t>
  </si>
  <si>
    <t>Allowance for Working Capital</t>
  </si>
  <si>
    <t>Accumulated Depreciation for Deprec. Exp. Update</t>
  </si>
  <si>
    <t>ADIT for Depreciation Expense Update</t>
  </si>
  <si>
    <t>September 2018 Additional Property Related EDIT</t>
  </si>
  <si>
    <t>October 2018 Additional Property Related EDIT</t>
  </si>
  <si>
    <t>November 2018 Additional Property Related EDIT</t>
  </si>
  <si>
    <t>December 2018 Additional Property Related EDIT</t>
  </si>
  <si>
    <t>January 2019 Additional Property Related EDIT</t>
  </si>
  <si>
    <t>February 2019 Additional Property Related EDIT</t>
  </si>
  <si>
    <t>March 2019 Additional Property Related EDIT</t>
  </si>
  <si>
    <t>April 2019 Additional Property Related EDIT</t>
  </si>
  <si>
    <t>May 2019 Additional Property Related EDIT</t>
  </si>
  <si>
    <t>June 2019 Additional Property Related EDIT</t>
  </si>
  <si>
    <t>September 2019 Adjustment for Property Related EDIT</t>
  </si>
  <si>
    <t>AMA Adjustment Calculation</t>
  </si>
  <si>
    <t>Sources and References</t>
  </si>
  <si>
    <t>2018 amounts: NEW-PSE-WP-SEF-4.00G-GAS-MODEL-19GRC-06-2019</t>
  </si>
  <si>
    <t>RATE BASE UPDATE SUPPORT SCHEDULE 1</t>
  </si>
  <si>
    <t>Supplemental Calculations</t>
  </si>
  <si>
    <t>From: NEW-PSE-WP-RJA-3-and-4-Attrition-Study-19GRC-06-2019.xlsx, tab AMI</t>
  </si>
  <si>
    <t>Plant</t>
  </si>
  <si>
    <t>PC adjustment: NEW-PSE-WP-RJA-3-and-4-Attrition-Study-19GRC-06-2019.xlsx, tab AMI</t>
  </si>
  <si>
    <t>Amort of Def'd Return through Apr 2020:  3YRS May '20 - Apr '23</t>
  </si>
  <si>
    <t>Amort of Def'd Deprec through Apr 2020:  3YRS May '20 - Apr '23</t>
  </si>
  <si>
    <t>TAX BENEFIT OF INTEREST</t>
  </si>
  <si>
    <t>Weighted Cost of Debt</t>
  </si>
  <si>
    <t>Pro Forma Interest</t>
  </si>
  <si>
    <t>Increase (Decrease) in Federal Income Tax at 21%</t>
  </si>
  <si>
    <t>Restated Tax Benefit of Interest</t>
  </si>
  <si>
    <t>Update Adjustment for the  Tax Benefit of Interest</t>
  </si>
  <si>
    <t>Increase (Decrease) to NOI</t>
  </si>
  <si>
    <t>GAS DOCKET NO. UE-190530</t>
  </si>
  <si>
    <t>6/2019 Expense</t>
  </si>
  <si>
    <t>June 2018 Additional Property Related EDIT</t>
  </si>
  <si>
    <t>July 2018 Additional Property Related EDIT</t>
  </si>
  <si>
    <t>August 2018 Additional Property Related EDIT</t>
  </si>
  <si>
    <t>WAGE INCREASES</t>
  </si>
  <si>
    <t>WAGES:</t>
  </si>
  <si>
    <t>(4)</t>
  </si>
  <si>
    <t>(5)</t>
  </si>
  <si>
    <t>(6)</t>
  </si>
  <si>
    <t>(7)</t>
  </si>
  <si>
    <t>(8)</t>
  </si>
  <si>
    <t>Adjustment to share the financial related incentives with shareholders that directly benefit.</t>
  </si>
  <si>
    <t>Adjustment to the tax benefit of interest based on the rate base adjustments recommended by the Public Counsel.</t>
  </si>
  <si>
    <t>Adjustments to remove the post-test year adjustments opposed by the Public Counsel.</t>
  </si>
  <si>
    <t>Adjustment to recognize wage increases occurring within the pro forma year.</t>
  </si>
  <si>
    <t>Adjustment to exclude the AMI investment.</t>
  </si>
  <si>
    <t>Adjustment to amortized the unprotected EDIT over a two year period.</t>
  </si>
  <si>
    <t>Test Year December 31, 2018</t>
  </si>
  <si>
    <t>Source: See work paper June 30 2019 Wage Adjustments based on NEW-PSE-WP-SEF-6.15E-6.15G-WageIncr-19GRC-06-2019.xlsx.</t>
  </si>
  <si>
    <t>PLANT UPDATE</t>
  </si>
  <si>
    <t>PC amounts: PC Plant Update WP 1</t>
  </si>
  <si>
    <t>PSE Amounts: NEW-PSE-WP-SEF-5.01-5.02-E-n-G-WC-RB-19GRC-06-2019.xlsx, tab 2017 GRC WC Det Format, cells AJ20, AJ21, AT20, AT21.</t>
  </si>
  <si>
    <t>WORK PAPER - DO NOT PRINT</t>
  </si>
  <si>
    <t>Exhibit No. MEG-4</t>
  </si>
  <si>
    <t>REVENUE REQUIREMENT ADJUSTMENT SUMMARY</t>
  </si>
  <si>
    <t>Pass-Through Revenue &amp; Exp.</t>
  </si>
  <si>
    <t>Def. G/L on Property Sales</t>
  </si>
  <si>
    <t>Schedule No. 8</t>
  </si>
  <si>
    <t>Schedule No. 9</t>
  </si>
  <si>
    <t>Production Manufact. Gas</t>
  </si>
  <si>
    <t>Other Gas Supply</t>
  </si>
  <si>
    <t>Storage, LNG T&amp;G</t>
  </si>
  <si>
    <t>Transmission</t>
  </si>
  <si>
    <t>Distribution</t>
  </si>
  <si>
    <t>Customer Accounts</t>
  </si>
  <si>
    <t>Customer Service</t>
  </si>
  <si>
    <t>Sales</t>
  </si>
  <si>
    <t>Administrative &amp; General</t>
  </si>
  <si>
    <t>Total Wage Increase</t>
  </si>
  <si>
    <t xml:space="preserve">Payroll Taxes </t>
  </si>
  <si>
    <t>Total Wages &amp; Taxes</t>
  </si>
  <si>
    <t>Increase (Decrease) Operating Expense</t>
  </si>
  <si>
    <t>Increase (Decrease) FIT @ 21%</t>
  </si>
  <si>
    <t>Increase (Decrease) NOI</t>
  </si>
  <si>
    <t>Position on PSE's</t>
  </si>
  <si>
    <t>Position</t>
  </si>
  <si>
    <t xml:space="preserve">Description </t>
  </si>
  <si>
    <t>GTZ Plant &amp; Deferral</t>
  </si>
  <si>
    <t>Remove Unprotected ADFIT</t>
  </si>
  <si>
    <t>Adjustment to include the protected EDIT that was reversed by the Company from January 2018 through February 2019, and to amortize the regular liability to ratepayers over a two year period.</t>
  </si>
  <si>
    <t>Adjustment to plant related investment and depreciation expense on an AMA basis to the pro forma period ended June 30, 2019.</t>
  </si>
  <si>
    <t>Adjustment for Rider 2 Year Amortization of Interim EDIT</t>
  </si>
  <si>
    <t>Depreciation Deferral</t>
  </si>
  <si>
    <t>ADFIT on Depreciation Deferral</t>
  </si>
  <si>
    <t>Less Avoided Depreciation from AMR Retirements in Rate YR.</t>
  </si>
  <si>
    <t>Short-Term Debt</t>
  </si>
  <si>
    <t>Long-Term Debt</t>
  </si>
  <si>
    <t>Cost*</t>
  </si>
  <si>
    <t>*  Weighted short-term debt cost rate includes .03% of commttment and amortization fees</t>
  </si>
  <si>
    <t xml:space="preserve">    Weighted long-term debt cost rate includes .03% of amortization fees</t>
  </si>
  <si>
    <t>** Capital Structure Ratios are developed in Exhibit JRW-3.</t>
  </si>
  <si>
    <t>Structure**</t>
  </si>
  <si>
    <t>June 2019</t>
  </si>
  <si>
    <r>
      <t>AMA</t>
    </r>
    <r>
      <rPr>
        <vertAlign val="superscript"/>
        <sz val="12"/>
        <color theme="1"/>
        <rFont val="Times New Roman"/>
        <family val="1"/>
      </rPr>
      <t>(1)</t>
    </r>
  </si>
  <si>
    <t>(1) Amounts from revised and supplemental responses to PC-230. 232, and 233</t>
  </si>
  <si>
    <t>6/2019 expense amounts: Response to PC-212</t>
  </si>
  <si>
    <t>Gas Depreciation and Amortization</t>
  </si>
  <si>
    <t>(PC-212)</t>
  </si>
  <si>
    <t>(PC-213)</t>
  </si>
  <si>
    <t>June 30, 2019 AMA</t>
  </si>
  <si>
    <t>June 30, 2019 AMA AMI</t>
  </si>
  <si>
    <t>Depreciation Expense, July 2018 - June 2019</t>
  </si>
  <si>
    <t>Total Rate Base Adjustment for Depreciation Expense</t>
  </si>
  <si>
    <t>Adjustment to EDIT AMA Regulatory Liability to 6/30/2019</t>
  </si>
  <si>
    <t>WP-1 AMA Update</t>
  </si>
  <si>
    <t>Page 10 of 10</t>
  </si>
  <si>
    <t>Page 9 of 10</t>
  </si>
  <si>
    <t>Page 6 of 10</t>
  </si>
  <si>
    <t>Page 5 of 10</t>
  </si>
  <si>
    <t>Page 4 of 10</t>
  </si>
  <si>
    <t>Page 3 of 10</t>
  </si>
  <si>
    <t>Page 2 of 10</t>
  </si>
  <si>
    <t>Page 1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</si>
</sst>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%"/>
    <numFmt numFmtId="167" formatCode="0.000%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0.000000%"/>
    <numFmt numFmtId="171" formatCode="_(* #,##0.00000000_);_(* \(#,##0.00000000\);_(* &quot;-&quot;??_);_(@_)"/>
    <numFmt numFmtId="172" formatCode="_(* #,##0.0000000_);_(* \(#,##0.0000000\);_(* &quot;-&quot;_);_(@_)"/>
  </numFmts>
  <fonts count="19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2"/>
      <color indexed="12"/>
      <name val="Times New Roman"/>
      <family val="1"/>
    </font>
    <font>
      <vertAlign val="superscript"/>
      <sz val="12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20"/>
      <color theme="1"/>
      <name val="Times New Roman"/>
      <family val="2"/>
    </font>
    <font>
      <sz val="10"/>
      <color theme="1"/>
      <name val="Times New Roman"/>
      <family val="2"/>
    </font>
    <font>
      <sz val="11"/>
      <color theme="1"/>
      <name val="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0" fontId="17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2" applyNumberFormat="1" applyFont="1"/>
    <xf numFmtId="10" fontId="0" fillId="0" borderId="1" xfId="2" applyNumberFormat="1" applyFont="1" applyBorder="1"/>
    <xf numFmtId="0" fontId="0" fillId="0" borderId="0" xfId="0" quotePrefix="1"/>
    <xf numFmtId="164" fontId="0" fillId="0" borderId="0" xfId="1" applyNumberFormat="1" applyFont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right"/>
    </xf>
    <xf numFmtId="3" fontId="0" fillId="0" borderId="0" xfId="0" applyNumberFormat="1"/>
    <xf numFmtId="37" fontId="0" fillId="0" borderId="0" xfId="0" applyNumberFormat="1"/>
    <xf numFmtId="0" fontId="0" fillId="0" borderId="0" xfId="0" applyFill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9" fontId="0" fillId="0" borderId="1" xfId="2" applyFont="1" applyBorder="1"/>
    <xf numFmtId="0" fontId="3" fillId="0" borderId="0" xfId="0" applyFont="1" applyAlignment="1">
      <alignment horizontal="right" vertical="center"/>
    </xf>
    <xf numFmtId="41" fontId="0" fillId="0" borderId="0" xfId="0" applyNumberFormat="1"/>
    <xf numFmtId="10" fontId="0" fillId="0" borderId="0" xfId="0" applyNumberFormat="1"/>
    <xf numFmtId="9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quotePrefix="1" applyNumberFormat="1"/>
    <xf numFmtId="41" fontId="0" fillId="0" borderId="0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 applyBorder="1"/>
    <xf numFmtId="41" fontId="4" fillId="0" borderId="0" xfId="0" applyNumberFormat="1" applyFont="1" applyBorder="1"/>
    <xf numFmtId="165" fontId="0" fillId="0" borderId="0" xfId="1" applyNumberFormat="1" applyFont="1"/>
    <xf numFmtId="10" fontId="7" fillId="0" borderId="0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4" xfId="0" applyBorder="1" applyAlignment="1">
      <alignment horizontal="center"/>
    </xf>
    <xf numFmtId="168" fontId="0" fillId="0" borderId="1" xfId="0" applyNumberFormat="1" applyBorder="1"/>
    <xf numFmtId="168" fontId="0" fillId="0" borderId="0" xfId="0" applyNumberFormat="1"/>
    <xf numFmtId="169" fontId="0" fillId="0" borderId="0" xfId="4" applyNumberFormat="1" applyFont="1"/>
    <xf numFmtId="169" fontId="0" fillId="0" borderId="5" xfId="4" applyNumberFormat="1" applyFont="1" applyBorder="1"/>
    <xf numFmtId="170" fontId="0" fillId="0" borderId="1" xfId="2" applyNumberFormat="1" applyFont="1" applyBorder="1"/>
    <xf numFmtId="169" fontId="0" fillId="0" borderId="1" xfId="4" applyNumberFormat="1" applyFont="1" applyBorder="1"/>
    <xf numFmtId="169" fontId="0" fillId="0" borderId="0" xfId="0" applyNumberFormat="1"/>
    <xf numFmtId="169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  <xf numFmtId="169" fontId="0" fillId="0" borderId="2" xfId="4" applyNumberFormat="1" applyFont="1" applyBorder="1"/>
    <xf numFmtId="169" fontId="0" fillId="0" borderId="0" xfId="4" applyNumberFormat="1" applyFont="1" applyBorder="1"/>
    <xf numFmtId="14" fontId="0" fillId="0" borderId="0" xfId="0" applyNumberFormat="1"/>
    <xf numFmtId="0" fontId="0" fillId="0" borderId="0" xfId="0" applyAlignment="1">
      <alignment horizontal="center"/>
    </xf>
    <xf numFmtId="41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1" fontId="0" fillId="0" borderId="0" xfId="1" applyNumberFormat="1" applyFont="1"/>
    <xf numFmtId="172" fontId="0" fillId="0" borderId="0" xfId="0" applyNumberFormat="1"/>
    <xf numFmtId="171" fontId="0" fillId="0" borderId="0" xfId="0" applyNumberFormat="1"/>
    <xf numFmtId="0" fontId="10" fillId="0" borderId="0" xfId="0" applyFont="1" applyAlignment="1">
      <alignment horizontal="left"/>
    </xf>
    <xf numFmtId="37" fontId="0" fillId="0" borderId="0" xfId="0" applyNumberFormat="1" applyFill="1"/>
    <xf numFmtId="41" fontId="0" fillId="0" borderId="0" xfId="0" applyNumberFormat="1" applyFill="1"/>
    <xf numFmtId="164" fontId="0" fillId="0" borderId="0" xfId="0" applyNumberFormat="1" applyFill="1"/>
    <xf numFmtId="5" fontId="0" fillId="0" borderId="0" xfId="0" applyNumberFormat="1" applyFill="1"/>
    <xf numFmtId="49" fontId="0" fillId="0" borderId="0" xfId="0" applyNumberFormat="1"/>
    <xf numFmtId="37" fontId="0" fillId="0" borderId="1" xfId="0" applyNumberFormat="1" applyFill="1" applyBorder="1"/>
    <xf numFmtId="37" fontId="0" fillId="0" borderId="1" xfId="0" applyNumberFormat="1" applyBorder="1"/>
    <xf numFmtId="41" fontId="0" fillId="0" borderId="1" xfId="0" applyNumberFormat="1" applyBorder="1"/>
    <xf numFmtId="41" fontId="0" fillId="0" borderId="2" xfId="0" applyNumberFormat="1" applyBorder="1"/>
    <xf numFmtId="0" fontId="11" fillId="0" borderId="0" xfId="0" applyFont="1"/>
    <xf numFmtId="10" fontId="11" fillId="0" borderId="0" xfId="0" quotePrefix="1" applyNumberFormat="1" applyFont="1" applyAlignment="1">
      <alignment horizontal="right"/>
    </xf>
    <xf numFmtId="0" fontId="11" fillId="0" borderId="0" xfId="0" applyFont="1" applyBorder="1"/>
    <xf numFmtId="0" fontId="11" fillId="0" borderId="0" xfId="0" quotePrefix="1" applyFont="1" applyAlignment="1">
      <alignment horizontal="right"/>
    </xf>
    <xf numFmtId="0" fontId="12" fillId="0" borderId="0" xfId="0" applyFont="1" applyBorder="1"/>
    <xf numFmtId="41" fontId="12" fillId="0" borderId="0" xfId="0" applyNumberFormat="1" applyFont="1" applyBorder="1"/>
    <xf numFmtId="41" fontId="11" fillId="0" borderId="0" xfId="0" applyNumberFormat="1" applyFont="1"/>
    <xf numFmtId="10" fontId="11" fillId="0" borderId="0" xfId="0" applyNumberFormat="1" applyFont="1"/>
    <xf numFmtId="49" fontId="11" fillId="0" borderId="0" xfId="0" applyNumberFormat="1" applyFont="1"/>
    <xf numFmtId="0" fontId="13" fillId="0" borderId="0" xfId="0" applyFont="1"/>
    <xf numFmtId="0" fontId="2" fillId="0" borderId="0" xfId="0" quotePrefix="1" applyFont="1"/>
    <xf numFmtId="0" fontId="5" fillId="0" borderId="1" xfId="0" applyFont="1" applyFill="1" applyBorder="1" applyAlignment="1">
      <alignment horizontal="center"/>
    </xf>
    <xf numFmtId="0" fontId="4" fillId="0" borderId="0" xfId="0" applyFont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37" fontId="7" fillId="0" borderId="0" xfId="3" applyNumberFormat="1" applyFont="1" applyFill="1" applyBorder="1"/>
    <xf numFmtId="37" fontId="8" fillId="0" borderId="0" xfId="3" applyNumberFormat="1" applyFont="1" applyFill="1" applyBorder="1"/>
    <xf numFmtId="37" fontId="7" fillId="0" borderId="0" xfId="3" applyNumberFormat="1" applyFont="1" applyFill="1" applyBorder="1" applyAlignment="1">
      <alignment horizontal="center"/>
    </xf>
    <xf numFmtId="37" fontId="8" fillId="0" borderId="0" xfId="3" applyNumberFormat="1" applyFont="1" applyFill="1" applyBorder="1" applyAlignment="1">
      <alignment horizontal="center"/>
    </xf>
    <xf numFmtId="0" fontId="7" fillId="0" borderId="0" xfId="0" applyFont="1" applyFill="1" applyBorder="1"/>
    <xf numFmtId="5" fontId="7" fillId="0" borderId="0" xfId="0" applyNumberFormat="1" applyFont="1" applyFill="1" applyBorder="1"/>
    <xf numFmtId="166" fontId="7" fillId="0" borderId="0" xfId="2" applyNumberFormat="1" applyFont="1" applyFill="1" applyBorder="1" applyAlignment="1">
      <alignment horizontal="center"/>
    </xf>
    <xf numFmtId="164" fontId="7" fillId="0" borderId="0" xfId="1" applyNumberFormat="1" applyFont="1" applyFill="1" applyBorder="1"/>
    <xf numFmtId="167" fontId="7" fillId="0" borderId="0" xfId="2" applyNumberFormat="1" applyFont="1" applyFill="1" applyBorder="1" applyAlignment="1">
      <alignment horizontal="center"/>
    </xf>
    <xf numFmtId="167" fontId="8" fillId="0" borderId="0" xfId="2" applyNumberFormat="1" applyFont="1" applyFill="1" applyBorder="1" applyAlignment="1">
      <alignment horizontal="center"/>
    </xf>
    <xf numFmtId="167" fontId="8" fillId="0" borderId="0" xfId="2" applyNumberFormat="1" applyFont="1" applyFill="1" applyBorder="1"/>
    <xf numFmtId="10" fontId="7" fillId="0" borderId="0" xfId="2" applyNumberFormat="1" applyFont="1" applyFill="1" applyBorder="1"/>
    <xf numFmtId="10" fontId="8" fillId="0" borderId="0" xfId="2" applyNumberFormat="1" applyFont="1" applyFill="1" applyBorder="1"/>
    <xf numFmtId="37" fontId="7" fillId="0" borderId="1" xfId="3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7" fontId="7" fillId="0" borderId="1" xfId="3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37" fontId="16" fillId="0" borderId="0" xfId="3" applyNumberFormat="1" applyFont="1"/>
    <xf numFmtId="166" fontId="16" fillId="0" borderId="0" xfId="2" applyNumberFormat="1" applyFont="1" applyFill="1" applyBorder="1" applyAlignment="1">
      <alignment horizontal="center"/>
    </xf>
    <xf numFmtId="10" fontId="16" fillId="0" borderId="0" xfId="2" applyNumberFormat="1" applyFont="1" applyFill="1" applyBorder="1" applyAlignment="1">
      <alignment horizontal="center"/>
    </xf>
    <xf numFmtId="166" fontId="16" fillId="0" borderId="1" xfId="2" applyNumberFormat="1" applyFont="1" applyFill="1" applyBorder="1" applyAlignment="1">
      <alignment horizontal="center"/>
    </xf>
    <xf numFmtId="10" fontId="16" fillId="0" borderId="1" xfId="2" applyNumberFormat="1" applyFont="1" applyFill="1" applyBorder="1" applyAlignment="1">
      <alignment horizontal="center"/>
    </xf>
    <xf numFmtId="166" fontId="7" fillId="0" borderId="1" xfId="2" applyNumberFormat="1" applyFont="1" applyFill="1" applyBorder="1" applyAlignment="1">
      <alignment horizontal="center"/>
    </xf>
    <xf numFmtId="10" fontId="7" fillId="0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0" xfId="0" quotePrefix="1" applyNumberFormat="1" applyAlignment="1">
      <alignment horizontal="center"/>
    </xf>
    <xf numFmtId="4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0">
    <cellStyle name="Comma" xfId="1" builtinId="3"/>
    <cellStyle name="Currency" xfId="4" builtinId="4"/>
    <cellStyle name="Currency 10" xfId="9"/>
    <cellStyle name="Currency 2" xfId="6"/>
    <cellStyle name="Normal" xfId="0" builtinId="0"/>
    <cellStyle name="Normal 2" xfId="8"/>
    <cellStyle name="Normal 3" xfId="5"/>
    <cellStyle name="Normal_WAElec6_97" xfId="3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55" zoomScaleNormal="55" workbookViewId="0">
      <selection activeCell="G15" sqref="G15"/>
    </sheetView>
  </sheetViews>
  <sheetFormatPr defaultRowHeight="15.75"/>
  <cols>
    <col min="1" max="1" width="4.375" customWidth="1"/>
    <col min="2" max="2" width="1.5" customWidth="1"/>
    <col min="3" max="3" width="54.75" customWidth="1"/>
    <col min="4" max="4" width="1.5" customWidth="1"/>
    <col min="5" max="5" width="17.25" bestFit="1" customWidth="1"/>
    <col min="6" max="6" width="1.625" customWidth="1"/>
    <col min="7" max="7" width="14.875" customWidth="1"/>
    <col min="8" max="8" width="23.125" bestFit="1" customWidth="1"/>
  </cols>
  <sheetData>
    <row r="1" spans="1:8">
      <c r="A1" t="s">
        <v>124</v>
      </c>
      <c r="G1" s="10" t="s">
        <v>56</v>
      </c>
    </row>
    <row r="2" spans="1:8">
      <c r="A2" t="s">
        <v>125</v>
      </c>
      <c r="G2" s="10" t="s">
        <v>237</v>
      </c>
    </row>
    <row r="3" spans="1:8">
      <c r="A3" s="85" t="s">
        <v>0</v>
      </c>
      <c r="G3" s="10" t="s">
        <v>296</v>
      </c>
    </row>
    <row r="4" spans="1:8">
      <c r="A4" t="s">
        <v>86</v>
      </c>
      <c r="G4" s="10" t="s">
        <v>14</v>
      </c>
    </row>
    <row r="5" spans="1:8">
      <c r="A5" s="6"/>
    </row>
    <row r="7" spans="1:8">
      <c r="A7" t="s">
        <v>1</v>
      </c>
      <c r="E7" s="2" t="s">
        <v>11</v>
      </c>
      <c r="G7" s="2" t="s">
        <v>11</v>
      </c>
    </row>
    <row r="8" spans="1:8">
      <c r="A8" s="1" t="s">
        <v>2</v>
      </c>
      <c r="C8" s="1" t="s">
        <v>3</v>
      </c>
      <c r="E8" s="3" t="s">
        <v>12</v>
      </c>
      <c r="G8" s="3" t="s">
        <v>13</v>
      </c>
    </row>
    <row r="10" spans="1:8">
      <c r="A10" s="2">
        <v>1</v>
      </c>
      <c r="C10" t="s">
        <v>7</v>
      </c>
      <c r="E10" s="43">
        <f>+Adj.Summary!G57</f>
        <v>2112672665</v>
      </c>
      <c r="F10" s="7"/>
      <c r="G10" s="43">
        <f>+Adj.Summary!Q57</f>
        <v>2017563424.8734488</v>
      </c>
    </row>
    <row r="11" spans="1:8">
      <c r="A11" s="2"/>
    </row>
    <row r="12" spans="1:8">
      <c r="A12" s="2">
        <v>2</v>
      </c>
      <c r="C12" t="s">
        <v>36</v>
      </c>
      <c r="E12" s="5">
        <v>7.6200000000000004E-2</v>
      </c>
      <c r="F12" s="4"/>
      <c r="G12" s="5">
        <f>+'Cost of Capital'!G41</f>
        <v>7.0694099999999996E-2</v>
      </c>
    </row>
    <row r="13" spans="1:8">
      <c r="A13" s="2"/>
    </row>
    <row r="14" spans="1:8">
      <c r="A14" s="2">
        <v>3</v>
      </c>
      <c r="C14" t="s">
        <v>5</v>
      </c>
      <c r="E14" s="8">
        <f>E10*E12</f>
        <v>160985657.07300001</v>
      </c>
      <c r="G14" s="8">
        <f>G10*G12</f>
        <v>142629830.51434606</v>
      </c>
      <c r="H14" s="8"/>
    </row>
    <row r="15" spans="1:8">
      <c r="A15" s="2"/>
    </row>
    <row r="16" spans="1:8">
      <c r="A16" s="2">
        <v>4</v>
      </c>
      <c r="C16" t="s">
        <v>6</v>
      </c>
      <c r="E16" s="9">
        <f>+Adj.Summary!E57</f>
        <v>96036536</v>
      </c>
      <c r="F16" s="8"/>
      <c r="G16" s="9">
        <f>+Adj.Summary!O57</f>
        <v>113845920.42228438</v>
      </c>
    </row>
    <row r="17" spans="1:8">
      <c r="A17" s="2"/>
      <c r="E17" s="8"/>
      <c r="F17" s="8"/>
      <c r="G17" s="8"/>
    </row>
    <row r="18" spans="1:8">
      <c r="A18" s="2">
        <v>5</v>
      </c>
      <c r="C18" t="s">
        <v>8</v>
      </c>
      <c r="E18" s="8">
        <f>E14-E16</f>
        <v>64949121.073000014</v>
      </c>
      <c r="F18" s="8"/>
      <c r="G18" s="8">
        <f>G14-G16</f>
        <v>28783910.092061684</v>
      </c>
    </row>
    <row r="19" spans="1:8">
      <c r="A19" s="2"/>
      <c r="E19" s="8"/>
      <c r="F19" s="8"/>
      <c r="G19" s="8"/>
    </row>
    <row r="20" spans="1:8">
      <c r="A20" s="2">
        <v>6</v>
      </c>
      <c r="C20" t="s">
        <v>9</v>
      </c>
      <c r="E20" s="41">
        <v>0.75409700000000002</v>
      </c>
      <c r="F20" s="42"/>
      <c r="G20" s="41">
        <f>+E20</f>
        <v>0.75409700000000002</v>
      </c>
    </row>
    <row r="21" spans="1:8">
      <c r="A21" s="2"/>
      <c r="E21" s="8"/>
      <c r="F21" s="8"/>
      <c r="G21" s="8"/>
    </row>
    <row r="22" spans="1:8">
      <c r="A22" s="2">
        <v>7</v>
      </c>
      <c r="C22" t="s">
        <v>10</v>
      </c>
      <c r="E22" s="39">
        <f>E18/E20</f>
        <v>86128337.697935432</v>
      </c>
      <c r="F22" s="39"/>
      <c r="G22" s="39">
        <f>G18/G20</f>
        <v>38170036.602800012</v>
      </c>
      <c r="H22" s="21"/>
    </row>
    <row r="23" spans="1:8">
      <c r="E23" s="8"/>
      <c r="F23" s="8"/>
      <c r="G23" s="8"/>
    </row>
    <row r="24" spans="1:8">
      <c r="A24" s="2">
        <v>8</v>
      </c>
      <c r="C24" t="s">
        <v>94</v>
      </c>
      <c r="E24" s="9">
        <v>-32408666</v>
      </c>
      <c r="G24" s="9">
        <f>+E24</f>
        <v>-32408666</v>
      </c>
    </row>
    <row r="25" spans="1:8">
      <c r="A25" s="2"/>
    </row>
    <row r="26" spans="1:8">
      <c r="A26" s="2">
        <v>9</v>
      </c>
      <c r="C26" t="s">
        <v>95</v>
      </c>
      <c r="E26" s="8">
        <f>+E22+E24</f>
        <v>53719671.697935432</v>
      </c>
      <c r="G26" s="8">
        <f>+G22+G24</f>
        <v>5761370.6028000116</v>
      </c>
    </row>
    <row r="27" spans="1:8">
      <c r="A27" s="2"/>
    </row>
    <row r="28" spans="1:8">
      <c r="A28" s="2">
        <v>10</v>
      </c>
      <c r="C28" t="s">
        <v>93</v>
      </c>
      <c r="E28" s="9">
        <v>22110792</v>
      </c>
      <c r="G28" s="9">
        <v>0</v>
      </c>
    </row>
    <row r="29" spans="1:8">
      <c r="A29" s="2"/>
    </row>
    <row r="30" spans="1:8">
      <c r="A30" s="2">
        <v>11</v>
      </c>
      <c r="C30" t="s">
        <v>96</v>
      </c>
      <c r="E30" s="39">
        <f>+E26+E28</f>
        <v>75830463.697935432</v>
      </c>
      <c r="F30" s="16"/>
      <c r="G30" s="39">
        <f>+G26+G28</f>
        <v>5761370.6028000116</v>
      </c>
    </row>
    <row r="31" spans="1:8">
      <c r="A31" s="2"/>
    </row>
    <row r="32" spans="1:8">
      <c r="A32" s="2">
        <v>12</v>
      </c>
      <c r="C32" t="s">
        <v>126</v>
      </c>
      <c r="E32" s="9">
        <v>-10357655</v>
      </c>
      <c r="G32" s="9">
        <v>0</v>
      </c>
    </row>
    <row r="34" spans="1:7" ht="16.5" thickBot="1">
      <c r="A34" s="2">
        <v>13</v>
      </c>
      <c r="C34" t="s">
        <v>127</v>
      </c>
      <c r="E34" s="53">
        <f>+E30+E32</f>
        <v>65472808.697935432</v>
      </c>
      <c r="G34" s="53">
        <f>+G30+G32</f>
        <v>5761370.6028000116</v>
      </c>
    </row>
    <row r="35" spans="1:7" ht="16.5" thickTop="1"/>
  </sheetData>
  <pageMargins left="0.7" right="0.7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K19" sqref="K19"/>
    </sheetView>
  </sheetViews>
  <sheetFormatPr defaultRowHeight="15.75"/>
  <cols>
    <col min="1" max="1" width="4.125" customWidth="1"/>
    <col min="2" max="2" width="1.625" customWidth="1"/>
    <col min="3" max="3" width="38.5" customWidth="1"/>
    <col min="4" max="4" width="2" customWidth="1"/>
    <col min="5" max="5" width="16.25" customWidth="1"/>
    <col min="6" max="6" width="1.125" customWidth="1"/>
    <col min="7" max="7" width="14.875" bestFit="1" customWidth="1"/>
    <col min="8" max="8" width="0.875" customWidth="1"/>
    <col min="9" max="9" width="15.25" customWidth="1"/>
    <col min="10" max="10" width="11.25" bestFit="1" customWidth="1"/>
    <col min="11" max="11" width="12.25" bestFit="1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237</v>
      </c>
    </row>
    <row r="3" spans="1:9">
      <c r="A3" t="s">
        <v>199</v>
      </c>
      <c r="I3" s="10" t="s">
        <v>288</v>
      </c>
    </row>
    <row r="4" spans="1:9">
      <c r="A4" t="s">
        <v>86</v>
      </c>
      <c r="I4" s="10"/>
    </row>
    <row r="5" spans="1:9">
      <c r="A5" s="6"/>
      <c r="I5" s="10"/>
    </row>
    <row r="7" spans="1:9" ht="26.25">
      <c r="C7" s="82" t="s">
        <v>236</v>
      </c>
    </row>
    <row r="10" spans="1:9">
      <c r="A10" t="s">
        <v>1</v>
      </c>
      <c r="G10" s="124" t="s">
        <v>276</v>
      </c>
      <c r="H10" s="2"/>
      <c r="I10" s="2" t="s">
        <v>13</v>
      </c>
    </row>
    <row r="11" spans="1:9" ht="18.75">
      <c r="A11" s="1" t="s">
        <v>2</v>
      </c>
      <c r="C11" s="1" t="s">
        <v>3</v>
      </c>
      <c r="E11" s="49" t="s">
        <v>177</v>
      </c>
      <c r="G11" s="123" t="s">
        <v>277</v>
      </c>
      <c r="H11" s="2"/>
      <c r="I11" s="49" t="s">
        <v>28</v>
      </c>
    </row>
    <row r="13" spans="1:9">
      <c r="A13" s="2">
        <v>1</v>
      </c>
      <c r="C13" s="7" t="s">
        <v>166</v>
      </c>
      <c r="E13" s="43">
        <v>4100600279</v>
      </c>
      <c r="G13" s="43">
        <v>4268585130</v>
      </c>
      <c r="I13" s="43">
        <f t="shared" ref="I13:I15" si="0">+G13-E13</f>
        <v>167984851</v>
      </c>
    </row>
    <row r="14" spans="1:9">
      <c r="A14" s="2">
        <v>2</v>
      </c>
      <c r="C14" s="7" t="s">
        <v>156</v>
      </c>
      <c r="E14" s="7">
        <v>-1569795173</v>
      </c>
      <c r="G14" s="7">
        <v>-1623296250</v>
      </c>
      <c r="H14" s="7"/>
      <c r="I14" s="7">
        <f t="shared" si="0"/>
        <v>-53501077</v>
      </c>
    </row>
    <row r="15" spans="1:9">
      <c r="A15" s="2">
        <v>3</v>
      </c>
      <c r="C15" s="7" t="s">
        <v>167</v>
      </c>
      <c r="E15" s="17">
        <v>-604032301</v>
      </c>
      <c r="G15" s="17">
        <v>-600900005</v>
      </c>
      <c r="I15" s="17">
        <f t="shared" si="0"/>
        <v>3132296</v>
      </c>
    </row>
    <row r="16" spans="1:9" ht="16.5" thickBot="1">
      <c r="A16" s="2">
        <v>4</v>
      </c>
      <c r="C16" s="7" t="s">
        <v>168</v>
      </c>
      <c r="E16" s="44">
        <f>SUM(E13:E15)</f>
        <v>1926772805</v>
      </c>
      <c r="G16" s="44">
        <f>SUM(G13:G15)</f>
        <v>2044388875</v>
      </c>
      <c r="H16" s="54"/>
      <c r="I16" s="44">
        <f>SUM(I13:I15)</f>
        <v>117616070</v>
      </c>
    </row>
    <row r="17" spans="1:9" ht="16.5" thickTop="1">
      <c r="A17" s="2"/>
    </row>
    <row r="18" spans="1:9">
      <c r="A18" s="2"/>
      <c r="G18" t="s">
        <v>180</v>
      </c>
    </row>
    <row r="19" spans="1:9">
      <c r="A19" s="2"/>
      <c r="E19" t="s">
        <v>179</v>
      </c>
      <c r="G19" t="s">
        <v>214</v>
      </c>
    </row>
    <row r="20" spans="1:9">
      <c r="A20" s="2">
        <v>5</v>
      </c>
      <c r="C20" s="7" t="s">
        <v>169</v>
      </c>
      <c r="E20" s="43">
        <v>143075300.46116298</v>
      </c>
      <c r="G20" s="43">
        <v>153977530.38</v>
      </c>
      <c r="I20" s="43">
        <f>+G20-E20</f>
        <v>10902229.918837011</v>
      </c>
    </row>
    <row r="21" spans="1:9">
      <c r="A21" s="2">
        <v>6</v>
      </c>
      <c r="C21" s="7" t="s">
        <v>170</v>
      </c>
      <c r="E21" s="17">
        <f>-E20*0.21</f>
        <v>-30045813.096844226</v>
      </c>
      <c r="G21" s="17">
        <f>-G20*0.21</f>
        <v>-32335281.379799999</v>
      </c>
      <c r="I21" s="17">
        <f>-I20*0.21</f>
        <v>-2289468.2829557722</v>
      </c>
    </row>
    <row r="22" spans="1:9" ht="16.5" thickBot="1">
      <c r="A22" s="2">
        <v>7</v>
      </c>
      <c r="C22" s="7" t="s">
        <v>164</v>
      </c>
      <c r="E22" s="44">
        <f>+E20+E21</f>
        <v>113029487.36431876</v>
      </c>
      <c r="G22" s="44">
        <f>+G20+G21</f>
        <v>121642249.0002</v>
      </c>
      <c r="H22" s="54"/>
      <c r="I22" s="44">
        <f>+I20+I21</f>
        <v>8612761.6358812377</v>
      </c>
    </row>
    <row r="23" spans="1:9" ht="16.5" thickTop="1">
      <c r="A23" s="2"/>
      <c r="C23" s="7"/>
    </row>
    <row r="24" spans="1:9">
      <c r="A24" s="50"/>
      <c r="B24" s="16"/>
      <c r="C24" s="52"/>
      <c r="D24" s="16"/>
      <c r="E24" s="16"/>
      <c r="F24" s="16"/>
      <c r="G24" s="54"/>
      <c r="H24" s="54"/>
      <c r="I24" s="54"/>
    </row>
    <row r="25" spans="1:9">
      <c r="A25" s="50"/>
      <c r="B25" s="16"/>
      <c r="C25" s="52"/>
      <c r="D25" s="16"/>
      <c r="E25" s="16"/>
      <c r="F25" s="16"/>
      <c r="G25" s="16"/>
      <c r="H25" s="16"/>
      <c r="I25" s="16"/>
    </row>
    <row r="26" spans="1:9">
      <c r="A26" s="50"/>
      <c r="B26" s="16"/>
      <c r="C26" s="52"/>
      <c r="D26" s="16"/>
      <c r="E26" s="16"/>
      <c r="F26" s="16"/>
      <c r="G26" s="39"/>
      <c r="H26" s="16"/>
      <c r="I26" s="16"/>
    </row>
    <row r="27" spans="1:9">
      <c r="A27" s="50"/>
      <c r="B27" s="16"/>
      <c r="C27" s="16"/>
      <c r="D27" s="16"/>
      <c r="E27" s="16"/>
      <c r="F27" s="16"/>
      <c r="G27" s="52"/>
      <c r="H27" s="52"/>
      <c r="I27" s="52"/>
    </row>
    <row r="28" spans="1:9">
      <c r="A28" s="50"/>
      <c r="B28" s="16"/>
      <c r="C28" s="16"/>
      <c r="D28" s="16"/>
      <c r="E28" s="16"/>
      <c r="F28" s="16"/>
      <c r="G28" s="54"/>
      <c r="H28" s="54"/>
      <c r="I28" s="54"/>
    </row>
    <row r="30" spans="1:9">
      <c r="C30" t="s">
        <v>197</v>
      </c>
    </row>
    <row r="31" spans="1:9">
      <c r="C31" t="s">
        <v>198</v>
      </c>
    </row>
    <row r="32" spans="1:9">
      <c r="C32" s="7" t="s">
        <v>278</v>
      </c>
    </row>
    <row r="33" spans="3:11">
      <c r="C33" t="s">
        <v>279</v>
      </c>
    </row>
    <row r="36" spans="3:11">
      <c r="E36" t="s">
        <v>176</v>
      </c>
      <c r="I36" t="s">
        <v>280</v>
      </c>
    </row>
    <row r="37" spans="3:11">
      <c r="E37" t="s">
        <v>281</v>
      </c>
      <c r="I37" t="s">
        <v>282</v>
      </c>
    </row>
    <row r="38" spans="3:11">
      <c r="E38" t="s">
        <v>174</v>
      </c>
      <c r="F38" t="s">
        <v>175</v>
      </c>
      <c r="I38" t="s">
        <v>174</v>
      </c>
      <c r="J38" t="s">
        <v>175</v>
      </c>
    </row>
    <row r="39" spans="3:11">
      <c r="C39" s="55">
        <v>43131</v>
      </c>
      <c r="E39" s="57">
        <v>28526958.015484996</v>
      </c>
      <c r="F39" s="57">
        <v>5594895.4389629904</v>
      </c>
      <c r="G39" s="21">
        <f t="shared" ref="G39:G56" si="1">SUM(E39:F39)</f>
        <v>34121853.454447985</v>
      </c>
      <c r="H39" s="36"/>
      <c r="I39" s="57">
        <v>9457463.8845149986</v>
      </c>
      <c r="J39" s="57">
        <v>1824111.3410369998</v>
      </c>
      <c r="K39" s="21">
        <f t="shared" ref="K39:K56" si="2">SUM(I39:J39)</f>
        <v>11281575.225551998</v>
      </c>
    </row>
    <row r="40" spans="3:11">
      <c r="C40" s="55">
        <v>43159</v>
      </c>
      <c r="E40" s="57">
        <v>28586578.851427</v>
      </c>
      <c r="F40" s="57">
        <v>5556432.1129620001</v>
      </c>
      <c r="G40" s="21">
        <f t="shared" si="1"/>
        <v>34143010.964388996</v>
      </c>
      <c r="I40" s="57">
        <v>9646792.5085730013</v>
      </c>
      <c r="J40" s="57">
        <v>1795835.0970379992</v>
      </c>
      <c r="K40" s="21">
        <f t="shared" si="2"/>
        <v>11442627.605611</v>
      </c>
    </row>
    <row r="41" spans="3:11">
      <c r="C41" s="55">
        <v>43190</v>
      </c>
      <c r="E41" s="57">
        <v>28700478.719999999</v>
      </c>
      <c r="F41" s="57">
        <v>5493846.2999999896</v>
      </c>
      <c r="G41" s="21">
        <f t="shared" si="1"/>
        <v>34194325.019999988</v>
      </c>
      <c r="I41" s="57">
        <v>9667429.7100000009</v>
      </c>
      <c r="J41" s="57">
        <v>1775718.5999999999</v>
      </c>
      <c r="K41" s="21">
        <f t="shared" si="2"/>
        <v>11443148.310000001</v>
      </c>
    </row>
    <row r="42" spans="3:11">
      <c r="C42" s="55">
        <v>43220</v>
      </c>
      <c r="E42" s="57">
        <v>28792854.179999899</v>
      </c>
      <c r="F42" s="57">
        <v>5509051.9700000007</v>
      </c>
      <c r="G42" s="21">
        <f t="shared" si="1"/>
        <v>34301906.149999902</v>
      </c>
      <c r="I42" s="57">
        <v>9698504.9299999997</v>
      </c>
      <c r="J42" s="57">
        <v>1785695.399999999</v>
      </c>
      <c r="K42" s="21">
        <f t="shared" si="2"/>
        <v>11484200.329999998</v>
      </c>
    </row>
    <row r="43" spans="3:11">
      <c r="C43" s="55">
        <v>43251</v>
      </c>
      <c r="E43" s="57">
        <v>28753694.18</v>
      </c>
      <c r="F43" s="57">
        <v>5532159.5699999994</v>
      </c>
      <c r="G43" s="21">
        <f t="shared" si="1"/>
        <v>34285853.75</v>
      </c>
      <c r="I43" s="57">
        <v>9729857.5999999996</v>
      </c>
      <c r="J43" s="57">
        <v>1796407.15</v>
      </c>
      <c r="K43" s="21">
        <f t="shared" si="2"/>
        <v>11526264.75</v>
      </c>
    </row>
    <row r="44" spans="3:11">
      <c r="C44" s="55">
        <v>43281</v>
      </c>
      <c r="E44" s="57">
        <v>28708283.260000002</v>
      </c>
      <c r="F44" s="57">
        <v>6126552.0199999996</v>
      </c>
      <c r="G44" s="21">
        <f t="shared" si="1"/>
        <v>34834835.280000001</v>
      </c>
      <c r="I44" s="57">
        <v>9744883.4600000009</v>
      </c>
      <c r="J44" s="57">
        <v>2101167.91</v>
      </c>
      <c r="K44" s="21">
        <f t="shared" si="2"/>
        <v>11846051.370000001</v>
      </c>
    </row>
    <row r="45" spans="3:11">
      <c r="C45" s="55">
        <v>43312</v>
      </c>
      <c r="E45" s="57">
        <v>26227987.149999999</v>
      </c>
      <c r="F45" s="57">
        <v>6217632.2800000003</v>
      </c>
      <c r="G45" s="21">
        <f t="shared" si="1"/>
        <v>32445619.43</v>
      </c>
      <c r="I45" s="57">
        <v>8718434.4100000001</v>
      </c>
      <c r="J45" s="57">
        <v>2150090.44</v>
      </c>
      <c r="K45" s="21">
        <f t="shared" si="2"/>
        <v>10868524.85</v>
      </c>
    </row>
    <row r="46" spans="3:11">
      <c r="C46" s="55">
        <v>43343</v>
      </c>
      <c r="E46" s="57">
        <v>28417317.77</v>
      </c>
      <c r="F46" s="57">
        <v>6253340.1000000006</v>
      </c>
      <c r="G46" s="21">
        <f t="shared" si="1"/>
        <v>34670657.869999997</v>
      </c>
      <c r="I46" s="57">
        <v>9736070.6100000013</v>
      </c>
      <c r="J46" s="57">
        <v>2167838.63</v>
      </c>
      <c r="K46" s="21">
        <f t="shared" si="2"/>
        <v>11903909.240000002</v>
      </c>
    </row>
    <row r="47" spans="3:11">
      <c r="C47" s="55">
        <v>43373</v>
      </c>
      <c r="E47" s="57">
        <v>28515841.77</v>
      </c>
      <c r="F47" s="57">
        <v>6640966.0500000007</v>
      </c>
      <c r="G47" s="21">
        <f t="shared" si="1"/>
        <v>35156807.82</v>
      </c>
      <c r="I47" s="57">
        <v>10135410.310000001</v>
      </c>
      <c r="J47" s="57">
        <v>2368904.5299999998</v>
      </c>
      <c r="K47" s="21">
        <f t="shared" si="2"/>
        <v>12504314.84</v>
      </c>
    </row>
    <row r="48" spans="3:11">
      <c r="C48" s="55">
        <v>43404</v>
      </c>
      <c r="E48" s="57">
        <v>28666646.720000003</v>
      </c>
      <c r="F48" s="57">
        <v>7128902.3500000006</v>
      </c>
      <c r="G48" s="21">
        <f t="shared" si="1"/>
        <v>35795549.07</v>
      </c>
      <c r="I48" s="57">
        <v>9898350.2499999981</v>
      </c>
      <c r="J48" s="57">
        <v>2614938.3099999996</v>
      </c>
      <c r="K48" s="21">
        <f t="shared" si="2"/>
        <v>12513288.559999999</v>
      </c>
    </row>
    <row r="49" spans="3:11">
      <c r="C49" s="55">
        <v>43434</v>
      </c>
      <c r="E49" s="57">
        <v>28782223.23</v>
      </c>
      <c r="F49" s="57">
        <v>7652626.46</v>
      </c>
      <c r="G49" s="21">
        <f t="shared" si="1"/>
        <v>36434849.689999998</v>
      </c>
      <c r="I49" s="57">
        <v>10458290.229999999</v>
      </c>
      <c r="J49" s="57">
        <v>2875675.06</v>
      </c>
      <c r="K49" s="21">
        <f t="shared" si="2"/>
        <v>13333965.289999999</v>
      </c>
    </row>
    <row r="50" spans="3:11">
      <c r="C50" s="55">
        <v>43465</v>
      </c>
      <c r="E50" s="57">
        <v>28946396.119999997</v>
      </c>
      <c r="F50" s="57">
        <v>7586553.4100000001</v>
      </c>
      <c r="G50" s="21">
        <f t="shared" si="1"/>
        <v>36532949.530000001</v>
      </c>
      <c r="I50" s="57">
        <v>10066242.6</v>
      </c>
      <c r="J50" s="57">
        <v>2861187.49</v>
      </c>
      <c r="K50" s="21">
        <f t="shared" si="2"/>
        <v>12927430.09</v>
      </c>
    </row>
    <row r="51" spans="3:11">
      <c r="C51" s="55">
        <v>43496</v>
      </c>
      <c r="E51" s="57">
        <v>29132922.23</v>
      </c>
      <c r="F51" s="57">
        <v>7666215.8100000005</v>
      </c>
      <c r="G51" s="21">
        <f t="shared" si="1"/>
        <v>36799138.039999999</v>
      </c>
      <c r="I51" s="57">
        <v>10085971.34</v>
      </c>
      <c r="J51" s="57">
        <v>2924941.8100000005</v>
      </c>
      <c r="K51" s="21">
        <f t="shared" si="2"/>
        <v>13010913.15</v>
      </c>
    </row>
    <row r="52" spans="3:11">
      <c r="C52" s="55">
        <v>43524</v>
      </c>
      <c r="E52" s="57">
        <v>29098703.5</v>
      </c>
      <c r="F52" s="57">
        <v>7936632.1000000006</v>
      </c>
      <c r="G52" s="21">
        <f t="shared" si="1"/>
        <v>37035335.600000001</v>
      </c>
      <c r="I52" s="57">
        <v>10186732.940000001</v>
      </c>
      <c r="J52" s="57">
        <v>2979884.72</v>
      </c>
      <c r="K52" s="21">
        <f t="shared" si="2"/>
        <v>13166617.660000002</v>
      </c>
    </row>
    <row r="53" spans="3:11">
      <c r="C53" s="55">
        <v>43555</v>
      </c>
      <c r="E53" s="57">
        <v>29353318.129999999</v>
      </c>
      <c r="F53" s="57">
        <v>8193770.7799999993</v>
      </c>
      <c r="G53" s="21">
        <f t="shared" si="1"/>
        <v>37547088.909999996</v>
      </c>
      <c r="I53" s="57">
        <v>10302853.030000001</v>
      </c>
      <c r="J53" s="57">
        <v>3054661.9699999997</v>
      </c>
      <c r="K53" s="21">
        <f t="shared" si="2"/>
        <v>13357515</v>
      </c>
    </row>
    <row r="54" spans="3:11">
      <c r="C54" s="55">
        <v>43585</v>
      </c>
      <c r="E54" s="57">
        <v>29326893.390000004</v>
      </c>
      <c r="F54" s="57">
        <v>8335965.5599999996</v>
      </c>
      <c r="G54" s="21">
        <f t="shared" si="1"/>
        <v>37662858.950000003</v>
      </c>
      <c r="I54" s="57">
        <v>10276983.01</v>
      </c>
      <c r="J54" s="57">
        <v>3141388.26</v>
      </c>
      <c r="K54" s="21">
        <f t="shared" si="2"/>
        <v>13418371.27</v>
      </c>
    </row>
    <row r="55" spans="3:11">
      <c r="C55" s="55">
        <v>43616</v>
      </c>
      <c r="E55" s="57">
        <v>29356014.859999999</v>
      </c>
      <c r="F55" s="57">
        <v>8325031.6199999992</v>
      </c>
      <c r="G55" s="21">
        <f t="shared" si="1"/>
        <v>37681046.479999997</v>
      </c>
      <c r="I55" s="57">
        <v>10318582.01</v>
      </c>
      <c r="J55" s="57">
        <v>3133215.85</v>
      </c>
      <c r="K55" s="21">
        <f t="shared" si="2"/>
        <v>13451797.859999999</v>
      </c>
    </row>
    <row r="56" spans="3:11">
      <c r="C56" s="55">
        <v>43646</v>
      </c>
      <c r="E56" s="57">
        <v>29425752.430000003</v>
      </c>
      <c r="F56" s="57">
        <v>8356572.5100000007</v>
      </c>
      <c r="G56" s="21">
        <f t="shared" si="1"/>
        <v>37782324.940000005</v>
      </c>
      <c r="I56" s="57">
        <v>10374419.540000001</v>
      </c>
      <c r="J56" s="57">
        <v>3146463.03</v>
      </c>
      <c r="K56" s="21">
        <f t="shared" si="2"/>
        <v>13520882.57</v>
      </c>
    </row>
    <row r="58" spans="3:11">
      <c r="E58" s="21">
        <f>+SUM(E39:E50)</f>
        <v>341625259.96691197</v>
      </c>
      <c r="F58" s="21">
        <f>+SUM(F39:F50)</f>
        <v>75292958.061924979</v>
      </c>
      <c r="G58" s="21">
        <f>+SUM(G39:G50)</f>
        <v>416918218.02883685</v>
      </c>
      <c r="K58" s="21">
        <f>+SUM(K39:K50)</f>
        <v>143075300.46116298</v>
      </c>
    </row>
    <row r="59" spans="3:11">
      <c r="E59" s="21"/>
      <c r="F59" s="21"/>
      <c r="G59" s="21">
        <f>+SUM(G45:G56)</f>
        <v>435544226.33000004</v>
      </c>
      <c r="K59" s="21">
        <f>+SUM(K45:K56)</f>
        <v>153977530.38</v>
      </c>
    </row>
  </sheetData>
  <pageMargins left="0.7" right="0.7" top="0.75" bottom="0.75" header="0.3" footer="0.3"/>
  <pageSetup scale="8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zoomScale="70" zoomScaleNormal="70" workbookViewId="0">
      <selection activeCell="W3" sqref="W3"/>
    </sheetView>
  </sheetViews>
  <sheetFormatPr defaultRowHeight="15.75"/>
  <cols>
    <col min="1" max="1" width="8.125" customWidth="1"/>
    <col min="2" max="2" width="1.5" customWidth="1"/>
    <col min="3" max="3" width="26.875" customWidth="1"/>
    <col min="4" max="4" width="1.125" customWidth="1"/>
    <col min="5" max="5" width="11.625" bestFit="1" customWidth="1"/>
    <col min="6" max="6" width="1.125" customWidth="1"/>
    <col min="7" max="7" width="13.875" bestFit="1" customWidth="1"/>
    <col min="8" max="8" width="1.125" customWidth="1"/>
    <col min="9" max="9" width="11.25" bestFit="1" customWidth="1"/>
    <col min="10" max="10" width="1.125" customWidth="1"/>
    <col min="11" max="11" width="11.25" bestFit="1" customWidth="1"/>
    <col min="12" max="12" width="1.125" customWidth="1"/>
    <col min="13" max="13" width="12" bestFit="1" customWidth="1"/>
    <col min="14" max="14" width="3.375" style="68" customWidth="1"/>
    <col min="15" max="15" width="12.25" bestFit="1" customWidth="1"/>
    <col min="16" max="16" width="1.125" customWidth="1"/>
    <col min="17" max="17" width="13.875" bestFit="1" customWidth="1"/>
    <col min="18" max="18" width="1.125" customWidth="1"/>
    <col min="19" max="19" width="11.25" bestFit="1" customWidth="1"/>
    <col min="20" max="20" width="1.125" customWidth="1"/>
    <col min="21" max="21" width="17.375" bestFit="1" customWidth="1"/>
    <col min="22" max="22" width="0.75" customWidth="1"/>
    <col min="23" max="23" width="12.75" customWidth="1"/>
  </cols>
  <sheetData>
    <row r="1" spans="1:23">
      <c r="A1" t="s">
        <v>124</v>
      </c>
      <c r="V1" s="10"/>
      <c r="W1" s="10" t="s">
        <v>56</v>
      </c>
    </row>
    <row r="2" spans="1:23">
      <c r="A2" t="s">
        <v>125</v>
      </c>
      <c r="V2" s="10"/>
      <c r="W2" s="10" t="s">
        <v>237</v>
      </c>
    </row>
    <row r="3" spans="1:23">
      <c r="A3" s="85" t="s">
        <v>238</v>
      </c>
      <c r="V3" s="10"/>
      <c r="W3" s="10" t="s">
        <v>295</v>
      </c>
    </row>
    <row r="4" spans="1:23">
      <c r="A4" t="s">
        <v>55</v>
      </c>
      <c r="V4" s="10"/>
      <c r="W4" s="10" t="s">
        <v>26</v>
      </c>
    </row>
    <row r="5" spans="1:23">
      <c r="V5" s="10"/>
      <c r="W5" s="10"/>
    </row>
    <row r="6" spans="1:23">
      <c r="V6" s="10"/>
      <c r="W6" s="10"/>
    </row>
    <row r="7" spans="1:23" ht="8.4499999999999993" customHeight="1">
      <c r="E7" s="21"/>
      <c r="F7" s="21"/>
      <c r="G7" s="21"/>
      <c r="H7" s="21"/>
    </row>
    <row r="8" spans="1:23">
      <c r="E8" s="125"/>
      <c r="F8" s="125"/>
      <c r="G8" s="125"/>
      <c r="H8" s="125"/>
      <c r="I8" s="125"/>
      <c r="K8" s="2"/>
      <c r="L8" s="2"/>
      <c r="M8" s="2"/>
      <c r="O8" s="126" t="s">
        <v>24</v>
      </c>
      <c r="P8" s="126"/>
      <c r="Q8" s="126"/>
      <c r="R8" s="126"/>
      <c r="S8" s="126"/>
      <c r="T8" s="15"/>
      <c r="U8" s="2" t="s">
        <v>18</v>
      </c>
      <c r="V8" s="2"/>
      <c r="W8" s="2" t="s">
        <v>19</v>
      </c>
    </row>
    <row r="9" spans="1:23" ht="19.899999999999999" customHeight="1">
      <c r="A9" s="2" t="s">
        <v>57</v>
      </c>
      <c r="B9" s="2"/>
      <c r="E9" s="128" t="s">
        <v>154</v>
      </c>
      <c r="F9" s="128"/>
      <c r="G9" s="128"/>
      <c r="H9" s="128"/>
      <c r="I9" s="128"/>
      <c r="K9" s="127" t="s">
        <v>51</v>
      </c>
      <c r="L9" s="127"/>
      <c r="M9" s="127"/>
      <c r="O9" s="127" t="s">
        <v>25</v>
      </c>
      <c r="P9" s="127"/>
      <c r="Q9" s="127"/>
      <c r="R9" s="127"/>
      <c r="S9" s="127"/>
      <c r="T9" s="15"/>
      <c r="U9" s="2" t="s">
        <v>258</v>
      </c>
      <c r="V9" s="2"/>
      <c r="W9" s="2" t="s">
        <v>20</v>
      </c>
    </row>
    <row r="10" spans="1:23" ht="19.899999999999999" customHeight="1">
      <c r="A10" s="3" t="s">
        <v>15</v>
      </c>
      <c r="B10" s="15"/>
      <c r="C10" s="3" t="s">
        <v>260</v>
      </c>
      <c r="D10" s="15"/>
      <c r="E10" s="28" t="s">
        <v>16</v>
      </c>
      <c r="F10" s="27"/>
      <c r="G10" s="28" t="s">
        <v>4</v>
      </c>
      <c r="H10" s="27"/>
      <c r="I10" s="3" t="s">
        <v>17</v>
      </c>
      <c r="K10" s="3" t="s">
        <v>122</v>
      </c>
      <c r="L10" s="38"/>
      <c r="M10" s="40" t="s">
        <v>4</v>
      </c>
      <c r="O10" s="28" t="s">
        <v>16</v>
      </c>
      <c r="P10" s="27"/>
      <c r="Q10" s="28" t="s">
        <v>4</v>
      </c>
      <c r="R10" s="27"/>
      <c r="S10" s="3" t="s">
        <v>17</v>
      </c>
      <c r="T10" s="15"/>
      <c r="U10" s="3" t="s">
        <v>259</v>
      </c>
      <c r="V10" s="15"/>
      <c r="W10" s="3" t="s">
        <v>21</v>
      </c>
    </row>
    <row r="11" spans="1:23" ht="19.899999999999999" customHeight="1">
      <c r="E11" s="21"/>
      <c r="F11" s="21"/>
      <c r="G11" s="21"/>
      <c r="H11" s="21"/>
      <c r="Q11" s="36"/>
      <c r="T11" s="16"/>
    </row>
    <row r="12" spans="1:23" ht="22.15" customHeight="1">
      <c r="B12" s="24"/>
      <c r="C12" t="s">
        <v>231</v>
      </c>
      <c r="D12" s="11"/>
      <c r="E12" s="64">
        <v>103864304</v>
      </c>
      <c r="F12" s="65"/>
      <c r="G12" s="64">
        <v>1951252143</v>
      </c>
      <c r="H12" s="65"/>
      <c r="I12" s="64">
        <f>((G12*0.0762)-E12)/0.754097</f>
        <v>59436795.65970958</v>
      </c>
      <c r="J12" s="22"/>
      <c r="K12" s="12"/>
      <c r="L12" s="12"/>
      <c r="M12" s="12"/>
      <c r="O12" s="21">
        <f>+E12</f>
        <v>103864304</v>
      </c>
      <c r="P12" s="21"/>
      <c r="Q12" s="21">
        <f>+G12</f>
        <v>1951252143</v>
      </c>
      <c r="R12" s="21"/>
      <c r="S12" s="12">
        <f>((Q12*'Cost of Capital'!G$41)-O12)/0.754097</f>
        <v>45190088.440155953</v>
      </c>
      <c r="T12" s="16"/>
      <c r="U12" s="86" t="s">
        <v>22</v>
      </c>
      <c r="V12" s="13"/>
      <c r="W12" s="12">
        <f t="shared" ref="W12:W46" si="0">+S12-I12</f>
        <v>-14246707.219553627</v>
      </c>
    </row>
    <row r="13" spans="1:23" ht="22.15" customHeight="1">
      <c r="A13" t="s">
        <v>98</v>
      </c>
      <c r="B13" s="24"/>
      <c r="C13" t="s">
        <v>75</v>
      </c>
      <c r="D13" s="11"/>
      <c r="E13" s="64">
        <v>954667</v>
      </c>
      <c r="F13" s="66"/>
      <c r="G13" s="64">
        <v>0</v>
      </c>
      <c r="H13" s="66"/>
      <c r="I13" s="64">
        <f t="shared" ref="I13:I32" si="1">((G13*0.0762)-E13)/0.754097</f>
        <v>-1265973.7407787063</v>
      </c>
      <c r="K13" s="12"/>
      <c r="L13" s="12"/>
      <c r="M13" s="12"/>
      <c r="O13" s="21">
        <f>+E13+K13</f>
        <v>954667</v>
      </c>
      <c r="P13" s="21"/>
      <c r="Q13" s="21">
        <f>+G13+M13</f>
        <v>0</v>
      </c>
      <c r="R13" s="8"/>
      <c r="S13" s="12">
        <f>((Q13*'Cost of Capital'!G$41)-O13)/0.754097</f>
        <v>-1265973.7407787063</v>
      </c>
      <c r="U13" s="86" t="s">
        <v>22</v>
      </c>
      <c r="V13" s="13"/>
      <c r="W13" s="12">
        <f t="shared" si="0"/>
        <v>0</v>
      </c>
    </row>
    <row r="14" spans="1:23" ht="22.15" customHeight="1">
      <c r="A14" t="s">
        <v>99</v>
      </c>
      <c r="B14" s="24"/>
      <c r="C14" t="s">
        <v>74</v>
      </c>
      <c r="D14" s="11"/>
      <c r="E14" s="64">
        <v>31955</v>
      </c>
      <c r="F14" s="66"/>
      <c r="G14" s="64">
        <v>0</v>
      </c>
      <c r="H14" s="66"/>
      <c r="I14" s="64">
        <f t="shared" si="1"/>
        <v>-42375.185155225387</v>
      </c>
      <c r="K14" s="12"/>
      <c r="L14" s="12"/>
      <c r="M14" s="12"/>
      <c r="O14" s="21">
        <f t="shared" ref="O14:O32" si="2">+E14+K14</f>
        <v>31955</v>
      </c>
      <c r="P14" s="21"/>
      <c r="Q14" s="21">
        <f t="shared" ref="Q14:Q32" si="3">+G14+M14</f>
        <v>0</v>
      </c>
      <c r="R14" s="8"/>
      <c r="S14" s="12">
        <f>((Q14*'Cost of Capital'!G$41)-O14)/0.754097</f>
        <v>-42375.185155225387</v>
      </c>
      <c r="U14" s="86" t="s">
        <v>22</v>
      </c>
      <c r="V14" s="13"/>
      <c r="W14" s="12">
        <f t="shared" si="0"/>
        <v>0</v>
      </c>
    </row>
    <row r="15" spans="1:23" ht="22.15" customHeight="1">
      <c r="A15" t="s">
        <v>100</v>
      </c>
      <c r="B15" s="24"/>
      <c r="C15" t="s">
        <v>73</v>
      </c>
      <c r="D15" s="11"/>
      <c r="E15" s="64">
        <v>1216419</v>
      </c>
      <c r="F15" s="66"/>
      <c r="G15" s="64">
        <v>0</v>
      </c>
      <c r="H15" s="66"/>
      <c r="I15" s="64">
        <f t="shared" si="1"/>
        <v>-1613080.2801231141</v>
      </c>
      <c r="K15" s="12">
        <f>+O15-E15</f>
        <v>2306435.3520547943</v>
      </c>
      <c r="L15" s="12"/>
      <c r="M15" s="12">
        <f>+Q15-G15</f>
        <v>-5820422.319444444</v>
      </c>
      <c r="N15" s="68" t="s">
        <v>37</v>
      </c>
      <c r="O15" s="21">
        <f>+'Interim Protected EDIT'!G23</f>
        <v>3522854.3520547943</v>
      </c>
      <c r="P15" s="21"/>
      <c r="Q15" s="21">
        <f>-'Interim Protected EDIT'!G21</f>
        <v>-5820422.319444444</v>
      </c>
      <c r="R15" s="8"/>
      <c r="S15" s="12">
        <f>((Q15*'Cost of Capital'!G$41)-O15)/0.754097</f>
        <v>-5217264.9799002409</v>
      </c>
      <c r="U15" s="86" t="s">
        <v>22</v>
      </c>
      <c r="V15" s="13"/>
      <c r="W15" s="12">
        <f t="shared" si="0"/>
        <v>-3604184.6997771268</v>
      </c>
    </row>
    <row r="16" spans="1:23" ht="22.15" customHeight="1">
      <c r="A16" t="s">
        <v>101</v>
      </c>
      <c r="B16" s="24"/>
      <c r="C16" t="s">
        <v>72</v>
      </c>
      <c r="D16" s="11"/>
      <c r="E16" s="64">
        <v>12917116</v>
      </c>
      <c r="F16" s="66"/>
      <c r="G16" s="64">
        <v>0</v>
      </c>
      <c r="H16" s="66"/>
      <c r="I16" s="64">
        <f t="shared" si="1"/>
        <v>-17129249.950603172</v>
      </c>
      <c r="K16" s="12"/>
      <c r="L16" s="12"/>
      <c r="M16" s="12"/>
      <c r="O16" s="21">
        <f t="shared" si="2"/>
        <v>12917116</v>
      </c>
      <c r="P16" s="21"/>
      <c r="Q16" s="21">
        <f t="shared" si="3"/>
        <v>0</v>
      </c>
      <c r="R16" s="8"/>
      <c r="S16" s="12">
        <f>((Q16*'Cost of Capital'!G$41)-O16)/0.754097</f>
        <v>-17129249.950603172</v>
      </c>
      <c r="U16" s="86" t="s">
        <v>22</v>
      </c>
      <c r="V16" s="13"/>
      <c r="W16" s="12">
        <f t="shared" si="0"/>
        <v>0</v>
      </c>
    </row>
    <row r="17" spans="1:23" ht="22.15" customHeight="1">
      <c r="A17" t="s">
        <v>102</v>
      </c>
      <c r="B17" s="24"/>
      <c r="C17" t="s">
        <v>239</v>
      </c>
      <c r="D17" s="11"/>
      <c r="E17" s="64">
        <v>-1412119</v>
      </c>
      <c r="F17" s="66"/>
      <c r="G17" s="64">
        <v>0</v>
      </c>
      <c r="H17" s="66"/>
      <c r="I17" s="64">
        <f t="shared" si="1"/>
        <v>1872595.9657709817</v>
      </c>
      <c r="K17" s="12"/>
      <c r="L17" s="12"/>
      <c r="M17" s="12"/>
      <c r="O17" s="21">
        <f t="shared" si="2"/>
        <v>-1412119</v>
      </c>
      <c r="P17" s="21"/>
      <c r="Q17" s="21">
        <f t="shared" si="3"/>
        <v>0</v>
      </c>
      <c r="R17" s="8"/>
      <c r="S17" s="12">
        <f>((Q17*'Cost of Capital'!G$41)-O17)/0.754097</f>
        <v>1872595.9657709817</v>
      </c>
      <c r="U17" s="86" t="s">
        <v>22</v>
      </c>
      <c r="V17" s="13"/>
      <c r="W17" s="12">
        <f t="shared" si="0"/>
        <v>0</v>
      </c>
    </row>
    <row r="18" spans="1:23" ht="22.15" customHeight="1">
      <c r="A18" t="s">
        <v>103</v>
      </c>
      <c r="B18" s="24"/>
      <c r="C18" t="s">
        <v>53</v>
      </c>
      <c r="D18" s="11"/>
      <c r="E18" s="64">
        <v>-1256319</v>
      </c>
      <c r="F18" s="66"/>
      <c r="G18" s="64">
        <v>0</v>
      </c>
      <c r="H18" s="66"/>
      <c r="I18" s="64">
        <f t="shared" si="1"/>
        <v>1665991.2451581163</v>
      </c>
      <c r="K18" s="12"/>
      <c r="L18" s="12"/>
      <c r="M18" s="12"/>
      <c r="O18" s="21">
        <f t="shared" si="2"/>
        <v>-1256319</v>
      </c>
      <c r="P18" s="21"/>
      <c r="Q18" s="21">
        <f t="shared" si="3"/>
        <v>0</v>
      </c>
      <c r="R18" s="8"/>
      <c r="S18" s="12">
        <f>((Q18*'Cost of Capital'!G$41)-O18)/0.754097</f>
        <v>1665991.2451581163</v>
      </c>
      <c r="U18" s="86" t="s">
        <v>22</v>
      </c>
      <c r="V18" s="13"/>
      <c r="W18" s="12">
        <f t="shared" si="0"/>
        <v>0</v>
      </c>
    </row>
    <row r="19" spans="1:23" ht="22.15" customHeight="1">
      <c r="A19" t="s">
        <v>104</v>
      </c>
      <c r="B19" s="24"/>
      <c r="C19" t="s">
        <v>71</v>
      </c>
      <c r="D19" s="11"/>
      <c r="E19" s="64">
        <v>-125429</v>
      </c>
      <c r="F19" s="66"/>
      <c r="G19" s="64">
        <v>0</v>
      </c>
      <c r="H19" s="66"/>
      <c r="I19" s="64">
        <f t="shared" si="1"/>
        <v>166330.06098684916</v>
      </c>
      <c r="K19" s="12"/>
      <c r="L19" s="12"/>
      <c r="M19" s="12"/>
      <c r="O19" s="21">
        <f t="shared" si="2"/>
        <v>-125429</v>
      </c>
      <c r="P19" s="21"/>
      <c r="Q19" s="21">
        <f t="shared" si="3"/>
        <v>0</v>
      </c>
      <c r="R19" s="8"/>
      <c r="S19" s="12">
        <f>((Q19*'Cost of Capital'!G$41)-O19)/0.754097</f>
        <v>166330.06098684916</v>
      </c>
      <c r="U19" s="86" t="s">
        <v>22</v>
      </c>
      <c r="V19" s="13"/>
      <c r="W19" s="12">
        <f t="shared" si="0"/>
        <v>0</v>
      </c>
    </row>
    <row r="20" spans="1:23" ht="22.15" customHeight="1">
      <c r="A20" t="s">
        <v>105</v>
      </c>
      <c r="B20" s="24"/>
      <c r="C20" t="s">
        <v>70</v>
      </c>
      <c r="D20" s="11"/>
      <c r="E20" s="64">
        <v>-187098</v>
      </c>
      <c r="F20" s="66"/>
      <c r="G20" s="64">
        <v>0</v>
      </c>
      <c r="H20" s="66"/>
      <c r="I20" s="64">
        <f t="shared" si="1"/>
        <v>248108.66506563479</v>
      </c>
      <c r="K20" s="12">
        <f>+Incentives!G25</f>
        <v>1546627.24</v>
      </c>
      <c r="L20" s="12"/>
      <c r="M20" s="12"/>
      <c r="N20" s="68" t="s">
        <v>39</v>
      </c>
      <c r="O20" s="21">
        <f t="shared" si="2"/>
        <v>1359529.24</v>
      </c>
      <c r="P20" s="21"/>
      <c r="Q20" s="21">
        <f t="shared" si="3"/>
        <v>0</v>
      </c>
      <c r="R20" s="8"/>
      <c r="S20" s="12">
        <f>((Q20*'Cost of Capital'!G$41)-O20)/0.754097</f>
        <v>-1802857.2451554639</v>
      </c>
      <c r="U20" s="86" t="s">
        <v>23</v>
      </c>
      <c r="V20" s="13"/>
      <c r="W20" s="12">
        <f t="shared" si="0"/>
        <v>-2050965.9102210987</v>
      </c>
    </row>
    <row r="21" spans="1:23" ht="22.15" customHeight="1">
      <c r="A21" t="s">
        <v>106</v>
      </c>
      <c r="B21" s="24"/>
      <c r="C21" t="s">
        <v>69</v>
      </c>
      <c r="D21" s="11"/>
      <c r="E21" s="64">
        <v>69886</v>
      </c>
      <c r="F21" s="66"/>
      <c r="G21" s="64">
        <v>0</v>
      </c>
      <c r="H21" s="66"/>
      <c r="I21" s="64">
        <f t="shared" si="1"/>
        <v>-92675.080261557858</v>
      </c>
      <c r="K21" s="12"/>
      <c r="L21" s="12"/>
      <c r="M21" s="12"/>
      <c r="O21" s="21">
        <f t="shared" si="2"/>
        <v>69886</v>
      </c>
      <c r="P21" s="21"/>
      <c r="Q21" s="21">
        <f t="shared" si="3"/>
        <v>0</v>
      </c>
      <c r="R21" s="8"/>
      <c r="S21" s="12">
        <f>((Q21*'Cost of Capital'!G$41)-O21)/0.754097</f>
        <v>-92675.080261557858</v>
      </c>
      <c r="U21" s="86" t="s">
        <v>22</v>
      </c>
      <c r="V21" s="13"/>
      <c r="W21" s="12">
        <f t="shared" si="0"/>
        <v>0</v>
      </c>
    </row>
    <row r="22" spans="1:23" ht="22.15" customHeight="1">
      <c r="A22" t="s">
        <v>107</v>
      </c>
      <c r="B22" s="24"/>
      <c r="C22" t="s">
        <v>68</v>
      </c>
      <c r="D22" s="11"/>
      <c r="E22" s="64">
        <v>3831</v>
      </c>
      <c r="F22" s="66"/>
      <c r="G22" s="64">
        <v>0</v>
      </c>
      <c r="H22" s="66"/>
      <c r="I22" s="64">
        <f t="shared" si="1"/>
        <v>-5080.248296969753</v>
      </c>
      <c r="K22" s="12"/>
      <c r="L22" s="12"/>
      <c r="M22" s="12"/>
      <c r="O22" s="21">
        <f t="shared" si="2"/>
        <v>3831</v>
      </c>
      <c r="P22" s="21"/>
      <c r="Q22" s="21">
        <f t="shared" si="3"/>
        <v>0</v>
      </c>
      <c r="R22" s="8"/>
      <c r="S22" s="12">
        <f>((Q22*'Cost of Capital'!G$41)-O22)/0.754097</f>
        <v>-5080.248296969753</v>
      </c>
      <c r="U22" s="86" t="s">
        <v>22</v>
      </c>
      <c r="V22" s="13"/>
      <c r="W22" s="12">
        <f t="shared" si="0"/>
        <v>0</v>
      </c>
    </row>
    <row r="23" spans="1:23" ht="22.15" customHeight="1">
      <c r="A23" t="s">
        <v>108</v>
      </c>
      <c r="B23" s="24"/>
      <c r="C23" t="s">
        <v>67</v>
      </c>
      <c r="D23" s="11"/>
      <c r="E23" s="64">
        <v>-204504</v>
      </c>
      <c r="F23" s="66"/>
      <c r="G23" s="64">
        <v>0</v>
      </c>
      <c r="H23" s="66"/>
      <c r="I23" s="64">
        <f t="shared" si="1"/>
        <v>271190.57627864851</v>
      </c>
      <c r="K23" s="12"/>
      <c r="L23" s="12"/>
      <c r="M23" s="12"/>
      <c r="O23" s="21">
        <f t="shared" si="2"/>
        <v>-204504</v>
      </c>
      <c r="P23" s="21"/>
      <c r="Q23" s="21">
        <f t="shared" si="3"/>
        <v>0</v>
      </c>
      <c r="R23" s="8"/>
      <c r="S23" s="12">
        <f>((Q23*'Cost of Capital'!G$41)-O23)/0.754097</f>
        <v>271190.57627864851</v>
      </c>
      <c r="U23" s="86" t="s">
        <v>22</v>
      </c>
      <c r="V23" s="13"/>
      <c r="W23" s="12">
        <f t="shared" si="0"/>
        <v>0</v>
      </c>
    </row>
    <row r="24" spans="1:23" ht="22.15" customHeight="1">
      <c r="A24" t="s">
        <v>109</v>
      </c>
      <c r="B24" s="24"/>
      <c r="C24" t="s">
        <v>66</v>
      </c>
      <c r="D24" s="11"/>
      <c r="E24" s="64">
        <v>-438078</v>
      </c>
      <c r="F24" s="66"/>
      <c r="G24" s="64">
        <v>0</v>
      </c>
      <c r="H24" s="66"/>
      <c r="I24" s="64">
        <f t="shared" si="1"/>
        <v>580930.5699399414</v>
      </c>
      <c r="K24" s="12"/>
      <c r="L24" s="12"/>
      <c r="M24" s="12"/>
      <c r="O24" s="21">
        <f t="shared" si="2"/>
        <v>-438078</v>
      </c>
      <c r="P24" s="21"/>
      <c r="Q24" s="21">
        <f t="shared" si="3"/>
        <v>0</v>
      </c>
      <c r="R24" s="8"/>
      <c r="S24" s="12">
        <f>((Q24*'Cost of Capital'!G$41)-O24)/0.754097</f>
        <v>580930.5699399414</v>
      </c>
      <c r="U24" s="86" t="s">
        <v>22</v>
      </c>
      <c r="V24" s="13"/>
      <c r="W24" s="12">
        <f t="shared" si="0"/>
        <v>0</v>
      </c>
    </row>
    <row r="25" spans="1:23" ht="22.15" customHeight="1">
      <c r="A25" t="s">
        <v>110</v>
      </c>
      <c r="B25" s="24"/>
      <c r="C25" t="s">
        <v>65</v>
      </c>
      <c r="D25" s="11"/>
      <c r="E25" s="64">
        <v>-770451</v>
      </c>
      <c r="F25" s="66"/>
      <c r="G25" s="64">
        <v>0</v>
      </c>
      <c r="H25" s="66"/>
      <c r="I25" s="64">
        <f t="shared" si="1"/>
        <v>1021686.8652176046</v>
      </c>
      <c r="J25" s="23"/>
      <c r="K25" s="12"/>
      <c r="L25" s="12"/>
      <c r="M25" s="12"/>
      <c r="O25" s="21">
        <f t="shared" si="2"/>
        <v>-770451</v>
      </c>
      <c r="P25" s="21"/>
      <c r="Q25" s="21">
        <f t="shared" si="3"/>
        <v>0</v>
      </c>
      <c r="R25" s="8"/>
      <c r="S25" s="12">
        <f>((Q25*'Cost of Capital'!G$41)-O25)/0.754097</f>
        <v>1021686.8652176046</v>
      </c>
      <c r="U25" s="86" t="s">
        <v>22</v>
      </c>
      <c r="V25" s="13"/>
      <c r="W25" s="12">
        <f t="shared" si="0"/>
        <v>0</v>
      </c>
    </row>
    <row r="26" spans="1:23" ht="22.15" customHeight="1">
      <c r="A26" t="s">
        <v>111</v>
      </c>
      <c r="B26" s="24"/>
      <c r="C26" t="s">
        <v>64</v>
      </c>
      <c r="D26" s="11"/>
      <c r="E26" s="64">
        <v>-52646</v>
      </c>
      <c r="F26" s="66"/>
      <c r="G26" s="64">
        <v>0</v>
      </c>
      <c r="H26" s="66"/>
      <c r="I26" s="64">
        <f t="shared" si="1"/>
        <v>69813.299880519349</v>
      </c>
      <c r="K26" s="12"/>
      <c r="L26" s="12"/>
      <c r="M26" s="12"/>
      <c r="O26" s="21">
        <f t="shared" si="2"/>
        <v>-52646</v>
      </c>
      <c r="P26" s="21"/>
      <c r="Q26" s="21">
        <f t="shared" si="3"/>
        <v>0</v>
      </c>
      <c r="R26" s="8"/>
      <c r="S26" s="12">
        <f>((Q26*'Cost of Capital'!G$41)-O26)/0.754097</f>
        <v>69813.299880519349</v>
      </c>
      <c r="U26" s="86" t="s">
        <v>22</v>
      </c>
      <c r="V26" s="13"/>
      <c r="W26" s="12">
        <f t="shared" si="0"/>
        <v>0</v>
      </c>
    </row>
    <row r="27" spans="1:23" ht="22.15" customHeight="1">
      <c r="A27" t="s">
        <v>112</v>
      </c>
      <c r="B27" s="24"/>
      <c r="C27" t="s">
        <v>63</v>
      </c>
      <c r="D27" s="11"/>
      <c r="E27" s="64">
        <v>-359399</v>
      </c>
      <c r="F27" s="66"/>
      <c r="G27" s="64">
        <v>0</v>
      </c>
      <c r="H27" s="66"/>
      <c r="I27" s="64">
        <f t="shared" si="1"/>
        <v>476595.18603044434</v>
      </c>
      <c r="K27" s="12"/>
      <c r="L27" s="12"/>
      <c r="M27" s="12"/>
      <c r="O27" s="21">
        <f t="shared" si="2"/>
        <v>-359399</v>
      </c>
      <c r="P27" s="21"/>
      <c r="Q27" s="21">
        <f t="shared" si="3"/>
        <v>0</v>
      </c>
      <c r="R27" s="8"/>
      <c r="S27" s="12">
        <f>((Q27*'Cost of Capital'!G$41)-O27)/0.754097</f>
        <v>476595.18603044434</v>
      </c>
      <c r="U27" s="86" t="s">
        <v>22</v>
      </c>
      <c r="V27" s="13"/>
      <c r="W27" s="12">
        <f t="shared" si="0"/>
        <v>0</v>
      </c>
    </row>
    <row r="28" spans="1:23" ht="22.15" customHeight="1">
      <c r="A28" t="s">
        <v>113</v>
      </c>
      <c r="B28" s="24"/>
      <c r="C28" t="s">
        <v>62</v>
      </c>
      <c r="D28" s="11"/>
      <c r="E28" s="64">
        <v>-4190</v>
      </c>
      <c r="F28" s="66"/>
      <c r="G28" s="64">
        <v>0</v>
      </c>
      <c r="H28" s="66"/>
      <c r="I28" s="64">
        <f t="shared" si="1"/>
        <v>5556.3143733498473</v>
      </c>
      <c r="K28" s="12"/>
      <c r="L28" s="12"/>
      <c r="M28" s="12"/>
      <c r="O28" s="21">
        <f t="shared" si="2"/>
        <v>-4190</v>
      </c>
      <c r="P28" s="21"/>
      <c r="Q28" s="21">
        <f t="shared" si="3"/>
        <v>0</v>
      </c>
      <c r="R28" s="8"/>
      <c r="S28" s="12">
        <f>((Q28*'Cost of Capital'!G$41)-O28)/0.754097</f>
        <v>5556.3143733498473</v>
      </c>
      <c r="U28" s="86" t="s">
        <v>22</v>
      </c>
      <c r="V28" s="13"/>
      <c r="W28" s="12">
        <f t="shared" si="0"/>
        <v>0</v>
      </c>
    </row>
    <row r="29" spans="1:23" ht="22.15" customHeight="1">
      <c r="A29" t="s">
        <v>114</v>
      </c>
      <c r="B29" s="24"/>
      <c r="C29" t="s">
        <v>61</v>
      </c>
      <c r="D29" s="11"/>
      <c r="E29" s="64">
        <v>-10645</v>
      </c>
      <c r="F29" s="66"/>
      <c r="G29" s="64">
        <v>0</v>
      </c>
      <c r="H29" s="66"/>
      <c r="I29" s="64">
        <f t="shared" si="1"/>
        <v>14116.221122746809</v>
      </c>
      <c r="K29" s="12"/>
      <c r="L29" s="12"/>
      <c r="M29" s="12"/>
      <c r="O29" s="21">
        <f t="shared" si="2"/>
        <v>-10645</v>
      </c>
      <c r="P29" s="21"/>
      <c r="Q29" s="21">
        <f t="shared" si="3"/>
        <v>0</v>
      </c>
      <c r="R29" s="8"/>
      <c r="S29" s="12">
        <f>((Q29*'Cost of Capital'!G$41)-O29)/0.754097</f>
        <v>14116.221122746809</v>
      </c>
      <c r="U29" s="86" t="s">
        <v>22</v>
      </c>
      <c r="V29" s="13"/>
      <c r="W29" s="12">
        <f t="shared" si="0"/>
        <v>0</v>
      </c>
    </row>
    <row r="30" spans="1:23" ht="22.15" customHeight="1">
      <c r="A30" t="s">
        <v>115</v>
      </c>
      <c r="B30" s="24"/>
      <c r="C30" t="s">
        <v>60</v>
      </c>
      <c r="D30" s="11"/>
      <c r="E30" s="64"/>
      <c r="F30" s="66"/>
      <c r="G30" s="64">
        <v>150665688</v>
      </c>
      <c r="H30" s="66"/>
      <c r="I30" s="64">
        <f t="shared" si="1"/>
        <v>15224467.708530866</v>
      </c>
      <c r="K30" s="12"/>
      <c r="L30" s="12"/>
      <c r="M30" s="12">
        <f>+Q30-G30</f>
        <v>-33049618</v>
      </c>
      <c r="N30" s="68" t="s">
        <v>38</v>
      </c>
      <c r="O30" s="21"/>
      <c r="P30" s="21"/>
      <c r="Q30" s="21">
        <f>+'Plant Update'!G18</f>
        <v>117616070</v>
      </c>
      <c r="R30" s="8"/>
      <c r="S30" s="12">
        <f>((Q30*'Cost of Capital'!G$41)-O30)/0.754097</f>
        <v>11026117.613764541</v>
      </c>
      <c r="U30" s="86" t="s">
        <v>22</v>
      </c>
      <c r="V30" s="13"/>
      <c r="W30" s="12">
        <f t="shared" si="0"/>
        <v>-4198350.0947663244</v>
      </c>
    </row>
    <row r="31" spans="1:23" ht="22.15" customHeight="1">
      <c r="A31" t="s">
        <v>116</v>
      </c>
      <c r="B31" s="24"/>
      <c r="C31" t="s">
        <v>59</v>
      </c>
      <c r="D31" s="11"/>
      <c r="E31" s="64">
        <v>-9738308</v>
      </c>
      <c r="F31" s="66"/>
      <c r="G31" s="64">
        <v>-9738308</v>
      </c>
      <c r="H31" s="66"/>
      <c r="I31" s="64">
        <f t="shared" si="1"/>
        <v>11929829.889788713</v>
      </c>
      <c r="K31" s="12">
        <f>+O31-E31</f>
        <v>1125546.3641187623</v>
      </c>
      <c r="L31" s="12"/>
      <c r="M31" s="12">
        <f>+Q31-G31</f>
        <v>1125546.3641187623</v>
      </c>
      <c r="N31" s="68" t="s">
        <v>38</v>
      </c>
      <c r="O31" s="21">
        <f>+'Plant Update'!G22</f>
        <v>-8612761.6358812377</v>
      </c>
      <c r="P31" s="21"/>
      <c r="Q31" s="21">
        <f>+'Plant Update'!G26</f>
        <v>-8612761.6358812377</v>
      </c>
      <c r="R31" s="8"/>
      <c r="S31" s="12">
        <f>((Q31*'Cost of Capital'!G$41)-O31)/0.754097</f>
        <v>10613873.55143713</v>
      </c>
      <c r="U31" s="86" t="s">
        <v>22</v>
      </c>
      <c r="V31" s="13"/>
      <c r="W31" s="12">
        <f t="shared" ref="W31:W32" si="4">+S31-I31</f>
        <v>-1315956.3383515831</v>
      </c>
    </row>
    <row r="32" spans="1:23" ht="22.15" customHeight="1">
      <c r="A32" t="s">
        <v>97</v>
      </c>
      <c r="B32" s="24"/>
      <c r="C32" t="s">
        <v>58</v>
      </c>
      <c r="D32" s="11"/>
      <c r="E32" s="64">
        <v>520589</v>
      </c>
      <c r="F32" s="66"/>
      <c r="G32" s="64">
        <v>0</v>
      </c>
      <c r="H32" s="66"/>
      <c r="I32" s="64">
        <f t="shared" si="1"/>
        <v>-690347.52823575749</v>
      </c>
      <c r="K32" s="12"/>
      <c r="L32" s="12"/>
      <c r="M32" s="12"/>
      <c r="O32" s="21">
        <f t="shared" si="2"/>
        <v>520589</v>
      </c>
      <c r="P32" s="21"/>
      <c r="Q32" s="21">
        <f t="shared" si="3"/>
        <v>0</v>
      </c>
      <c r="R32" s="8"/>
      <c r="S32" s="12">
        <f>((Q32*'Cost of Capital'!G$41)-O32)/0.754097</f>
        <v>-690347.52823575749</v>
      </c>
      <c r="U32" s="86" t="s">
        <v>22</v>
      </c>
      <c r="V32" s="13"/>
      <c r="W32" s="12">
        <f t="shared" si="4"/>
        <v>0</v>
      </c>
    </row>
    <row r="33" spans="1:23" ht="22.15" customHeight="1">
      <c r="B33" s="24"/>
      <c r="D33" s="11"/>
      <c r="E33" s="64"/>
      <c r="F33" s="67"/>
      <c r="G33" s="64"/>
      <c r="H33" s="66"/>
      <c r="I33" s="64"/>
      <c r="K33" s="12"/>
      <c r="L33" s="12"/>
      <c r="M33" s="12"/>
      <c r="O33" s="21"/>
      <c r="P33" s="21"/>
      <c r="Q33" s="21"/>
      <c r="R33" s="8"/>
      <c r="S33" s="12"/>
      <c r="U33" s="86"/>
      <c r="V33" s="13"/>
      <c r="W33" s="12"/>
    </row>
    <row r="34" spans="1:23" ht="22.15" customHeight="1">
      <c r="A34" t="s">
        <v>35</v>
      </c>
      <c r="B34" s="24"/>
      <c r="D34" s="11"/>
      <c r="E34" s="64"/>
      <c r="F34" s="66"/>
      <c r="G34" s="64"/>
      <c r="H34" s="66"/>
      <c r="I34" s="64"/>
      <c r="K34" s="12"/>
      <c r="L34" s="12"/>
      <c r="M34" s="12"/>
      <c r="O34" s="21"/>
      <c r="P34" s="21"/>
      <c r="Q34" s="21"/>
      <c r="R34" s="8"/>
      <c r="S34" s="12"/>
      <c r="U34" s="86"/>
      <c r="V34" s="13"/>
      <c r="W34" s="12"/>
    </row>
    <row r="35" spans="1:23" ht="22.15" customHeight="1">
      <c r="A35" t="s">
        <v>128</v>
      </c>
      <c r="B35" s="24"/>
      <c r="C35" t="s">
        <v>75</v>
      </c>
      <c r="D35" s="11"/>
      <c r="E35" s="64">
        <v>-7393164</v>
      </c>
      <c r="F35" s="65"/>
      <c r="G35" s="64">
        <v>0</v>
      </c>
      <c r="H35" s="65"/>
      <c r="I35" s="64">
        <f t="shared" ref="I35:I55" si="5">((G35*0.0762)-E35)/0.754097</f>
        <v>9803996.0376450233</v>
      </c>
      <c r="K35" s="12">
        <v>0</v>
      </c>
      <c r="L35" s="12"/>
      <c r="M35" s="12">
        <f>-G35</f>
        <v>0</v>
      </c>
      <c r="O35" s="21">
        <f t="shared" ref="O35:O55" si="6">+E35+K35</f>
        <v>-7393164</v>
      </c>
      <c r="P35" s="21"/>
      <c r="Q35" s="21">
        <f t="shared" ref="Q35:Q55" si="7">+G35+M35</f>
        <v>0</v>
      </c>
      <c r="R35" s="21"/>
      <c r="S35" s="12">
        <f>((Q35*'Cost of Capital'!G$41)-O35)/0.754097</f>
        <v>9803996.0376450233</v>
      </c>
      <c r="U35" s="86" t="s">
        <v>23</v>
      </c>
      <c r="V35" s="13"/>
      <c r="W35" s="12">
        <f t="shared" si="0"/>
        <v>0</v>
      </c>
    </row>
    <row r="36" spans="1:23" ht="22.15" customHeight="1">
      <c r="A36" t="s">
        <v>129</v>
      </c>
      <c r="B36" s="25"/>
      <c r="C36" t="s">
        <v>74</v>
      </c>
      <c r="D36" s="11"/>
      <c r="E36" s="64">
        <v>13373053</v>
      </c>
      <c r="F36" s="65"/>
      <c r="G36" s="64">
        <v>0</v>
      </c>
      <c r="H36" s="65"/>
      <c r="I36" s="64">
        <f t="shared" si="5"/>
        <v>-17733863.150231335</v>
      </c>
      <c r="J36" s="26"/>
      <c r="K36" s="12">
        <v>0</v>
      </c>
      <c r="L36" s="12"/>
      <c r="M36" s="12">
        <f t="shared" ref="M36:M53" si="8">-G36</f>
        <v>0</v>
      </c>
      <c r="O36" s="21">
        <f t="shared" si="6"/>
        <v>13373053</v>
      </c>
      <c r="P36" s="21"/>
      <c r="Q36" s="21">
        <f t="shared" si="7"/>
        <v>0</v>
      </c>
      <c r="R36" s="21"/>
      <c r="S36" s="12">
        <f>((Q36*'Cost of Capital'!G$41)-O36)/0.754097</f>
        <v>-17733863.150231335</v>
      </c>
      <c r="U36" s="86" t="s">
        <v>23</v>
      </c>
      <c r="W36" s="12">
        <f t="shared" si="0"/>
        <v>0</v>
      </c>
    </row>
    <row r="37" spans="1:23" ht="22.15" customHeight="1">
      <c r="A37" t="s">
        <v>130</v>
      </c>
      <c r="B37" s="2"/>
      <c r="C37" t="s">
        <v>84</v>
      </c>
      <c r="E37" s="64">
        <v>-184038</v>
      </c>
      <c r="F37" s="65"/>
      <c r="G37" s="64">
        <v>0</v>
      </c>
      <c r="H37" s="65"/>
      <c r="I37" s="64">
        <f t="shared" si="5"/>
        <v>244050.83165693536</v>
      </c>
      <c r="J37" s="22"/>
      <c r="K37" s="12">
        <f>+O37-E37</f>
        <v>-761086.63903138973</v>
      </c>
      <c r="L37" s="12"/>
      <c r="M37" s="12">
        <f t="shared" si="8"/>
        <v>0</v>
      </c>
      <c r="N37" s="68" t="s">
        <v>220</v>
      </c>
      <c r="O37" s="21">
        <f>+'Tax Benefit of Interest'!D23</f>
        <v>-945124.63903138973</v>
      </c>
      <c r="P37" s="21"/>
      <c r="Q37" s="21">
        <f t="shared" si="7"/>
        <v>0</v>
      </c>
      <c r="R37" s="21"/>
      <c r="S37" s="12">
        <f>((Q37*'Cost of Capital'!G$41)-O37)/0.754097</f>
        <v>1253319.7175315507</v>
      </c>
      <c r="U37" s="86" t="s">
        <v>23</v>
      </c>
      <c r="W37" s="12">
        <f t="shared" si="0"/>
        <v>1009268.8858746153</v>
      </c>
    </row>
    <row r="38" spans="1:23" ht="22.15" customHeight="1">
      <c r="A38" t="s">
        <v>131</v>
      </c>
      <c r="B38" s="2"/>
      <c r="C38" t="s">
        <v>69</v>
      </c>
      <c r="E38" s="64">
        <v>-69886</v>
      </c>
      <c r="F38" s="65"/>
      <c r="G38" s="64">
        <v>0</v>
      </c>
      <c r="H38" s="65"/>
      <c r="I38" s="64">
        <f t="shared" si="5"/>
        <v>92675.080261557858</v>
      </c>
      <c r="J38" s="22"/>
      <c r="K38" s="12">
        <f t="shared" ref="K38:K45" si="9">-E38</f>
        <v>69886</v>
      </c>
      <c r="L38" s="12"/>
      <c r="M38" s="12">
        <f t="shared" si="8"/>
        <v>0</v>
      </c>
      <c r="N38" s="68" t="s">
        <v>221</v>
      </c>
      <c r="O38" s="21">
        <f t="shared" si="6"/>
        <v>0</v>
      </c>
      <c r="P38" s="21"/>
      <c r="Q38" s="21">
        <f t="shared" si="7"/>
        <v>0</v>
      </c>
      <c r="R38" s="21"/>
      <c r="S38" s="12">
        <f>((Q38*'Cost of Capital'!G$41)-O38)/0.754097</f>
        <v>0</v>
      </c>
      <c r="U38" s="86" t="s">
        <v>23</v>
      </c>
      <c r="W38" s="12">
        <f t="shared" si="0"/>
        <v>-92675.080261557858</v>
      </c>
    </row>
    <row r="39" spans="1:23" ht="22.15" customHeight="1">
      <c r="A39" t="s">
        <v>132</v>
      </c>
      <c r="B39" s="24"/>
      <c r="C39" t="s">
        <v>68</v>
      </c>
      <c r="D39" s="11"/>
      <c r="E39" s="64">
        <v>-3831</v>
      </c>
      <c r="F39" s="65"/>
      <c r="G39" s="64">
        <v>0</v>
      </c>
      <c r="H39" s="65"/>
      <c r="I39" s="64">
        <f t="shared" si="5"/>
        <v>5080.248296969753</v>
      </c>
      <c r="K39" s="12">
        <f t="shared" si="9"/>
        <v>3831</v>
      </c>
      <c r="L39" s="12"/>
      <c r="M39" s="12">
        <f t="shared" si="8"/>
        <v>0</v>
      </c>
      <c r="N39" s="68" t="s">
        <v>221</v>
      </c>
      <c r="O39" s="21">
        <f t="shared" si="6"/>
        <v>0</v>
      </c>
      <c r="P39" s="21"/>
      <c r="Q39" s="21">
        <f t="shared" si="7"/>
        <v>0</v>
      </c>
      <c r="R39" s="21"/>
      <c r="S39" s="12">
        <f>((Q39*'Cost of Capital'!G$41)-O39)/0.754097</f>
        <v>0</v>
      </c>
      <c r="U39" s="86" t="s">
        <v>23</v>
      </c>
      <c r="V39" s="13"/>
      <c r="W39" s="12">
        <f t="shared" si="0"/>
        <v>-5080.248296969753</v>
      </c>
    </row>
    <row r="40" spans="1:23" ht="22.15" customHeight="1">
      <c r="A40" t="s">
        <v>133</v>
      </c>
      <c r="B40" s="24"/>
      <c r="C40" t="s">
        <v>83</v>
      </c>
      <c r="D40" s="11"/>
      <c r="E40" s="64">
        <v>-24480</v>
      </c>
      <c r="F40" s="65"/>
      <c r="G40" s="64">
        <v>0</v>
      </c>
      <c r="H40" s="65"/>
      <c r="I40" s="64">
        <f t="shared" si="5"/>
        <v>32462.667269595291</v>
      </c>
      <c r="J40" s="26"/>
      <c r="K40" s="12">
        <v>0</v>
      </c>
      <c r="L40" s="12"/>
      <c r="M40" s="12">
        <f t="shared" si="8"/>
        <v>0</v>
      </c>
      <c r="O40" s="21">
        <f t="shared" si="6"/>
        <v>-24480</v>
      </c>
      <c r="P40" s="21"/>
      <c r="Q40" s="21">
        <f t="shared" si="7"/>
        <v>0</v>
      </c>
      <c r="R40" s="21"/>
      <c r="S40" s="12">
        <f>((Q40*'Cost of Capital'!G$41)-O40)/0.754097</f>
        <v>32462.667269595291</v>
      </c>
      <c r="U40" s="86" t="s">
        <v>23</v>
      </c>
      <c r="W40" s="12">
        <f t="shared" si="0"/>
        <v>0</v>
      </c>
    </row>
    <row r="41" spans="1:23" ht="22.15" customHeight="1">
      <c r="A41" t="s">
        <v>134</v>
      </c>
      <c r="B41" s="24"/>
      <c r="C41" t="s">
        <v>82</v>
      </c>
      <c r="D41" s="11"/>
      <c r="E41" s="64">
        <v>-1909978</v>
      </c>
      <c r="F41" s="65"/>
      <c r="G41" s="64">
        <v>0</v>
      </c>
      <c r="H41" s="65"/>
      <c r="I41" s="64">
        <f t="shared" si="5"/>
        <v>2532801.4830983281</v>
      </c>
      <c r="K41" s="12">
        <f>+O41-E41</f>
        <v>1260670.4151422402</v>
      </c>
      <c r="L41" s="12"/>
      <c r="M41" s="12">
        <f t="shared" si="8"/>
        <v>0</v>
      </c>
      <c r="N41" s="68" t="s">
        <v>222</v>
      </c>
      <c r="O41" s="21">
        <f>+'Wage Increase'!G28</f>
        <v>-649307.58485775976</v>
      </c>
      <c r="P41" s="21"/>
      <c r="Q41" s="21">
        <f t="shared" si="7"/>
        <v>0</v>
      </c>
      <c r="R41" s="21"/>
      <c r="S41" s="12">
        <f>((Q41*'Cost of Capital'!G$41)-O41)/0.754097</f>
        <v>861039.87266592996</v>
      </c>
      <c r="U41" s="86" t="s">
        <v>23</v>
      </c>
      <c r="V41" s="13"/>
      <c r="W41" s="12">
        <f t="shared" si="0"/>
        <v>-1671761.610432398</v>
      </c>
    </row>
    <row r="42" spans="1:23" ht="22.15" customHeight="1">
      <c r="A42" t="s">
        <v>135</v>
      </c>
      <c r="B42" s="24"/>
      <c r="C42" t="s">
        <v>62</v>
      </c>
      <c r="D42" s="11"/>
      <c r="E42" s="64">
        <v>-92854</v>
      </c>
      <c r="F42" s="65"/>
      <c r="G42" s="64">
        <v>0</v>
      </c>
      <c r="H42" s="65"/>
      <c r="I42" s="64">
        <f t="shared" si="5"/>
        <v>123132.70043508991</v>
      </c>
      <c r="K42" s="12">
        <f t="shared" si="9"/>
        <v>92854</v>
      </c>
      <c r="L42" s="12"/>
      <c r="M42" s="12">
        <f t="shared" si="8"/>
        <v>0</v>
      </c>
      <c r="N42" s="68" t="s">
        <v>221</v>
      </c>
      <c r="O42" s="21">
        <f t="shared" si="6"/>
        <v>0</v>
      </c>
      <c r="P42" s="21"/>
      <c r="Q42" s="21">
        <f t="shared" si="7"/>
        <v>0</v>
      </c>
      <c r="R42" s="21"/>
      <c r="S42" s="12">
        <f>((Q42*'Cost of Capital'!G$41)-O42)/0.754097</f>
        <v>0</v>
      </c>
      <c r="U42" s="86" t="s">
        <v>23</v>
      </c>
      <c r="V42" s="13"/>
      <c r="W42" s="12">
        <f t="shared" si="0"/>
        <v>-123132.70043508991</v>
      </c>
    </row>
    <row r="43" spans="1:23" ht="22.15" customHeight="1">
      <c r="A43" t="s">
        <v>136</v>
      </c>
      <c r="B43" s="24"/>
      <c r="C43" t="s">
        <v>61</v>
      </c>
      <c r="D43" s="11"/>
      <c r="E43" s="64">
        <v>-308532</v>
      </c>
      <c r="F43" s="66"/>
      <c r="G43" s="64">
        <v>0</v>
      </c>
      <c r="H43" s="66"/>
      <c r="I43" s="64">
        <f t="shared" si="5"/>
        <v>409140.99910223752</v>
      </c>
      <c r="K43" s="12">
        <f t="shared" si="9"/>
        <v>308532</v>
      </c>
      <c r="L43" s="12"/>
      <c r="M43" s="12">
        <f t="shared" si="8"/>
        <v>0</v>
      </c>
      <c r="N43" s="68" t="s">
        <v>221</v>
      </c>
      <c r="O43" s="21">
        <f t="shared" si="6"/>
        <v>0</v>
      </c>
      <c r="P43" s="21"/>
      <c r="Q43" s="21">
        <f t="shared" si="7"/>
        <v>0</v>
      </c>
      <c r="R43" s="8"/>
      <c r="S43" s="12">
        <f>((Q43*'Cost of Capital'!G$41)-O43)/0.754097</f>
        <v>0</v>
      </c>
      <c r="U43" s="86" t="s">
        <v>23</v>
      </c>
      <c r="V43" s="13"/>
      <c r="W43" s="12">
        <f t="shared" si="0"/>
        <v>-409140.99910223752</v>
      </c>
    </row>
    <row r="44" spans="1:23" ht="22.15" customHeight="1">
      <c r="A44" t="s">
        <v>137</v>
      </c>
      <c r="B44" s="24"/>
      <c r="C44" t="s">
        <v>240</v>
      </c>
      <c r="D44" s="11"/>
      <c r="E44" s="64">
        <v>72647</v>
      </c>
      <c r="F44" s="65"/>
      <c r="G44" s="64">
        <v>0</v>
      </c>
      <c r="H44" s="65"/>
      <c r="I44" s="64">
        <f t="shared" si="5"/>
        <v>-96336.412954832063</v>
      </c>
      <c r="K44" s="12">
        <f t="shared" si="9"/>
        <v>-72647</v>
      </c>
      <c r="L44" s="12"/>
      <c r="M44" s="12">
        <f t="shared" si="8"/>
        <v>0</v>
      </c>
      <c r="N44" s="68" t="s">
        <v>221</v>
      </c>
      <c r="O44" s="21">
        <f t="shared" si="6"/>
        <v>0</v>
      </c>
      <c r="P44" s="21"/>
      <c r="Q44" s="21">
        <f t="shared" si="7"/>
        <v>0</v>
      </c>
      <c r="R44" s="21"/>
      <c r="S44" s="12">
        <f>((Q44*'Cost of Capital'!G$41)-O44)/0.754097</f>
        <v>0</v>
      </c>
      <c r="U44" s="86" t="s">
        <v>23</v>
      </c>
      <c r="W44" s="12">
        <f t="shared" si="0"/>
        <v>96336.412954832063</v>
      </c>
    </row>
    <row r="45" spans="1:23" ht="22.15" customHeight="1">
      <c r="A45" t="s">
        <v>138</v>
      </c>
      <c r="B45" s="24"/>
      <c r="C45" t="s">
        <v>81</v>
      </c>
      <c r="D45" s="11"/>
      <c r="E45" s="64">
        <v>-676944</v>
      </c>
      <c r="F45" s="65"/>
      <c r="G45" s="64">
        <v>0</v>
      </c>
      <c r="H45" s="65"/>
      <c r="I45" s="64">
        <f t="shared" si="5"/>
        <v>897688.2284374556</v>
      </c>
      <c r="K45" s="12">
        <f t="shared" si="9"/>
        <v>676944</v>
      </c>
      <c r="L45" s="12"/>
      <c r="M45" s="12">
        <f t="shared" si="8"/>
        <v>0</v>
      </c>
      <c r="N45" s="68" t="s">
        <v>221</v>
      </c>
      <c r="O45" s="21">
        <f t="shared" si="6"/>
        <v>0</v>
      </c>
      <c r="P45" s="21"/>
      <c r="Q45" s="21">
        <f t="shared" si="7"/>
        <v>0</v>
      </c>
      <c r="R45" s="21"/>
      <c r="S45" s="12">
        <f>((Q45*'Cost of Capital'!G$41)-O45)/0.754097</f>
        <v>0</v>
      </c>
      <c r="U45" s="86" t="s">
        <v>23</v>
      </c>
      <c r="V45" s="13"/>
      <c r="W45" s="12">
        <f t="shared" si="0"/>
        <v>-897688.2284374556</v>
      </c>
    </row>
    <row r="46" spans="1:23" ht="22.15" customHeight="1">
      <c r="A46" t="s">
        <v>139</v>
      </c>
      <c r="B46" s="24"/>
      <c r="C46" t="s">
        <v>80</v>
      </c>
      <c r="D46" s="11"/>
      <c r="E46" s="64">
        <v>-2112898</v>
      </c>
      <c r="F46" s="65"/>
      <c r="G46" s="64">
        <v>13882663</v>
      </c>
      <c r="H46" s="65"/>
      <c r="I46" s="64">
        <f t="shared" si="5"/>
        <v>4204706.9814625969</v>
      </c>
      <c r="J46" s="26"/>
      <c r="K46" s="12">
        <f>+O46-E46</f>
        <v>5387140.6899999995</v>
      </c>
      <c r="L46" s="12"/>
      <c r="M46" s="12">
        <f>+Q46-G46</f>
        <v>-35761342.171225488</v>
      </c>
      <c r="N46" s="68" t="s">
        <v>223</v>
      </c>
      <c r="O46" s="21">
        <f>+AMI!D33</f>
        <v>3274242.69</v>
      </c>
      <c r="P46" s="21"/>
      <c r="Q46" s="21">
        <f>+AMI!D24</f>
        <v>-21878679.171225488</v>
      </c>
      <c r="R46" s="21"/>
      <c r="S46" s="12">
        <f>((Q46*'Cost of Capital'!G$41)-O46)/0.754097</f>
        <v>-6392992.1789882882</v>
      </c>
      <c r="U46" s="86" t="s">
        <v>23</v>
      </c>
      <c r="V46" s="13"/>
      <c r="W46" s="12">
        <f t="shared" si="0"/>
        <v>-10597699.160450885</v>
      </c>
    </row>
    <row r="47" spans="1:23" ht="22.15" customHeight="1">
      <c r="A47" t="s">
        <v>140</v>
      </c>
      <c r="B47" s="24"/>
      <c r="C47" t="s">
        <v>58</v>
      </c>
      <c r="D47" s="11"/>
      <c r="E47" s="64">
        <v>134162</v>
      </c>
      <c r="F47" s="65"/>
      <c r="G47" s="64"/>
      <c r="H47" s="65"/>
      <c r="I47" s="64">
        <f t="shared" si="5"/>
        <v>-177910.79927383346</v>
      </c>
      <c r="J47" s="26"/>
      <c r="K47" s="12">
        <f t="shared" ref="K47:K53" si="10">-E47</f>
        <v>-134162</v>
      </c>
      <c r="L47" s="12"/>
      <c r="M47" s="12">
        <f t="shared" si="8"/>
        <v>0</v>
      </c>
      <c r="N47" s="68" t="s">
        <v>221</v>
      </c>
      <c r="O47" s="21">
        <f t="shared" si="6"/>
        <v>0</v>
      </c>
      <c r="P47" s="21"/>
      <c r="Q47" s="21">
        <f t="shared" si="7"/>
        <v>0</v>
      </c>
      <c r="R47" s="21"/>
      <c r="S47" s="12">
        <f>((Q47*'Cost of Capital'!G$41)-O47)/0.754097</f>
        <v>0</v>
      </c>
      <c r="U47" s="86" t="s">
        <v>23</v>
      </c>
      <c r="V47" s="13"/>
      <c r="W47" s="12">
        <f t="shared" ref="W47:W55" si="11">+S47-I47</f>
        <v>177910.79927383346</v>
      </c>
    </row>
    <row r="48" spans="1:23" ht="22.15" customHeight="1">
      <c r="A48" t="s">
        <v>141</v>
      </c>
      <c r="B48" s="24"/>
      <c r="C48" t="s">
        <v>261</v>
      </c>
      <c r="D48" s="11"/>
      <c r="E48" s="64">
        <v>-4917796</v>
      </c>
      <c r="F48" s="65"/>
      <c r="G48" s="64">
        <v>13218339</v>
      </c>
      <c r="H48" s="65"/>
      <c r="I48" s="64">
        <f t="shared" si="5"/>
        <v>7857123.7278493354</v>
      </c>
      <c r="J48" s="26"/>
      <c r="K48" s="12">
        <f t="shared" si="10"/>
        <v>4917796</v>
      </c>
      <c r="L48" s="12"/>
      <c r="M48" s="12">
        <f t="shared" si="8"/>
        <v>-13218339</v>
      </c>
      <c r="N48" s="68" t="s">
        <v>38</v>
      </c>
      <c r="O48" s="21">
        <f t="shared" si="6"/>
        <v>0</v>
      </c>
      <c r="P48" s="21"/>
      <c r="Q48" s="21">
        <f t="shared" si="7"/>
        <v>0</v>
      </c>
      <c r="R48" s="21"/>
      <c r="S48" s="12">
        <f>((Q48*'Cost of Capital'!G$41)-O48)/0.754097</f>
        <v>0</v>
      </c>
      <c r="U48" s="86" t="s">
        <v>23</v>
      </c>
      <c r="V48" s="13"/>
      <c r="W48" s="12">
        <f t="shared" si="11"/>
        <v>-7857123.7278493354</v>
      </c>
    </row>
    <row r="49" spans="1:23" ht="22.15" customHeight="1">
      <c r="A49" t="s">
        <v>142</v>
      </c>
      <c r="B49" s="24"/>
      <c r="C49" t="s">
        <v>79</v>
      </c>
      <c r="D49" s="11"/>
      <c r="E49" s="64">
        <v>344098</v>
      </c>
      <c r="F49" s="65"/>
      <c r="G49" s="64"/>
      <c r="H49" s="65"/>
      <c r="I49" s="64">
        <f t="shared" si="5"/>
        <v>-456304.69289759803</v>
      </c>
      <c r="J49" s="26"/>
      <c r="K49" s="12">
        <f t="shared" si="10"/>
        <v>-344098</v>
      </c>
      <c r="L49" s="12"/>
      <c r="M49" s="12">
        <f t="shared" si="8"/>
        <v>0</v>
      </c>
      <c r="N49" s="68" t="s">
        <v>221</v>
      </c>
      <c r="O49" s="21">
        <f t="shared" si="6"/>
        <v>0</v>
      </c>
      <c r="P49" s="21"/>
      <c r="Q49" s="21">
        <f t="shared" si="7"/>
        <v>0</v>
      </c>
      <c r="R49" s="21"/>
      <c r="S49" s="12">
        <f>((Q49*'Cost of Capital'!G$41)-O49)/0.754097</f>
        <v>0</v>
      </c>
      <c r="U49" s="86" t="s">
        <v>23</v>
      </c>
      <c r="V49" s="13"/>
      <c r="W49" s="12">
        <f t="shared" si="11"/>
        <v>456304.69289759803</v>
      </c>
    </row>
    <row r="50" spans="1:23" ht="22.15" customHeight="1">
      <c r="A50" t="s">
        <v>143</v>
      </c>
      <c r="B50" s="24"/>
      <c r="C50" t="s">
        <v>262</v>
      </c>
      <c r="D50" s="11"/>
      <c r="E50" s="64">
        <v>722630</v>
      </c>
      <c r="F50" s="65"/>
      <c r="G50" s="64">
        <v>361315</v>
      </c>
      <c r="H50" s="65"/>
      <c r="I50" s="64">
        <f t="shared" si="5"/>
        <v>-921761.78528756916</v>
      </c>
      <c r="J50" s="26"/>
      <c r="K50" s="12">
        <f>+E50</f>
        <v>722630</v>
      </c>
      <c r="L50" s="12"/>
      <c r="M50" s="12">
        <f>+G50</f>
        <v>361315</v>
      </c>
      <c r="N50" s="68" t="s">
        <v>224</v>
      </c>
      <c r="O50" s="21">
        <f t="shared" si="6"/>
        <v>1445260</v>
      </c>
      <c r="P50" s="21"/>
      <c r="Q50" s="21">
        <f t="shared" si="7"/>
        <v>722630</v>
      </c>
      <c r="R50" s="21"/>
      <c r="S50" s="12">
        <f>((Q50*'Cost of Capital'!G$41)-O50)/0.754097</f>
        <v>-1848799.7200850816</v>
      </c>
      <c r="U50" s="86" t="s">
        <v>23</v>
      </c>
      <c r="V50" s="13"/>
      <c r="W50" s="12">
        <f t="shared" si="11"/>
        <v>-927037.93479751248</v>
      </c>
    </row>
    <row r="51" spans="1:23" ht="22.15" customHeight="1">
      <c r="A51" t="s">
        <v>144</v>
      </c>
      <c r="B51" s="24"/>
      <c r="C51" t="s">
        <v>78</v>
      </c>
      <c r="D51" s="11"/>
      <c r="E51" s="64">
        <v>-123556</v>
      </c>
      <c r="F51" s="65"/>
      <c r="G51" s="64">
        <v>5946648</v>
      </c>
      <c r="H51" s="65"/>
      <c r="I51" s="64">
        <f t="shared" si="5"/>
        <v>764743.23276713735</v>
      </c>
      <c r="J51" s="26"/>
      <c r="K51" s="12">
        <f t="shared" si="10"/>
        <v>123556</v>
      </c>
      <c r="L51" s="12"/>
      <c r="M51" s="12">
        <f t="shared" si="8"/>
        <v>-5946648</v>
      </c>
      <c r="N51" s="68" t="s">
        <v>38</v>
      </c>
      <c r="O51" s="21">
        <f t="shared" si="6"/>
        <v>0</v>
      </c>
      <c r="P51" s="21"/>
      <c r="Q51" s="21">
        <f t="shared" si="7"/>
        <v>0</v>
      </c>
      <c r="R51" s="21"/>
      <c r="S51" s="12">
        <f>((Q51*'Cost of Capital'!G$41)-O51)/0.754097</f>
        <v>0</v>
      </c>
      <c r="U51" s="86" t="s">
        <v>23</v>
      </c>
      <c r="V51" s="13"/>
      <c r="W51" s="12">
        <f t="shared" si="11"/>
        <v>-764743.23276713735</v>
      </c>
    </row>
    <row r="52" spans="1:23" ht="22.15" customHeight="1">
      <c r="A52" t="s">
        <v>145</v>
      </c>
      <c r="B52" s="24"/>
      <c r="C52" t="s">
        <v>77</v>
      </c>
      <c r="D52" s="11"/>
      <c r="E52" s="64">
        <v>-303817</v>
      </c>
      <c r="F52" s="65"/>
      <c r="G52" s="64"/>
      <c r="H52" s="65"/>
      <c r="I52" s="64">
        <f t="shared" si="5"/>
        <v>402888.48782053235</v>
      </c>
      <c r="J52" s="26"/>
      <c r="K52" s="12">
        <f t="shared" si="10"/>
        <v>303817</v>
      </c>
      <c r="L52" s="12"/>
      <c r="M52" s="12">
        <f t="shared" si="8"/>
        <v>0</v>
      </c>
      <c r="N52" s="68" t="s">
        <v>221</v>
      </c>
      <c r="O52" s="21">
        <f t="shared" si="6"/>
        <v>0</v>
      </c>
      <c r="P52" s="21"/>
      <c r="Q52" s="21">
        <f t="shared" si="7"/>
        <v>0</v>
      </c>
      <c r="R52" s="21"/>
      <c r="S52" s="12">
        <f>((Q52*'Cost of Capital'!G$41)-O52)/0.754097</f>
        <v>0</v>
      </c>
      <c r="U52" s="86" t="s">
        <v>23</v>
      </c>
      <c r="V52" s="13"/>
      <c r="W52" s="12">
        <f t="shared" si="11"/>
        <v>-402888.48782053235</v>
      </c>
    </row>
    <row r="53" spans="1:23" ht="22.15" customHeight="1">
      <c r="A53" t="s">
        <v>146</v>
      </c>
      <c r="B53" s="24"/>
      <c r="C53" t="s">
        <v>76</v>
      </c>
      <c r="D53" s="11"/>
      <c r="E53" s="64">
        <v>-275112</v>
      </c>
      <c r="F53" s="65"/>
      <c r="G53" s="64">
        <v>2799732</v>
      </c>
      <c r="H53" s="65"/>
      <c r="I53" s="64">
        <f t="shared" si="5"/>
        <v>647730.43573969929</v>
      </c>
      <c r="J53" s="26"/>
      <c r="K53" s="12">
        <f t="shared" si="10"/>
        <v>275112</v>
      </c>
      <c r="L53" s="12"/>
      <c r="M53" s="12">
        <f t="shared" si="8"/>
        <v>-2799732</v>
      </c>
      <c r="N53" s="68" t="s">
        <v>38</v>
      </c>
      <c r="O53" s="21">
        <f t="shared" si="6"/>
        <v>0</v>
      </c>
      <c r="P53" s="21"/>
      <c r="Q53" s="21">
        <f t="shared" si="7"/>
        <v>0</v>
      </c>
      <c r="R53" s="21"/>
      <c r="S53" s="12">
        <f>((Q53*'Cost of Capital'!G$41)-O53)/0.754097</f>
        <v>0</v>
      </c>
      <c r="U53" s="86" t="s">
        <v>23</v>
      </c>
      <c r="V53" s="13"/>
      <c r="W53" s="12">
        <f t="shared" si="11"/>
        <v>-647730.43573969929</v>
      </c>
    </row>
    <row r="54" spans="1:23" ht="22.15" customHeight="1">
      <c r="A54" t="s">
        <v>117</v>
      </c>
      <c r="B54" s="24"/>
      <c r="C54" t="s">
        <v>118</v>
      </c>
      <c r="D54" s="11"/>
      <c r="E54" s="64">
        <v>31240</v>
      </c>
      <c r="F54" s="65"/>
      <c r="G54" s="64">
        <v>-9327511</v>
      </c>
      <c r="H54" s="65"/>
      <c r="I54" s="64">
        <f t="shared" si="5"/>
        <v>-983953.44126816571</v>
      </c>
      <c r="J54" s="26"/>
      <c r="K54" s="12"/>
      <c r="L54" s="12"/>
      <c r="M54" s="12"/>
      <c r="O54" s="21">
        <f t="shared" si="6"/>
        <v>31240</v>
      </c>
      <c r="P54" s="21"/>
      <c r="Q54" s="21">
        <f t="shared" si="7"/>
        <v>-9327511</v>
      </c>
      <c r="R54" s="21"/>
      <c r="S54" s="12">
        <f>((Q54*'Cost of Capital'!G$41)-O54)/0.754097</f>
        <v>-915850.34204498888</v>
      </c>
      <c r="U54" s="86" t="s">
        <v>23</v>
      </c>
      <c r="V54" s="13"/>
      <c r="W54" s="12">
        <f t="shared" si="11"/>
        <v>68103.099223176832</v>
      </c>
    </row>
    <row r="55" spans="1:23" ht="22.15" customHeight="1">
      <c r="A55" t="s">
        <v>120</v>
      </c>
      <c r="B55" s="24"/>
      <c r="C55" t="s">
        <v>119</v>
      </c>
      <c r="D55" s="11"/>
      <c r="E55" s="69">
        <v>-5263989</v>
      </c>
      <c r="F55" s="65"/>
      <c r="G55" s="69">
        <v>-6388044</v>
      </c>
      <c r="H55" s="65"/>
      <c r="I55" s="69">
        <f t="shared" si="5"/>
        <v>6335020.6236067768</v>
      </c>
      <c r="J55" s="26"/>
      <c r="K55" s="70"/>
      <c r="L55" s="12"/>
      <c r="M55" s="70"/>
      <c r="O55" s="71">
        <f t="shared" si="6"/>
        <v>-5263989</v>
      </c>
      <c r="P55" s="21"/>
      <c r="Q55" s="71">
        <f t="shared" si="7"/>
        <v>-6388044</v>
      </c>
      <c r="R55" s="21"/>
      <c r="S55" s="70">
        <f>((Q55*'Cost of Capital'!G$41)-O55)/0.754097</f>
        <v>6381661.7473078398</v>
      </c>
      <c r="U55" s="86" t="s">
        <v>23</v>
      </c>
      <c r="V55" s="13"/>
      <c r="W55" s="12">
        <f t="shared" si="11"/>
        <v>46641.123701062985</v>
      </c>
    </row>
    <row r="56" spans="1:23" ht="22.15" customHeight="1">
      <c r="B56" s="24"/>
      <c r="D56" s="11"/>
      <c r="E56" s="12"/>
      <c r="F56" s="21"/>
      <c r="G56" s="12"/>
      <c r="H56" s="21"/>
      <c r="I56" s="12"/>
      <c r="O56" s="21"/>
      <c r="P56" s="21"/>
      <c r="Q56" s="21"/>
      <c r="R56" s="21"/>
      <c r="S56" s="12"/>
      <c r="U56" s="13"/>
      <c r="V56" s="13"/>
      <c r="W56" s="12"/>
    </row>
    <row r="57" spans="1:23" ht="22.15" customHeight="1" thickBot="1">
      <c r="A57" s="24"/>
      <c r="B57" s="24"/>
      <c r="C57" t="s">
        <v>52</v>
      </c>
      <c r="D57" s="11"/>
      <c r="E57" s="72">
        <f>SUM(E12:E56)</f>
        <v>96036536</v>
      </c>
      <c r="F57" s="21">
        <f>SUM(F12:F55)</f>
        <v>0</v>
      </c>
      <c r="G57" s="72">
        <f>SUM(G12:G56)</f>
        <v>2112672665</v>
      </c>
      <c r="H57" s="21">
        <f>SUM(H12:H55)</f>
        <v>0</v>
      </c>
      <c r="I57" s="72">
        <f>SUM(I12:I56)</f>
        <v>86128337.697935402</v>
      </c>
      <c r="K57" s="72">
        <f>SUM(K12:K56)</f>
        <v>17809384.422284406</v>
      </c>
      <c r="L57" s="21"/>
      <c r="M57" s="72">
        <f>SUM(M12:M56)</f>
        <v>-95109240.126551181</v>
      </c>
      <c r="O57" s="72">
        <f>SUM(O12:O56)</f>
        <v>113845920.42228438</v>
      </c>
      <c r="P57" s="21"/>
      <c r="Q57" s="72">
        <f>SUM(Q12:Q56)</f>
        <v>2017563424.8734488</v>
      </c>
      <c r="R57" s="21"/>
      <c r="S57" s="72">
        <f>SUM(S12:S56)</f>
        <v>38170036.602799974</v>
      </c>
      <c r="U57" s="13"/>
      <c r="V57" s="13"/>
      <c r="W57" s="72">
        <f>SUM(W12:W56)</f>
        <v>-47958301.095135458</v>
      </c>
    </row>
    <row r="58" spans="1:23" ht="22.15" customHeight="1" thickTop="1">
      <c r="A58" s="24"/>
      <c r="B58" s="24"/>
      <c r="D58" s="11"/>
      <c r="E58" s="21"/>
      <c r="F58" s="21"/>
      <c r="G58" s="21"/>
      <c r="H58" s="21"/>
      <c r="I58" s="21"/>
      <c r="K58" s="21"/>
      <c r="L58" s="21"/>
      <c r="M58" s="21"/>
      <c r="O58" s="21"/>
      <c r="P58" s="21"/>
      <c r="Q58" s="21"/>
      <c r="R58" s="21"/>
      <c r="S58" s="21"/>
      <c r="U58" s="13"/>
      <c r="V58" s="13"/>
      <c r="W58" s="21"/>
    </row>
    <row r="59" spans="1:23" ht="22.15" customHeight="1" thickBot="1">
      <c r="A59" s="2"/>
      <c r="B59" s="29" t="s">
        <v>24</v>
      </c>
      <c r="C59" s="30"/>
      <c r="D59" s="31"/>
      <c r="E59" s="32"/>
      <c r="F59" s="21"/>
      <c r="G59" s="21"/>
      <c r="H59" s="21"/>
      <c r="I59" s="22"/>
      <c r="K59" s="21"/>
      <c r="O59" s="21"/>
      <c r="P59" s="21"/>
      <c r="Q59" s="21"/>
      <c r="R59" s="21"/>
      <c r="S59" s="12"/>
    </row>
    <row r="60" spans="1:23" s="73" customFormat="1" ht="22.15" customHeight="1">
      <c r="B60" s="74" t="s">
        <v>37</v>
      </c>
      <c r="C60" s="75" t="s">
        <v>263</v>
      </c>
      <c r="D60" s="77"/>
      <c r="E60" s="78"/>
      <c r="F60" s="79"/>
      <c r="G60" s="79"/>
      <c r="H60" s="79"/>
      <c r="I60" s="80"/>
      <c r="N60" s="81"/>
      <c r="O60" s="79"/>
      <c r="P60" s="79"/>
      <c r="Q60" s="79"/>
      <c r="R60" s="79"/>
      <c r="S60" s="79"/>
    </row>
    <row r="61" spans="1:23" s="73" customFormat="1" ht="22.15" customHeight="1">
      <c r="B61" s="76" t="s">
        <v>39</v>
      </c>
      <c r="C61" s="73" t="s">
        <v>225</v>
      </c>
      <c r="N61" s="81"/>
    </row>
    <row r="62" spans="1:23" s="73" customFormat="1" ht="22.15" customHeight="1">
      <c r="B62" s="76" t="s">
        <v>38</v>
      </c>
      <c r="C62" s="73" t="s">
        <v>264</v>
      </c>
      <c r="N62" s="81"/>
    </row>
    <row r="63" spans="1:23" s="73" customFormat="1" ht="22.15" customHeight="1">
      <c r="B63" s="76" t="s">
        <v>220</v>
      </c>
      <c r="C63" s="73" t="s">
        <v>226</v>
      </c>
      <c r="N63" s="81"/>
    </row>
    <row r="64" spans="1:23" s="73" customFormat="1" ht="22.15" customHeight="1">
      <c r="B64" s="76" t="s">
        <v>221</v>
      </c>
      <c r="C64" s="73" t="s">
        <v>227</v>
      </c>
      <c r="N64" s="81"/>
    </row>
    <row r="65" spans="2:14" s="73" customFormat="1" ht="22.15" customHeight="1">
      <c r="B65" s="76" t="s">
        <v>222</v>
      </c>
      <c r="C65" s="73" t="s">
        <v>228</v>
      </c>
      <c r="N65" s="81"/>
    </row>
    <row r="66" spans="2:14" s="73" customFormat="1" ht="22.15" customHeight="1">
      <c r="B66" s="76" t="s">
        <v>223</v>
      </c>
      <c r="C66" s="73" t="s">
        <v>229</v>
      </c>
      <c r="N66" s="81"/>
    </row>
    <row r="67" spans="2:14" s="73" customFormat="1" ht="22.15" customHeight="1">
      <c r="B67" s="76" t="s">
        <v>224</v>
      </c>
      <c r="C67" s="73" t="s">
        <v>230</v>
      </c>
      <c r="N67" s="81"/>
    </row>
  </sheetData>
  <mergeCells count="5">
    <mergeCell ref="E8:I8"/>
    <mergeCell ref="O8:S8"/>
    <mergeCell ref="O9:S9"/>
    <mergeCell ref="E9:I9"/>
    <mergeCell ref="K9:M9"/>
  </mergeCells>
  <pageMargins left="0.6" right="0.55000000000000004" top="0.75" bottom="0.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55" zoomScaleNormal="55" workbookViewId="0">
      <selection activeCell="I3" sqref="I3"/>
    </sheetView>
  </sheetViews>
  <sheetFormatPr defaultRowHeight="15.75"/>
  <cols>
    <col min="1" max="1" width="4.125" customWidth="1"/>
    <col min="2" max="2" width="1.625" customWidth="1"/>
    <col min="3" max="3" width="40.75" customWidth="1"/>
    <col min="4" max="4" width="4.75" customWidth="1"/>
    <col min="5" max="5" width="4.125" customWidth="1"/>
    <col min="6" max="6" width="2.875" customWidth="1"/>
    <col min="7" max="7" width="14.75" customWidth="1"/>
    <col min="8" max="8" width="3.25" customWidth="1"/>
    <col min="9" max="9" width="15.5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237</v>
      </c>
    </row>
    <row r="3" spans="1:9">
      <c r="A3" s="85" t="s">
        <v>218</v>
      </c>
      <c r="I3" s="10" t="s">
        <v>294</v>
      </c>
    </row>
    <row r="4" spans="1:9">
      <c r="A4" t="s">
        <v>86</v>
      </c>
      <c r="I4" s="10" t="s">
        <v>32</v>
      </c>
    </row>
    <row r="5" spans="1:9">
      <c r="A5" s="6"/>
      <c r="I5" s="10"/>
    </row>
    <row r="8" spans="1:9">
      <c r="A8" t="s">
        <v>1</v>
      </c>
      <c r="G8" s="56" t="s">
        <v>13</v>
      </c>
      <c r="H8" s="56"/>
      <c r="I8" s="56" t="s">
        <v>123</v>
      </c>
    </row>
    <row r="9" spans="1:9">
      <c r="A9" s="1" t="s">
        <v>2</v>
      </c>
      <c r="C9" s="1" t="s">
        <v>3</v>
      </c>
      <c r="G9" s="51" t="s">
        <v>28</v>
      </c>
      <c r="H9" s="56"/>
      <c r="I9" s="51" t="s">
        <v>28</v>
      </c>
    </row>
    <row r="11" spans="1:9">
      <c r="A11" s="114"/>
      <c r="C11" t="s">
        <v>219</v>
      </c>
    </row>
    <row r="12" spans="1:9">
      <c r="A12" s="114">
        <v>1</v>
      </c>
      <c r="C12" t="s">
        <v>243</v>
      </c>
      <c r="G12" s="43">
        <v>978.80973899591481</v>
      </c>
      <c r="I12" s="43">
        <v>4259.7224257176858</v>
      </c>
    </row>
    <row r="13" spans="1:9">
      <c r="A13" s="114">
        <v>2</v>
      </c>
      <c r="C13" t="s">
        <v>244</v>
      </c>
      <c r="G13" s="7">
        <v>38653.297854322009</v>
      </c>
      <c r="I13" s="7">
        <v>69831.193765119184</v>
      </c>
    </row>
    <row r="14" spans="1:9">
      <c r="A14" s="114">
        <v>3</v>
      </c>
      <c r="C14" t="s">
        <v>245</v>
      </c>
      <c r="G14" s="7">
        <v>16301.676950467285</v>
      </c>
      <c r="I14" s="7">
        <v>36640.765848712064</v>
      </c>
    </row>
    <row r="15" spans="1:9">
      <c r="A15" s="114">
        <v>4</v>
      </c>
      <c r="C15" t="s">
        <v>246</v>
      </c>
      <c r="G15" s="7">
        <v>0</v>
      </c>
      <c r="I15" s="7">
        <v>0</v>
      </c>
    </row>
    <row r="16" spans="1:9">
      <c r="A16" s="114">
        <v>5</v>
      </c>
      <c r="C16" t="s">
        <v>247</v>
      </c>
      <c r="G16" s="7">
        <v>177072.153386686</v>
      </c>
      <c r="I16" s="7">
        <v>1350205.8821382411</v>
      </c>
    </row>
    <row r="17" spans="1:9">
      <c r="A17" s="114">
        <v>6</v>
      </c>
      <c r="C17" t="s">
        <v>248</v>
      </c>
      <c r="G17" s="7">
        <v>210939.01277885586</v>
      </c>
      <c r="I17" s="7">
        <v>274377.34146429319</v>
      </c>
    </row>
    <row r="18" spans="1:9">
      <c r="A18" s="114">
        <v>7</v>
      </c>
      <c r="C18" t="s">
        <v>249</v>
      </c>
      <c r="G18" s="7">
        <v>19211.041014662478</v>
      </c>
      <c r="I18" s="7">
        <v>31612.10595257883</v>
      </c>
    </row>
    <row r="19" spans="1:9">
      <c r="A19" s="114">
        <v>8</v>
      </c>
      <c r="C19" t="s">
        <v>250</v>
      </c>
      <c r="G19" s="7">
        <v>0</v>
      </c>
      <c r="I19" s="7">
        <v>0</v>
      </c>
    </row>
    <row r="20" spans="1:9">
      <c r="A20" s="114">
        <v>9</v>
      </c>
      <c r="C20" t="s">
        <v>251</v>
      </c>
      <c r="G20" s="17">
        <v>306785.46212584712</v>
      </c>
      <c r="I20" s="17">
        <v>552918.51170147955</v>
      </c>
    </row>
    <row r="21" spans="1:9">
      <c r="A21" s="114">
        <v>10</v>
      </c>
      <c r="C21" t="s">
        <v>252</v>
      </c>
      <c r="G21" s="43">
        <v>769941.45384983672</v>
      </c>
      <c r="I21" s="43">
        <v>2319845.5232961415</v>
      </c>
    </row>
    <row r="22" spans="1:9">
      <c r="A22" s="114"/>
      <c r="G22" s="7"/>
      <c r="I22" s="7"/>
    </row>
    <row r="23" spans="1:9">
      <c r="A23" s="114">
        <v>11</v>
      </c>
      <c r="C23" t="s">
        <v>253</v>
      </c>
      <c r="G23" s="17">
        <v>51966.881413150404</v>
      </c>
      <c r="I23" s="17">
        <v>97848.25822564293</v>
      </c>
    </row>
    <row r="24" spans="1:9">
      <c r="A24" s="114">
        <v>12</v>
      </c>
      <c r="C24" t="s">
        <v>254</v>
      </c>
      <c r="G24" s="43">
        <v>821908.33526298706</v>
      </c>
      <c r="I24" s="43">
        <v>2417693.7815217846</v>
      </c>
    </row>
    <row r="25" spans="1:9">
      <c r="A25" s="114"/>
      <c r="G25" s="7"/>
      <c r="I25" s="7"/>
    </row>
    <row r="26" spans="1:9">
      <c r="A26" s="114">
        <v>13</v>
      </c>
      <c r="C26" t="s">
        <v>255</v>
      </c>
      <c r="G26" s="43">
        <v>821908.33526298706</v>
      </c>
      <c r="I26" s="43">
        <v>2417693.7815217846</v>
      </c>
    </row>
    <row r="27" spans="1:9">
      <c r="A27" s="114">
        <v>14</v>
      </c>
      <c r="C27" t="s">
        <v>256</v>
      </c>
      <c r="G27" s="17">
        <v>-172600.75040522727</v>
      </c>
      <c r="I27" s="17">
        <v>-507715.69411957473</v>
      </c>
    </row>
    <row r="28" spans="1:9" ht="16.5" thickBot="1">
      <c r="A28" s="114">
        <v>15</v>
      </c>
      <c r="C28" t="s">
        <v>257</v>
      </c>
      <c r="G28" s="44">
        <v>-649307.58485775976</v>
      </c>
      <c r="I28" s="44">
        <v>-1909978.0874022099</v>
      </c>
    </row>
    <row r="29" spans="1:9" ht="16.5" thickTop="1">
      <c r="A29" s="59"/>
      <c r="G29" s="54"/>
      <c r="I29" s="54"/>
    </row>
    <row r="30" spans="1:9">
      <c r="A30" s="59"/>
    </row>
    <row r="31" spans="1:9" ht="30.6" customHeight="1">
      <c r="C31" s="129" t="s">
        <v>232</v>
      </c>
      <c r="D31" s="129"/>
      <c r="E31" s="129"/>
      <c r="F31" s="129"/>
      <c r="G31" s="129"/>
      <c r="H31" s="129"/>
      <c r="I31" s="129"/>
    </row>
  </sheetData>
  <mergeCells count="1">
    <mergeCell ref="C31:I31"/>
  </mergeCells>
  <pageMargins left="0.7" right="0.7" top="0.75" bottom="0.7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55" zoomScaleNormal="55" workbookViewId="0">
      <selection activeCell="I3" sqref="I3"/>
    </sheetView>
  </sheetViews>
  <sheetFormatPr defaultRowHeight="15.75"/>
  <cols>
    <col min="1" max="1" width="4.125" customWidth="1"/>
    <col min="2" max="2" width="1.625" customWidth="1"/>
    <col min="3" max="3" width="51.75" customWidth="1"/>
    <col min="4" max="4" width="4.75" customWidth="1"/>
    <col min="5" max="5" width="4.125" customWidth="1"/>
    <col min="6" max="6" width="2.875" customWidth="1"/>
    <col min="7" max="7" width="11.75" customWidth="1"/>
    <col min="8" max="8" width="3.625" customWidth="1"/>
    <col min="9" max="9" width="12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237</v>
      </c>
    </row>
    <row r="3" spans="1:9">
      <c r="A3" s="85" t="s">
        <v>87</v>
      </c>
      <c r="I3" s="10" t="s">
        <v>293</v>
      </c>
    </row>
    <row r="4" spans="1:9">
      <c r="A4" t="s">
        <v>86</v>
      </c>
      <c r="I4" s="10" t="s">
        <v>33</v>
      </c>
    </row>
    <row r="5" spans="1:9">
      <c r="A5" s="6"/>
      <c r="I5" s="10"/>
    </row>
    <row r="8" spans="1:9">
      <c r="A8" t="s">
        <v>1</v>
      </c>
      <c r="G8" s="2" t="s">
        <v>13</v>
      </c>
      <c r="H8" s="2"/>
      <c r="I8" s="2" t="s">
        <v>123</v>
      </c>
    </row>
    <row r="9" spans="1:9">
      <c r="A9" s="1" t="s">
        <v>2</v>
      </c>
      <c r="C9" s="1" t="s">
        <v>3</v>
      </c>
      <c r="G9" s="37" t="s">
        <v>28</v>
      </c>
      <c r="H9" s="2"/>
      <c r="I9" s="37" t="s">
        <v>28</v>
      </c>
    </row>
    <row r="11" spans="1:9">
      <c r="A11" s="2">
        <v>1</v>
      </c>
      <c r="C11" t="s">
        <v>91</v>
      </c>
      <c r="G11" s="43">
        <f>+I11</f>
        <v>4389178</v>
      </c>
      <c r="H11" s="7"/>
      <c r="I11" s="43">
        <v>4389178</v>
      </c>
    </row>
    <row r="12" spans="1:9">
      <c r="A12" s="2"/>
    </row>
    <row r="13" spans="1:9">
      <c r="A13" s="2">
        <v>2</v>
      </c>
      <c r="C13" t="s">
        <v>90</v>
      </c>
      <c r="G13" s="17">
        <f>+I13</f>
        <v>4152345</v>
      </c>
      <c r="H13" s="7"/>
      <c r="I13" s="17">
        <v>4152345</v>
      </c>
    </row>
    <row r="14" spans="1:9">
      <c r="A14" s="2"/>
    </row>
    <row r="15" spans="1:9">
      <c r="A15" s="2">
        <v>3</v>
      </c>
      <c r="C15" t="s">
        <v>88</v>
      </c>
      <c r="G15" s="8">
        <f>+G11-G13</f>
        <v>236833</v>
      </c>
      <c r="I15" s="8">
        <f>+I11-I13</f>
        <v>236833</v>
      </c>
    </row>
    <row r="16" spans="1:9">
      <c r="A16" s="2"/>
    </row>
    <row r="17" spans="1:9">
      <c r="A17" s="2">
        <v>4</v>
      </c>
      <c r="C17" t="s">
        <v>89</v>
      </c>
      <c r="G17" s="9">
        <f>-G11*0.5</f>
        <v>-2194589</v>
      </c>
      <c r="I17" s="9">
        <v>0</v>
      </c>
    </row>
    <row r="18" spans="1:9">
      <c r="A18" s="2"/>
    </row>
    <row r="19" spans="1:9">
      <c r="A19" s="2">
        <v>5</v>
      </c>
      <c r="C19" t="s">
        <v>92</v>
      </c>
      <c r="G19" s="8">
        <f>+G15+G17</f>
        <v>-1957756</v>
      </c>
      <c r="I19" s="8">
        <f>+I15+I17</f>
        <v>236833</v>
      </c>
    </row>
    <row r="20" spans="1:9">
      <c r="A20" s="2"/>
    </row>
    <row r="21" spans="1:9">
      <c r="A21" s="2">
        <v>6</v>
      </c>
      <c r="C21" t="s">
        <v>29</v>
      </c>
      <c r="G21" s="19">
        <v>0.21</v>
      </c>
      <c r="I21" s="19">
        <v>0.21</v>
      </c>
    </row>
    <row r="22" spans="1:9">
      <c r="A22" s="2"/>
    </row>
    <row r="23" spans="1:9">
      <c r="A23" s="2">
        <v>7</v>
      </c>
      <c r="C23" t="s">
        <v>30</v>
      </c>
      <c r="G23" s="17">
        <f>-G19*G21</f>
        <v>411128.76</v>
      </c>
      <c r="I23" s="17">
        <f>-I19*I21</f>
        <v>-49734.93</v>
      </c>
    </row>
    <row r="24" spans="1:9">
      <c r="A24" s="2"/>
      <c r="G24" s="7"/>
      <c r="I24" s="7"/>
    </row>
    <row r="25" spans="1:9" ht="16.5" thickBot="1">
      <c r="A25" s="2">
        <v>8</v>
      </c>
      <c r="C25" t="s">
        <v>31</v>
      </c>
      <c r="G25" s="53">
        <f>-G19-G23</f>
        <v>1546627.24</v>
      </c>
      <c r="I25" s="53">
        <f>-I19-I23</f>
        <v>-187098.07</v>
      </c>
    </row>
    <row r="26" spans="1:9" ht="16.5" thickTop="1">
      <c r="A26" s="2"/>
    </row>
    <row r="29" spans="1:9">
      <c r="C29" s="14" t="s">
        <v>27</v>
      </c>
    </row>
    <row r="30" spans="1:9">
      <c r="C30" t="s">
        <v>121</v>
      </c>
    </row>
  </sheetData>
  <pageMargins left="0.7" right="0.7" top="0.75" bottom="0.75" header="0.3" footer="0.3"/>
  <pageSetup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="55" zoomScaleNormal="55" workbookViewId="0">
      <selection activeCell="I3" sqref="I3"/>
    </sheetView>
  </sheetViews>
  <sheetFormatPr defaultRowHeight="15.75"/>
  <cols>
    <col min="1" max="1" width="4.125" customWidth="1"/>
    <col min="2" max="2" width="1.625" customWidth="1"/>
    <col min="3" max="3" width="47.125" customWidth="1"/>
    <col min="4" max="4" width="2" customWidth="1"/>
    <col min="5" max="5" width="2.375" customWidth="1"/>
    <col min="6" max="6" width="4.125" customWidth="1"/>
    <col min="7" max="7" width="15.875" customWidth="1"/>
    <col min="8" max="8" width="3.625" customWidth="1"/>
    <col min="9" max="9" width="14.25" customWidth="1"/>
    <col min="10" max="10" width="0.75" customWidth="1"/>
  </cols>
  <sheetData>
    <row r="1" spans="1:10">
      <c r="A1" t="s">
        <v>85</v>
      </c>
      <c r="I1" s="10" t="s">
        <v>56</v>
      </c>
    </row>
    <row r="2" spans="1:10">
      <c r="A2" t="s">
        <v>125</v>
      </c>
      <c r="I2" s="10" t="s">
        <v>237</v>
      </c>
    </row>
    <row r="3" spans="1:10">
      <c r="A3" s="85" t="s">
        <v>233</v>
      </c>
      <c r="I3" s="10" t="s">
        <v>292</v>
      </c>
    </row>
    <row r="4" spans="1:10">
      <c r="A4" t="s">
        <v>86</v>
      </c>
      <c r="I4" s="10" t="s">
        <v>34</v>
      </c>
    </row>
    <row r="5" spans="1:10">
      <c r="A5" s="6"/>
      <c r="I5" s="10"/>
    </row>
    <row r="10" spans="1:10">
      <c r="A10" t="s">
        <v>1</v>
      </c>
      <c r="G10" s="2" t="s">
        <v>13</v>
      </c>
      <c r="H10" s="2"/>
      <c r="I10" s="2" t="s">
        <v>123</v>
      </c>
    </row>
    <row r="11" spans="1:10">
      <c r="A11" s="1" t="s">
        <v>2</v>
      </c>
      <c r="C11" s="1" t="s">
        <v>3</v>
      </c>
      <c r="G11" s="35" t="s">
        <v>28</v>
      </c>
      <c r="H11" s="2"/>
      <c r="I11" s="35" t="s">
        <v>28</v>
      </c>
      <c r="J11" s="2"/>
    </row>
    <row r="13" spans="1:10">
      <c r="A13" s="114">
        <v>1</v>
      </c>
      <c r="C13" s="7" t="s">
        <v>166</v>
      </c>
      <c r="G13" s="43">
        <f>+'WP-1 AMA Update'!I13</f>
        <v>167984851</v>
      </c>
      <c r="I13" s="43">
        <v>200340093</v>
      </c>
      <c r="J13" s="7"/>
    </row>
    <row r="14" spans="1:10">
      <c r="A14" s="114">
        <v>2</v>
      </c>
      <c r="C14" s="7" t="s">
        <v>156</v>
      </c>
      <c r="G14" s="7">
        <f>+'WP-1 AMA Update'!I14</f>
        <v>-53501077</v>
      </c>
      <c r="H14" s="7"/>
      <c r="I14" s="7">
        <v>-55515782</v>
      </c>
      <c r="J14" s="7"/>
    </row>
    <row r="15" spans="1:10">
      <c r="A15" s="114">
        <v>3</v>
      </c>
      <c r="C15" s="7" t="s">
        <v>181</v>
      </c>
      <c r="G15" s="7"/>
      <c r="H15" s="7"/>
      <c r="I15" s="7">
        <v>3758546</v>
      </c>
      <c r="J15" s="7"/>
    </row>
    <row r="16" spans="1:10">
      <c r="A16" s="114">
        <v>4</v>
      </c>
      <c r="C16" s="7" t="s">
        <v>167</v>
      </c>
      <c r="G16" s="52">
        <f>+'WP-1 AMA Update'!I15</f>
        <v>3132296</v>
      </c>
      <c r="H16" s="16"/>
      <c r="I16" s="52">
        <v>2958805</v>
      </c>
    </row>
    <row r="17" spans="1:10">
      <c r="A17" s="114">
        <v>5</v>
      </c>
      <c r="C17" s="7" t="s">
        <v>182</v>
      </c>
      <c r="G17" s="52"/>
      <c r="I17" s="52">
        <v>-875974</v>
      </c>
    </row>
    <row r="18" spans="1:10" ht="24" customHeight="1" thickBot="1">
      <c r="A18" s="114">
        <v>6</v>
      </c>
      <c r="C18" s="7" t="s">
        <v>168</v>
      </c>
      <c r="G18" s="44">
        <f>SUM(G13:G16)</f>
        <v>117616070</v>
      </c>
      <c r="H18" s="54"/>
      <c r="I18" s="44">
        <f>SUM(I13:I17)</f>
        <v>150665688</v>
      </c>
    </row>
    <row r="19" spans="1:10" ht="16.5" thickTop="1">
      <c r="A19" s="114"/>
    </row>
    <row r="20" spans="1:10">
      <c r="A20" s="114">
        <v>7</v>
      </c>
      <c r="C20" s="7" t="s">
        <v>169</v>
      </c>
      <c r="G20" s="43">
        <f>+'WP-1 AMA Update'!I20</f>
        <v>10902229.918837011</v>
      </c>
      <c r="I20" s="43">
        <v>12326972</v>
      </c>
    </row>
    <row r="21" spans="1:10">
      <c r="A21" s="114">
        <v>8</v>
      </c>
      <c r="C21" s="7" t="s">
        <v>170</v>
      </c>
      <c r="G21" s="17">
        <f>-G20*0.21</f>
        <v>-2289468.2829557722</v>
      </c>
      <c r="I21" s="17">
        <f>-I20*0.21</f>
        <v>-2588664.12</v>
      </c>
    </row>
    <row r="22" spans="1:10" ht="26.45" customHeight="1" thickBot="1">
      <c r="A22" s="114">
        <v>9</v>
      </c>
      <c r="C22" s="7" t="s">
        <v>164</v>
      </c>
      <c r="G22" s="44">
        <f>-G20-G21</f>
        <v>-8612761.6358812377</v>
      </c>
      <c r="H22" s="54"/>
      <c r="I22" s="44">
        <f>-I20-I21</f>
        <v>-9738307.879999999</v>
      </c>
    </row>
    <row r="23" spans="1:10" ht="16.5" thickTop="1">
      <c r="A23" s="114"/>
      <c r="C23" s="7"/>
    </row>
    <row r="24" spans="1:10">
      <c r="A24" s="114">
        <v>10</v>
      </c>
      <c r="C24" s="7" t="s">
        <v>183</v>
      </c>
      <c r="G24" s="43">
        <f>-G20</f>
        <v>-10902229.918837011</v>
      </c>
      <c r="H24" s="43"/>
      <c r="I24" s="43">
        <f>-I20</f>
        <v>-12326972</v>
      </c>
    </row>
    <row r="25" spans="1:10">
      <c r="A25" s="114">
        <v>11</v>
      </c>
      <c r="C25" s="7" t="s">
        <v>184</v>
      </c>
      <c r="G25" s="9">
        <f>-G21</f>
        <v>2289468.2829557722</v>
      </c>
      <c r="I25" s="9">
        <f>-I21</f>
        <v>2588664.12</v>
      </c>
    </row>
    <row r="26" spans="1:10" ht="25.15" customHeight="1" thickBot="1">
      <c r="A26" s="114">
        <v>12</v>
      </c>
      <c r="C26" t="s">
        <v>286</v>
      </c>
      <c r="G26" s="44">
        <f>+G24+G25</f>
        <v>-8612761.6358812377</v>
      </c>
      <c r="H26" s="43"/>
      <c r="I26" s="44">
        <f>+I24+I25</f>
        <v>-9738307.879999999</v>
      </c>
      <c r="J26" s="7"/>
    </row>
    <row r="27" spans="1:10" ht="16.5" thickTop="1">
      <c r="A27" s="114"/>
      <c r="G27" s="33"/>
      <c r="H27" s="7"/>
      <c r="I27" s="33"/>
    </row>
    <row r="28" spans="1:10">
      <c r="A28" s="114"/>
      <c r="C28" s="14" t="s">
        <v>27</v>
      </c>
      <c r="G28" s="7"/>
      <c r="H28" s="7"/>
      <c r="I28" s="7"/>
    </row>
    <row r="29" spans="1:10" ht="31.15" customHeight="1">
      <c r="A29" s="114"/>
      <c r="C29" s="130" t="s">
        <v>235</v>
      </c>
      <c r="D29" s="130"/>
      <c r="E29" s="130"/>
      <c r="F29" s="130"/>
      <c r="G29" s="130"/>
      <c r="H29" s="130"/>
      <c r="I29" s="130"/>
    </row>
    <row r="30" spans="1:10">
      <c r="A30" s="115"/>
      <c r="C30" t="s">
        <v>234</v>
      </c>
      <c r="G30" s="7"/>
      <c r="H30" s="7"/>
      <c r="I30" s="7"/>
    </row>
    <row r="31" spans="1:10">
      <c r="A31" s="115"/>
    </row>
    <row r="32" spans="1:10">
      <c r="A32" s="115"/>
    </row>
    <row r="33" spans="1:1">
      <c r="A33" s="115"/>
    </row>
    <row r="34" spans="1:1">
      <c r="A34" s="115"/>
    </row>
    <row r="35" spans="1:1">
      <c r="A35" s="115"/>
    </row>
    <row r="36" spans="1:1">
      <c r="A36" s="115"/>
    </row>
    <row r="37" spans="1:1">
      <c r="A37" s="115"/>
    </row>
    <row r="38" spans="1:1">
      <c r="A38" s="115"/>
    </row>
  </sheetData>
  <mergeCells count="1">
    <mergeCell ref="C29:I29"/>
  </mergeCells>
  <pageMargins left="0.7" right="0.7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zoomScale="70" zoomScaleNormal="70" workbookViewId="0">
      <selection activeCell="I3" sqref="I3"/>
    </sheetView>
  </sheetViews>
  <sheetFormatPr defaultRowHeight="15.75"/>
  <cols>
    <col min="1" max="1" width="4.125" customWidth="1"/>
    <col min="2" max="2" width="1.625" customWidth="1"/>
    <col min="3" max="3" width="46.625" customWidth="1"/>
    <col min="4" max="4" width="4.75" customWidth="1"/>
    <col min="5" max="5" width="4.125" customWidth="1"/>
    <col min="6" max="6" width="2.875" customWidth="1"/>
    <col min="7" max="7" width="13.25" customWidth="1"/>
    <col min="8" max="8" width="2.375" customWidth="1"/>
    <col min="9" max="9" width="12.75" customWidth="1"/>
    <col min="10" max="10" width="5" customWidth="1"/>
    <col min="11" max="11" width="8.875" customWidth="1"/>
  </cols>
  <sheetData>
    <row r="1" spans="1:9">
      <c r="A1" t="s">
        <v>124</v>
      </c>
      <c r="I1" s="20" t="s">
        <v>56</v>
      </c>
    </row>
    <row r="2" spans="1:9">
      <c r="A2" t="s">
        <v>125</v>
      </c>
      <c r="I2" s="10" t="s">
        <v>237</v>
      </c>
    </row>
    <row r="3" spans="1:9">
      <c r="A3" s="85" t="s">
        <v>147</v>
      </c>
      <c r="I3" s="10" t="s">
        <v>291</v>
      </c>
    </row>
    <row r="4" spans="1:9">
      <c r="A4" t="s">
        <v>86</v>
      </c>
      <c r="I4" s="10" t="s">
        <v>54</v>
      </c>
    </row>
    <row r="5" spans="1:9">
      <c r="A5" s="6"/>
      <c r="I5" s="10"/>
    </row>
    <row r="8" spans="1:9">
      <c r="A8" t="s">
        <v>1</v>
      </c>
      <c r="G8" s="2" t="s">
        <v>13</v>
      </c>
      <c r="H8" s="2"/>
      <c r="I8" s="2" t="s">
        <v>123</v>
      </c>
    </row>
    <row r="9" spans="1:9">
      <c r="A9" s="1" t="s">
        <v>2</v>
      </c>
      <c r="C9" s="1" t="s">
        <v>3</v>
      </c>
      <c r="G9" s="3" t="s">
        <v>28</v>
      </c>
      <c r="H9" s="2"/>
      <c r="I9" s="3" t="s">
        <v>28</v>
      </c>
    </row>
    <row r="11" spans="1:9">
      <c r="A11" s="59">
        <v>1</v>
      </c>
      <c r="C11" t="s">
        <v>148</v>
      </c>
      <c r="G11" s="43">
        <v>6272059</v>
      </c>
      <c r="I11" s="43">
        <v>0</v>
      </c>
    </row>
    <row r="12" spans="1:9">
      <c r="A12" s="59"/>
    </row>
    <row r="13" spans="1:9">
      <c r="A13" s="59">
        <v>2</v>
      </c>
      <c r="C13" t="s">
        <v>149</v>
      </c>
      <c r="G13" s="7">
        <v>4786138</v>
      </c>
    </row>
    <row r="14" spans="1:9">
      <c r="A14" s="59"/>
    </row>
    <row r="15" spans="1:9">
      <c r="A15" s="59">
        <v>3</v>
      </c>
      <c r="C15" t="s">
        <v>150</v>
      </c>
      <c r="G15" s="45">
        <f>+(31+28)/365</f>
        <v>0.16164383561643836</v>
      </c>
    </row>
    <row r="16" spans="1:9">
      <c r="A16" s="59"/>
    </row>
    <row r="17" spans="1:15">
      <c r="A17" s="59">
        <v>4</v>
      </c>
      <c r="C17" t="s">
        <v>151</v>
      </c>
      <c r="G17" s="46">
        <f>+G13*G15</f>
        <v>773649.7041095891</v>
      </c>
    </row>
    <row r="18" spans="1:15">
      <c r="A18" s="59"/>
    </row>
    <row r="19" spans="1:15">
      <c r="A19" s="59">
        <v>5</v>
      </c>
      <c r="C19" t="s">
        <v>152</v>
      </c>
      <c r="G19" s="47">
        <f>+G11+G17</f>
        <v>7045708.7041095886</v>
      </c>
    </row>
    <row r="20" spans="1:15">
      <c r="A20" s="59"/>
    </row>
    <row r="21" spans="1:15" ht="16.5" thickBot="1">
      <c r="A21" s="59">
        <v>6</v>
      </c>
      <c r="C21" t="s">
        <v>287</v>
      </c>
      <c r="G21" s="48">
        <f>+G44</f>
        <v>5820422.319444444</v>
      </c>
      <c r="I21" s="43">
        <v>0</v>
      </c>
    </row>
    <row r="22" spans="1:15" ht="16.5" thickTop="1">
      <c r="A22" s="59"/>
      <c r="G22" s="7"/>
    </row>
    <row r="23" spans="1:15" ht="16.5" thickBot="1">
      <c r="A23" s="59">
        <v>7</v>
      </c>
      <c r="C23" t="s">
        <v>265</v>
      </c>
      <c r="G23" s="48">
        <f>+G19/2</f>
        <v>3522854.3520547943</v>
      </c>
      <c r="I23" s="43">
        <v>0</v>
      </c>
    </row>
    <row r="24" spans="1:15" ht="16.5" thickTop="1">
      <c r="A24" s="59"/>
    </row>
    <row r="25" spans="1:15">
      <c r="C25" s="14" t="s">
        <v>27</v>
      </c>
    </row>
    <row r="26" spans="1:15">
      <c r="C26" t="s">
        <v>153</v>
      </c>
    </row>
    <row r="29" spans="1:15">
      <c r="C29" s="83" t="s">
        <v>196</v>
      </c>
    </row>
    <row r="30" spans="1:15">
      <c r="C30" t="s">
        <v>215</v>
      </c>
      <c r="G30" s="7">
        <f>6272059*6/12</f>
        <v>3136029.5</v>
      </c>
      <c r="O30" s="8"/>
    </row>
    <row r="31" spans="1:15">
      <c r="C31" t="s">
        <v>216</v>
      </c>
      <c r="G31" s="7">
        <f>6272059*7/12</f>
        <v>3658701.0833333335</v>
      </c>
      <c r="O31" s="8"/>
    </row>
    <row r="32" spans="1:15">
      <c r="C32" t="s">
        <v>217</v>
      </c>
      <c r="G32" s="7">
        <f>6272059*8/12</f>
        <v>4181372.6666666665</v>
      </c>
      <c r="O32" s="8"/>
    </row>
    <row r="33" spans="3:7">
      <c r="C33" t="s">
        <v>185</v>
      </c>
      <c r="G33" s="7">
        <f>6272059*9/12</f>
        <v>4704044.25</v>
      </c>
    </row>
    <row r="34" spans="3:7">
      <c r="C34" t="s">
        <v>186</v>
      </c>
      <c r="G34" s="7">
        <f>6272059*10/12</f>
        <v>5226715.833333333</v>
      </c>
    </row>
    <row r="35" spans="3:7">
      <c r="C35" t="s">
        <v>187</v>
      </c>
      <c r="G35" s="7">
        <f>6272059*11/12</f>
        <v>5749387.416666667</v>
      </c>
    </row>
    <row r="36" spans="3:7">
      <c r="C36" t="s">
        <v>188</v>
      </c>
      <c r="G36" s="7">
        <f>6272059</f>
        <v>6272059</v>
      </c>
    </row>
    <row r="37" spans="3:7">
      <c r="C37" t="s">
        <v>189</v>
      </c>
      <c r="G37" s="7">
        <f>6272059+4786138/12</f>
        <v>6670903.833333333</v>
      </c>
    </row>
    <row r="38" spans="3:7">
      <c r="C38" t="s">
        <v>190</v>
      </c>
      <c r="G38" s="7">
        <f>6272059+4786138*2/12</f>
        <v>7069748.666666667</v>
      </c>
    </row>
    <row r="39" spans="3:7">
      <c r="C39" t="s">
        <v>191</v>
      </c>
      <c r="G39" s="8">
        <f>+G38</f>
        <v>7069748.666666667</v>
      </c>
    </row>
    <row r="40" spans="3:7">
      <c r="C40" t="s">
        <v>192</v>
      </c>
      <c r="G40" s="8">
        <f t="shared" ref="G40:G42" si="0">+G39</f>
        <v>7069748.666666667</v>
      </c>
    </row>
    <row r="41" spans="3:7">
      <c r="C41" t="s">
        <v>193</v>
      </c>
      <c r="G41" s="8">
        <f t="shared" si="0"/>
        <v>7069748.666666667</v>
      </c>
    </row>
    <row r="42" spans="3:7">
      <c r="C42" t="s">
        <v>194</v>
      </c>
      <c r="G42" s="8">
        <f t="shared" si="0"/>
        <v>7069748.666666667</v>
      </c>
    </row>
    <row r="44" spans="3:7">
      <c r="C44" t="s">
        <v>195</v>
      </c>
      <c r="G44" s="8">
        <f>+(G30+G42+SUM(G31:G41)*2)/24</f>
        <v>5820422.319444444</v>
      </c>
    </row>
  </sheetData>
  <pageMargins left="0.7" right="0.7" top="0.75" bottom="0.7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zoomScale="55" zoomScaleNormal="55" workbookViewId="0">
      <selection activeCell="F1" sqref="F1:F4"/>
    </sheetView>
  </sheetViews>
  <sheetFormatPr defaultRowHeight="15.75"/>
  <cols>
    <col min="1" max="1" width="4.125" customWidth="1"/>
    <col min="2" max="2" width="1.625" customWidth="1"/>
    <col min="3" max="3" width="55.875" customWidth="1"/>
    <col min="4" max="4" width="13.875" bestFit="1" customWidth="1"/>
    <col min="5" max="5" width="3.625" customWidth="1"/>
    <col min="6" max="6" width="12.75" customWidth="1"/>
    <col min="7" max="7" width="5" customWidth="1"/>
    <col min="8" max="8" width="8.875" customWidth="1"/>
    <col min="9" max="9" width="9.625" bestFit="1" customWidth="1"/>
  </cols>
  <sheetData>
    <row r="1" spans="1:6">
      <c r="A1" t="s">
        <v>124</v>
      </c>
      <c r="F1" s="20"/>
    </row>
    <row r="2" spans="1:6">
      <c r="A2" t="s">
        <v>125</v>
      </c>
      <c r="F2" s="10"/>
    </row>
    <row r="3" spans="1:6">
      <c r="A3" s="85" t="s">
        <v>155</v>
      </c>
      <c r="F3" s="10"/>
    </row>
    <row r="4" spans="1:6">
      <c r="A4" t="s">
        <v>86</v>
      </c>
      <c r="F4" s="10"/>
    </row>
    <row r="5" spans="1:6">
      <c r="A5" s="6"/>
      <c r="F5" s="10"/>
    </row>
    <row r="8" spans="1:6">
      <c r="A8" t="s">
        <v>1</v>
      </c>
      <c r="D8" s="2" t="s">
        <v>13</v>
      </c>
      <c r="E8" s="2"/>
      <c r="F8" s="2" t="s">
        <v>123</v>
      </c>
    </row>
    <row r="9" spans="1:6">
      <c r="A9" s="1" t="s">
        <v>2</v>
      </c>
      <c r="C9" s="1" t="s">
        <v>3</v>
      </c>
      <c r="D9" s="49" t="s">
        <v>28</v>
      </c>
      <c r="E9" s="2"/>
      <c r="F9" s="49" t="s">
        <v>28</v>
      </c>
    </row>
    <row r="10" spans="1:6">
      <c r="D10" s="2"/>
      <c r="E10" s="2"/>
      <c r="F10" s="2"/>
    </row>
    <row r="11" spans="1:6">
      <c r="C11" s="14" t="s">
        <v>4</v>
      </c>
    </row>
    <row r="12" spans="1:6">
      <c r="A12" s="114">
        <v>1</v>
      </c>
      <c r="C12" t="s">
        <v>173</v>
      </c>
      <c r="D12" s="43">
        <f>-F57</f>
        <v>-26581111.932929646</v>
      </c>
      <c r="F12" s="43">
        <v>12465833</v>
      </c>
    </row>
    <row r="13" spans="1:6">
      <c r="A13" s="114">
        <v>2</v>
      </c>
      <c r="C13" t="s">
        <v>156</v>
      </c>
      <c r="D13" s="52">
        <f>-F76</f>
        <v>2852976.3913299665</v>
      </c>
      <c r="F13" s="52">
        <v>-1019306</v>
      </c>
    </row>
    <row r="14" spans="1:6">
      <c r="A14" s="114">
        <v>3</v>
      </c>
      <c r="C14" t="s">
        <v>157</v>
      </c>
      <c r="D14" s="17">
        <f>-F95</f>
        <v>1849456.3703741925</v>
      </c>
      <c r="F14" s="17">
        <v>-872688</v>
      </c>
    </row>
    <row r="15" spans="1:6">
      <c r="A15" s="114"/>
    </row>
    <row r="16" spans="1:6">
      <c r="A16" s="114">
        <v>4</v>
      </c>
      <c r="C16" t="s">
        <v>158</v>
      </c>
      <c r="D16" s="47">
        <f>SUM(D12:D15)</f>
        <v>-21878679.171225488</v>
      </c>
      <c r="F16" s="47">
        <f>SUM(F12:F15)</f>
        <v>10573839</v>
      </c>
    </row>
    <row r="17" spans="1:6">
      <c r="A17" s="114"/>
    </row>
    <row r="18" spans="1:6">
      <c r="A18" s="114">
        <v>5</v>
      </c>
      <c r="C18" t="s">
        <v>266</v>
      </c>
      <c r="D18" s="43">
        <v>0</v>
      </c>
      <c r="F18" s="43">
        <v>5026061</v>
      </c>
    </row>
    <row r="19" spans="1:6">
      <c r="A19" s="114">
        <v>6</v>
      </c>
      <c r="C19" t="s">
        <v>159</v>
      </c>
      <c r="D19" s="52"/>
      <c r="F19" s="52">
        <v>-837677</v>
      </c>
    </row>
    <row r="20" spans="1:6">
      <c r="A20" s="114">
        <v>7</v>
      </c>
      <c r="C20" t="s">
        <v>267</v>
      </c>
      <c r="D20" s="17"/>
      <c r="F20" s="17">
        <v>-879561</v>
      </c>
    </row>
    <row r="21" spans="1:6">
      <c r="A21" s="114"/>
    </row>
    <row r="22" spans="1:6">
      <c r="A22" s="114">
        <v>8</v>
      </c>
      <c r="C22" t="s">
        <v>160</v>
      </c>
      <c r="D22" s="47">
        <f>SUM(D18:D21)</f>
        <v>0</v>
      </c>
      <c r="F22" s="47">
        <f>SUM(F18:F21)</f>
        <v>3308823</v>
      </c>
    </row>
    <row r="23" spans="1:6">
      <c r="A23" s="114"/>
    </row>
    <row r="24" spans="1:6" ht="16.5" thickBot="1">
      <c r="A24" s="114">
        <v>9</v>
      </c>
      <c r="C24" t="s">
        <v>161</v>
      </c>
      <c r="D24" s="48">
        <f>+D16+D22</f>
        <v>-21878679.171225488</v>
      </c>
      <c r="F24" s="48">
        <f>+F16+F22</f>
        <v>13882662</v>
      </c>
    </row>
    <row r="25" spans="1:6" ht="16.5" thickTop="1">
      <c r="A25" s="114"/>
    </row>
    <row r="26" spans="1:6">
      <c r="A26" s="114"/>
      <c r="C26" s="14" t="s">
        <v>162</v>
      </c>
    </row>
    <row r="27" spans="1:6">
      <c r="A27" s="114">
        <v>10</v>
      </c>
      <c r="C27" t="s">
        <v>163</v>
      </c>
      <c r="D27" s="43">
        <f>-F100</f>
        <v>-4144611</v>
      </c>
      <c r="F27" s="43">
        <v>654456</v>
      </c>
    </row>
    <row r="28" spans="1:6">
      <c r="A28" s="114">
        <v>11</v>
      </c>
      <c r="C28" t="s">
        <v>268</v>
      </c>
      <c r="D28" s="43"/>
      <c r="F28" s="52">
        <v>-45793</v>
      </c>
    </row>
    <row r="29" spans="1:6">
      <c r="A29" s="114">
        <v>12</v>
      </c>
      <c r="C29" t="s">
        <v>204</v>
      </c>
      <c r="D29" s="43"/>
      <c r="F29" s="52">
        <v>390538</v>
      </c>
    </row>
    <row r="30" spans="1:6">
      <c r="A30" s="114">
        <v>13</v>
      </c>
      <c r="C30" t="s">
        <v>205</v>
      </c>
      <c r="D30" s="43"/>
      <c r="F30" s="52">
        <v>1675354</v>
      </c>
    </row>
    <row r="31" spans="1:6">
      <c r="A31" s="114">
        <v>14</v>
      </c>
      <c r="C31" t="s">
        <v>73</v>
      </c>
      <c r="D31" s="17">
        <f>-D27*0.21</f>
        <v>870368.30999999994</v>
      </c>
      <c r="F31" s="17">
        <v>-561657</v>
      </c>
    </row>
    <row r="32" spans="1:6">
      <c r="A32" s="114"/>
    </row>
    <row r="33" spans="1:6" ht="16.5" thickBot="1">
      <c r="A33" s="114">
        <v>15</v>
      </c>
      <c r="C33" t="s">
        <v>164</v>
      </c>
      <c r="D33" s="53">
        <f>-SUM(D27:D32)</f>
        <v>3274242.69</v>
      </c>
      <c r="F33" s="53">
        <f>-SUM(F27:F32)</f>
        <v>-2112898</v>
      </c>
    </row>
    <row r="34" spans="1:6" ht="16.5" thickTop="1">
      <c r="A34" s="115"/>
      <c r="D34" s="43"/>
    </row>
    <row r="35" spans="1:6">
      <c r="A35" s="115"/>
      <c r="C35" s="14" t="s">
        <v>27</v>
      </c>
    </row>
    <row r="36" spans="1:6">
      <c r="A36" s="115"/>
      <c r="C36" t="s">
        <v>165</v>
      </c>
    </row>
    <row r="37" spans="1:6">
      <c r="A37" s="115"/>
      <c r="C37" t="s">
        <v>203</v>
      </c>
    </row>
    <row r="38" spans="1:6">
      <c r="A38" s="115"/>
    </row>
    <row r="39" spans="1:6">
      <c r="A39" s="115"/>
    </row>
    <row r="40" spans="1:6">
      <c r="A40" s="115"/>
      <c r="C40" s="14" t="s">
        <v>200</v>
      </c>
    </row>
    <row r="41" spans="1:6">
      <c r="C41" t="s">
        <v>201</v>
      </c>
    </row>
    <row r="42" spans="1:6">
      <c r="C42" s="10" t="s">
        <v>202</v>
      </c>
      <c r="D42" t="s">
        <v>171</v>
      </c>
      <c r="F42" t="s">
        <v>172</v>
      </c>
    </row>
    <row r="43" spans="1:6">
      <c r="C43" s="55">
        <v>43281</v>
      </c>
      <c r="D43" s="7">
        <v>44394583.510395996</v>
      </c>
      <c r="E43" s="7"/>
      <c r="F43" s="7">
        <v>16153819.989604</v>
      </c>
    </row>
    <row r="44" spans="1:6">
      <c r="C44" s="55">
        <v>43312</v>
      </c>
      <c r="D44" s="7">
        <v>48285611.310396001</v>
      </c>
      <c r="E44" s="7"/>
      <c r="F44" s="7">
        <v>20449773.849603999</v>
      </c>
    </row>
    <row r="45" spans="1:6">
      <c r="C45" s="55">
        <v>43343</v>
      </c>
      <c r="D45" s="7">
        <v>53598407.806595258</v>
      </c>
      <c r="E45" s="7"/>
      <c r="F45" s="7">
        <v>23130928.223404739</v>
      </c>
    </row>
    <row r="46" spans="1:6">
      <c r="C46" s="55">
        <v>43373</v>
      </c>
      <c r="D46" s="7">
        <v>56859109.816595256</v>
      </c>
      <c r="E46" s="7"/>
      <c r="F46" s="7">
        <v>23474618.18340474</v>
      </c>
    </row>
    <row r="47" spans="1:6">
      <c r="C47" s="55">
        <v>43404</v>
      </c>
      <c r="D47" s="7">
        <v>64531734.136595257</v>
      </c>
      <c r="E47" s="7"/>
      <c r="F47" s="7">
        <v>24069036.323404737</v>
      </c>
    </row>
    <row r="48" spans="1:6">
      <c r="C48" s="55">
        <v>43434</v>
      </c>
      <c r="D48" s="7">
        <v>64659699.386595257</v>
      </c>
      <c r="E48" s="7"/>
      <c r="F48" s="7">
        <v>24116006.323404737</v>
      </c>
    </row>
    <row r="49" spans="3:6">
      <c r="C49" s="55">
        <v>43465</v>
      </c>
      <c r="D49" s="7">
        <v>65960577.016595259</v>
      </c>
      <c r="E49" s="7"/>
      <c r="F49" s="7">
        <v>25901244.283404738</v>
      </c>
    </row>
    <row r="50" spans="3:6">
      <c r="C50" s="55">
        <v>43496</v>
      </c>
      <c r="D50" s="7">
        <v>69170421.126595259</v>
      </c>
      <c r="E50" s="7"/>
      <c r="F50" s="7">
        <v>27430165.703404739</v>
      </c>
    </row>
    <row r="51" spans="3:6">
      <c r="C51" s="55">
        <v>43524</v>
      </c>
      <c r="D51" s="7">
        <v>73237780.856595248</v>
      </c>
      <c r="E51" s="7"/>
      <c r="F51" s="7">
        <v>27932655.043404736</v>
      </c>
    </row>
    <row r="52" spans="3:6">
      <c r="C52" s="55">
        <v>43555</v>
      </c>
      <c r="D52" s="7">
        <v>78296166.706595257</v>
      </c>
      <c r="E52" s="7"/>
      <c r="F52" s="7">
        <v>31736155.493404739</v>
      </c>
    </row>
    <row r="53" spans="3:6">
      <c r="C53" s="55">
        <v>43585</v>
      </c>
      <c r="D53" s="7">
        <v>78520537.90659526</v>
      </c>
      <c r="E53" s="7"/>
      <c r="F53" s="7">
        <v>31736155.493404739</v>
      </c>
    </row>
    <row r="54" spans="3:6">
      <c r="C54" s="55">
        <v>43616</v>
      </c>
      <c r="D54" s="7">
        <v>78520537.90659526</v>
      </c>
      <c r="E54" s="7"/>
      <c r="F54" s="7">
        <v>31736155.493404739</v>
      </c>
    </row>
    <row r="55" spans="3:6">
      <c r="C55" s="55">
        <v>43646</v>
      </c>
      <c r="D55" s="7">
        <v>90599561.746595263</v>
      </c>
      <c r="E55" s="7"/>
      <c r="F55" s="7">
        <v>38367077.573404737</v>
      </c>
    </row>
    <row r="57" spans="3:6">
      <c r="C57" s="10" t="s">
        <v>283</v>
      </c>
      <c r="D57" s="7">
        <f>+(D43+D55+SUM(D44:D54)*2)/24</f>
        <v>66594804.717070341</v>
      </c>
      <c r="E57" s="7"/>
      <c r="F57" s="7">
        <f>+(F43+F55+SUM(F44:F54)*2)/24</f>
        <v>26581111.932929646</v>
      </c>
    </row>
    <row r="58" spans="3:6">
      <c r="C58" s="10"/>
      <c r="D58" s="60"/>
      <c r="E58" s="7"/>
      <c r="F58" s="60"/>
    </row>
    <row r="59" spans="3:6">
      <c r="C59" s="10"/>
    </row>
    <row r="61" spans="3:6">
      <c r="C61" s="10" t="s">
        <v>156</v>
      </c>
    </row>
    <row r="62" spans="3:6">
      <c r="C62" s="55">
        <v>43281</v>
      </c>
      <c r="D62" s="21">
        <v>-1898019.1355115911</v>
      </c>
      <c r="F62" s="21">
        <v>-850612.76972995116</v>
      </c>
    </row>
    <row r="63" spans="3:6">
      <c r="C63" s="55">
        <v>43312</v>
      </c>
      <c r="D63" s="21">
        <v>-2557271.0372973997</v>
      </c>
      <c r="F63" s="21">
        <v>-1165123.1679064762</v>
      </c>
    </row>
    <row r="64" spans="3:6">
      <c r="C64" s="55">
        <v>43343</v>
      </c>
      <c r="D64" s="21">
        <v>-3240873.2563574552</v>
      </c>
      <c r="F64" s="21">
        <v>-1491363.6164683795</v>
      </c>
    </row>
    <row r="65" spans="3:6">
      <c r="C65" s="55">
        <v>43373</v>
      </c>
      <c r="D65" s="21">
        <v>-3939420.3596300106</v>
      </c>
      <c r="F65" s="21">
        <v>-1819107.7086052829</v>
      </c>
    </row>
    <row r="66" spans="3:6">
      <c r="C66" s="55">
        <v>43404</v>
      </c>
      <c r="D66" s="21">
        <v>-4673133.6577025652</v>
      </c>
      <c r="F66" s="21">
        <v>-2149452.3801046861</v>
      </c>
    </row>
    <row r="67" spans="3:6">
      <c r="C67" s="55">
        <v>43434</v>
      </c>
      <c r="D67" s="21">
        <v>-5407433.463170954</v>
      </c>
      <c r="F67" s="21">
        <v>-2480002.5453540892</v>
      </c>
    </row>
    <row r="68" spans="3:6">
      <c r="C68" s="55">
        <v>43465</v>
      </c>
      <c r="D68" s="21">
        <v>-6147695.6244435096</v>
      </c>
      <c r="F68" s="21">
        <v>-2818363.1266784924</v>
      </c>
    </row>
    <row r="69" spans="3:6">
      <c r="C69" s="55">
        <v>43496</v>
      </c>
      <c r="D69" s="21">
        <v>-6902669.5712202312</v>
      </c>
      <c r="F69" s="21">
        <v>-3163412.7392153954</v>
      </c>
    </row>
    <row r="70" spans="3:6">
      <c r="C70" s="55">
        <v>43524</v>
      </c>
      <c r="D70" s="21">
        <v>-7676285.5834261198</v>
      </c>
      <c r="F70" s="21">
        <v>-3510660.7426147987</v>
      </c>
    </row>
    <row r="71" spans="3:6">
      <c r="C71" s="55">
        <v>43555</v>
      </c>
      <c r="D71" s="21">
        <v>-8473085.8641111758</v>
      </c>
      <c r="F71" s="21">
        <v>-3874549.0604829518</v>
      </c>
    </row>
    <row r="72" spans="3:6">
      <c r="C72" s="55">
        <v>43585</v>
      </c>
      <c r="D72" s="21">
        <v>-9270914.5127962306</v>
      </c>
      <c r="F72" s="21">
        <v>-4238437.3783511044</v>
      </c>
    </row>
    <row r="73" spans="3:6">
      <c r="C73" s="55">
        <v>43616</v>
      </c>
      <c r="D73" s="21">
        <v>-10068743.161481285</v>
      </c>
      <c r="F73" s="21">
        <v>-4602325.696219258</v>
      </c>
    </row>
    <row r="74" spans="3:6">
      <c r="C74" s="55">
        <v>43646</v>
      </c>
      <c r="D74" s="21">
        <v>-10921934.002766341</v>
      </c>
      <c r="F74" s="21">
        <v>-4995224.2981874105</v>
      </c>
    </row>
    <row r="76" spans="3:6">
      <c r="C76" s="10" t="s">
        <v>284</v>
      </c>
      <c r="D76" s="7">
        <f>+(D62+D74+SUM(D63:D73)*2)/24</f>
        <v>-6230625.2217313247</v>
      </c>
      <c r="E76" s="7"/>
      <c r="F76" s="7">
        <f>+(F62+F74+SUM(F63:F73)*2)/24</f>
        <v>-2852976.3913299665</v>
      </c>
    </row>
    <row r="77" spans="3:6">
      <c r="C77" s="10"/>
      <c r="D77" s="61"/>
      <c r="E77" s="21"/>
      <c r="F77" s="61"/>
    </row>
    <row r="78" spans="3:6">
      <c r="C78" s="10"/>
    </row>
    <row r="80" spans="3:6">
      <c r="C80" s="10" t="s">
        <v>178</v>
      </c>
    </row>
    <row r="81" spans="3:6">
      <c r="C81" s="55">
        <v>43281</v>
      </c>
      <c r="D81" s="21">
        <v>-2355929.9218215817</v>
      </c>
      <c r="F81" s="21">
        <v>-1090038.0560034101</v>
      </c>
    </row>
    <row r="82" spans="3:6">
      <c r="C82" s="55">
        <v>43312</v>
      </c>
      <c r="D82" s="21">
        <v>-2672766.1795831434</v>
      </c>
      <c r="F82" s="21">
        <v>-1222023.8935414688</v>
      </c>
    </row>
    <row r="83" spans="3:6">
      <c r="C83" s="55">
        <v>43343</v>
      </c>
      <c r="D83" s="21">
        <v>-2984488.8707171143</v>
      </c>
      <c r="F83" s="21">
        <v>-1351546.4204985991</v>
      </c>
    </row>
    <row r="84" spans="3:6">
      <c r="C84" s="55">
        <v>43373</v>
      </c>
      <c r="D84" s="21">
        <v>-3293073.1361664589</v>
      </c>
      <c r="F84" s="21">
        <v>-1480753.1823049786</v>
      </c>
    </row>
    <row r="85" spans="3:6">
      <c r="C85" s="55">
        <v>43404</v>
      </c>
      <c r="D85" s="21">
        <v>-3594272.5007078056</v>
      </c>
      <c r="F85" s="21">
        <v>-1609413.8224452338</v>
      </c>
    </row>
    <row r="86" spans="3:6">
      <c r="C86" s="55">
        <v>43434</v>
      </c>
      <c r="D86" s="21">
        <v>-3895348.6986960256</v>
      </c>
      <c r="F86" s="21">
        <v>-1738031.3088979884</v>
      </c>
    </row>
    <row r="87" spans="3:6">
      <c r="C87" s="55">
        <v>43465</v>
      </c>
      <c r="D87" s="21">
        <v>-4195172.8019653708</v>
      </c>
      <c r="F87" s="21">
        <v>-1865008.6079749931</v>
      </c>
    </row>
    <row r="88" spans="3:6">
      <c r="C88" s="55">
        <v>43496</v>
      </c>
      <c r="D88" s="21">
        <v>-4505775.1929025799</v>
      </c>
      <c r="F88" s="21">
        <v>-1985058.9091480449</v>
      </c>
    </row>
    <row r="89" spans="3:6">
      <c r="C89" s="55">
        <v>43524</v>
      </c>
      <c r="D89" s="21">
        <v>-4812462.7500996646</v>
      </c>
      <c r="F89" s="21">
        <v>-2104647.5482399729</v>
      </c>
    </row>
    <row r="90" spans="3:6">
      <c r="C90" s="55">
        <v>43555</v>
      </c>
      <c r="D90" s="21">
        <v>-5114281.6109161247</v>
      </c>
      <c r="F90" s="21">
        <v>-2220741.7212934634</v>
      </c>
    </row>
    <row r="91" spans="3:6">
      <c r="C91" s="55">
        <v>43585</v>
      </c>
      <c r="D91" s="21">
        <v>-5415884.5144525841</v>
      </c>
      <c r="F91" s="21">
        <v>-2336835.8943469529</v>
      </c>
    </row>
    <row r="92" spans="3:6">
      <c r="C92" s="55">
        <v>43616</v>
      </c>
      <c r="D92" s="21">
        <v>-5717487.4179890435</v>
      </c>
      <c r="F92" s="21">
        <v>-2452930.0674004434</v>
      </c>
    </row>
    <row r="93" spans="3:6">
      <c r="C93" s="55">
        <v>43646</v>
      </c>
      <c r="D93" s="21">
        <v>-6007464.2610795023</v>
      </c>
      <c r="F93" s="21">
        <v>-2562932.0807929332</v>
      </c>
    </row>
    <row r="94" spans="3:6">
      <c r="F94" s="21"/>
    </row>
    <row r="95" spans="3:6">
      <c r="C95" s="10" t="s">
        <v>284</v>
      </c>
      <c r="D95" s="7">
        <f>+(D81+D93+SUM(D82:D92)*2)/24</f>
        <v>-4198559.2304705381</v>
      </c>
      <c r="E95" s="7"/>
      <c r="F95" s="7">
        <f>+(F81+F93+SUM(F82:F92)*2)/24</f>
        <v>-1849456.3703741925</v>
      </c>
    </row>
    <row r="96" spans="3:6">
      <c r="C96" s="10"/>
    </row>
    <row r="97" spans="3:6">
      <c r="C97" s="10"/>
    </row>
    <row r="100" spans="3:6">
      <c r="C100" t="s">
        <v>285</v>
      </c>
      <c r="D100" s="36">
        <f>10921934-2257271</f>
        <v>8664663</v>
      </c>
      <c r="F100" s="36">
        <f>4995224-850613</f>
        <v>4144611</v>
      </c>
    </row>
    <row r="101" spans="3:6">
      <c r="D101" s="62"/>
      <c r="E101" s="62"/>
      <c r="F101" s="62"/>
    </row>
    <row r="102" spans="3:6">
      <c r="D102" s="36"/>
      <c r="F102" s="36"/>
    </row>
  </sheetData>
  <printOptions horizontalCentered="1"/>
  <pageMargins left="0.7" right="0.7" top="0.75" bottom="0.75" header="0.3" footer="0.3"/>
  <pageSetup scale="70" fitToWidth="0" fitToHeight="0" orientation="portrait" r:id="rId1"/>
  <headerFooter>
    <oddHeader xml:space="preserve">&amp;RDockets UE-190529 &amp; UG-190530
Exhibit No. MEG-4
Page  of  10
Schedule No. 7
</oddHead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="70" zoomScaleNormal="70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47.375" customWidth="1"/>
    <col min="4" max="4" width="14.875" bestFit="1" customWidth="1"/>
    <col min="5" max="5" width="3.25" customWidth="1"/>
    <col min="6" max="6" width="15" customWidth="1"/>
  </cols>
  <sheetData>
    <row r="1" spans="1:6">
      <c r="A1" t="s">
        <v>124</v>
      </c>
      <c r="F1" s="20" t="s">
        <v>56</v>
      </c>
    </row>
    <row r="2" spans="1:6">
      <c r="A2" t="s">
        <v>213</v>
      </c>
      <c r="F2" s="10" t="s">
        <v>237</v>
      </c>
    </row>
    <row r="3" spans="1:6">
      <c r="A3" s="85" t="s">
        <v>206</v>
      </c>
      <c r="F3" s="10" t="s">
        <v>290</v>
      </c>
    </row>
    <row r="4" spans="1:6">
      <c r="A4" t="s">
        <v>86</v>
      </c>
      <c r="F4" s="10" t="s">
        <v>241</v>
      </c>
    </row>
    <row r="5" spans="1:6">
      <c r="A5" s="6"/>
      <c r="F5" s="10"/>
    </row>
    <row r="8" spans="1:6">
      <c r="A8" t="s">
        <v>1</v>
      </c>
      <c r="D8" s="56" t="s">
        <v>13</v>
      </c>
      <c r="E8" s="56"/>
      <c r="F8" s="56" t="s">
        <v>123</v>
      </c>
    </row>
    <row r="9" spans="1:6">
      <c r="A9" s="1" t="s">
        <v>2</v>
      </c>
      <c r="C9" s="1" t="s">
        <v>3</v>
      </c>
      <c r="D9" s="51" t="s">
        <v>28</v>
      </c>
      <c r="E9" s="56"/>
      <c r="F9" s="51" t="s">
        <v>28</v>
      </c>
    </row>
    <row r="11" spans="1:6">
      <c r="A11" s="114">
        <v>1</v>
      </c>
      <c r="C11" s="63" t="s">
        <v>4</v>
      </c>
      <c r="D11" s="43">
        <f>+Adj.Summary!Q57</f>
        <v>2017563424.8734488</v>
      </c>
      <c r="F11" s="43">
        <v>2112672666</v>
      </c>
    </row>
    <row r="12" spans="1:6">
      <c r="A12" s="114"/>
      <c r="C12" s="63"/>
      <c r="D12" s="43"/>
      <c r="F12" s="43"/>
    </row>
    <row r="13" spans="1:6">
      <c r="A13" s="114">
        <v>2</v>
      </c>
      <c r="C13" s="63" t="s">
        <v>207</v>
      </c>
      <c r="D13" s="5">
        <f>+'Cost of Capital'!G37</f>
        <v>2.8256600000000003E-2</v>
      </c>
      <c r="E13" s="4"/>
      <c r="F13" s="5">
        <v>2.87E-2</v>
      </c>
    </row>
    <row r="14" spans="1:6">
      <c r="A14" s="114"/>
      <c r="C14" s="63"/>
      <c r="D14" s="7"/>
      <c r="F14" s="7"/>
    </row>
    <row r="15" spans="1:6">
      <c r="A15" s="114">
        <v>3</v>
      </c>
      <c r="C15" s="63" t="s">
        <v>208</v>
      </c>
      <c r="D15" s="43">
        <f>+D11*D13</f>
        <v>57009482.671279103</v>
      </c>
      <c r="F15" s="43">
        <f>+F11*F13</f>
        <v>60633705.514200002</v>
      </c>
    </row>
    <row r="16" spans="1:6">
      <c r="A16" s="114"/>
      <c r="C16" s="63"/>
      <c r="D16" s="7"/>
      <c r="F16" s="7"/>
    </row>
    <row r="17" spans="1:6">
      <c r="A17" s="114">
        <v>4</v>
      </c>
      <c r="C17" s="63" t="s">
        <v>209</v>
      </c>
      <c r="D17" s="43">
        <f>-D15*0.21</f>
        <v>-11971991.36096861</v>
      </c>
      <c r="F17" s="43">
        <f>-F15*0.21</f>
        <v>-12733078.157981999</v>
      </c>
    </row>
    <row r="18" spans="1:6">
      <c r="A18" s="114"/>
      <c r="C18" s="63"/>
      <c r="D18" s="7"/>
      <c r="F18" s="7"/>
    </row>
    <row r="19" spans="1:6">
      <c r="A19" s="114">
        <v>5</v>
      </c>
      <c r="C19" s="63" t="s">
        <v>210</v>
      </c>
      <c r="D19" s="17">
        <v>-12917116</v>
      </c>
      <c r="F19" s="17">
        <v>-12917116</v>
      </c>
    </row>
    <row r="20" spans="1:6">
      <c r="A20" s="114"/>
      <c r="C20" s="63"/>
      <c r="D20" s="7"/>
      <c r="F20" s="7"/>
    </row>
    <row r="21" spans="1:6">
      <c r="A21" s="114">
        <v>6</v>
      </c>
      <c r="C21" s="63" t="s">
        <v>211</v>
      </c>
      <c r="D21" s="46">
        <f>+D17-D19</f>
        <v>945124.63903138973</v>
      </c>
      <c r="F21" s="46">
        <f>+F17-F19</f>
        <v>184037.84201800078</v>
      </c>
    </row>
    <row r="22" spans="1:6">
      <c r="A22" s="114"/>
      <c r="C22" s="63"/>
      <c r="D22" s="7"/>
      <c r="F22" s="7"/>
    </row>
    <row r="23" spans="1:6" ht="16.5" thickBot="1">
      <c r="A23" s="114">
        <v>7</v>
      </c>
      <c r="C23" s="63" t="s">
        <v>212</v>
      </c>
      <c r="D23" s="18">
        <f>-D21</f>
        <v>-945124.63903138973</v>
      </c>
      <c r="F23" s="18">
        <f>-F21</f>
        <v>-184037.84201800078</v>
      </c>
    </row>
    <row r="24" spans="1:6" ht="16.5" thickTop="1">
      <c r="A24" s="114"/>
    </row>
  </sheetData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zoomScale="70" zoomScaleNormal="70" workbookViewId="0">
      <selection activeCell="I3" sqref="I3"/>
    </sheetView>
  </sheetViews>
  <sheetFormatPr defaultRowHeight="15.75"/>
  <cols>
    <col min="1" max="2" width="6.25" customWidth="1"/>
    <col min="3" max="3" width="15" customWidth="1"/>
    <col min="4" max="4" width="0" hidden="1" customWidth="1"/>
    <col min="5" max="5" width="14.375" customWidth="1"/>
    <col min="6" max="6" width="18.875" customWidth="1"/>
    <col min="7" max="7" width="12.75" customWidth="1"/>
    <col min="8" max="8" width="1.5" customWidth="1"/>
    <col min="9" max="9" width="2.25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237</v>
      </c>
    </row>
    <row r="3" spans="1:9">
      <c r="A3" s="85" t="s">
        <v>50</v>
      </c>
      <c r="I3" s="10" t="s">
        <v>289</v>
      </c>
    </row>
    <row r="4" spans="1:9">
      <c r="A4" t="s">
        <v>86</v>
      </c>
      <c r="I4" s="10" t="s">
        <v>242</v>
      </c>
    </row>
    <row r="5" spans="1:9">
      <c r="I5" s="10"/>
    </row>
    <row r="6" spans="1:9">
      <c r="I6" s="10"/>
    </row>
    <row r="8" spans="1:9">
      <c r="B8" s="132" t="s">
        <v>124</v>
      </c>
      <c r="C8" s="132"/>
      <c r="D8" s="132"/>
      <c r="E8" s="132"/>
      <c r="F8" s="132"/>
      <c r="G8" s="132"/>
    </row>
    <row r="9" spans="1:9">
      <c r="B9" s="132" t="s">
        <v>40</v>
      </c>
      <c r="C9" s="132"/>
      <c r="D9" s="132"/>
      <c r="E9" s="132"/>
      <c r="F9" s="132"/>
      <c r="G9" s="132"/>
    </row>
    <row r="10" spans="1:9">
      <c r="A10" s="58"/>
      <c r="B10" s="131"/>
      <c r="C10" s="131"/>
      <c r="D10" s="131"/>
      <c r="E10" s="131"/>
      <c r="F10" s="131"/>
      <c r="G10" s="131"/>
    </row>
    <row r="11" spans="1:9">
      <c r="A11" s="59"/>
      <c r="B11" s="87"/>
      <c r="C11" s="88"/>
      <c r="D11" s="88"/>
      <c r="E11" s="88"/>
      <c r="F11" s="88"/>
      <c r="G11" s="88"/>
    </row>
    <row r="12" spans="1:9">
      <c r="A12" s="59"/>
      <c r="B12" s="89"/>
      <c r="C12" s="91"/>
      <c r="D12" s="89"/>
      <c r="E12" s="88"/>
      <c r="F12" s="90"/>
      <c r="G12" s="88"/>
    </row>
    <row r="13" spans="1:9">
      <c r="A13" s="103" t="s">
        <v>1</v>
      </c>
      <c r="B13" s="89"/>
      <c r="C13" s="88" t="s">
        <v>41</v>
      </c>
      <c r="D13" s="88"/>
      <c r="E13" s="88" t="s">
        <v>41</v>
      </c>
      <c r="F13" s="88"/>
      <c r="G13" s="88" t="s">
        <v>42</v>
      </c>
    </row>
    <row r="14" spans="1:9">
      <c r="A14" s="104" t="s">
        <v>2</v>
      </c>
      <c r="B14" s="102"/>
      <c r="C14" s="84" t="s">
        <v>43</v>
      </c>
      <c r="D14" s="84"/>
      <c r="E14" s="84" t="s">
        <v>44</v>
      </c>
      <c r="F14" s="84" t="s">
        <v>45</v>
      </c>
      <c r="G14" s="84" t="s">
        <v>45</v>
      </c>
    </row>
    <row r="15" spans="1:9">
      <c r="A15" s="59"/>
      <c r="B15" s="89"/>
      <c r="C15" s="91"/>
      <c r="D15" s="89"/>
      <c r="E15" s="91"/>
      <c r="F15" s="92"/>
      <c r="G15" s="89"/>
    </row>
    <row r="16" spans="1:9">
      <c r="A16" s="59">
        <v>1</v>
      </c>
      <c r="B16" s="89"/>
      <c r="C16" s="110" t="s">
        <v>46</v>
      </c>
      <c r="D16" s="94"/>
      <c r="E16" s="95">
        <f>100%-E18</f>
        <v>0.51500000000000001</v>
      </c>
      <c r="F16" s="34">
        <v>5.57E-2</v>
      </c>
      <c r="G16" s="34">
        <f>ROUND(E16*F16,4)</f>
        <v>2.87E-2</v>
      </c>
    </row>
    <row r="17" spans="1:7">
      <c r="A17" s="59"/>
      <c r="B17" s="89"/>
      <c r="C17" s="110"/>
      <c r="D17" s="96"/>
      <c r="E17" s="95"/>
      <c r="F17" s="34"/>
      <c r="G17" s="34"/>
    </row>
    <row r="18" spans="1:7">
      <c r="A18" s="59">
        <v>2</v>
      </c>
      <c r="B18" s="89"/>
      <c r="C18" s="110" t="s">
        <v>47</v>
      </c>
      <c r="D18" s="96"/>
      <c r="E18" s="95">
        <v>0.48499999999999999</v>
      </c>
      <c r="F18" s="34">
        <v>9.8000000000000004E-2</v>
      </c>
      <c r="G18" s="34">
        <f>ROUND(E18*F18,4)</f>
        <v>4.7500000000000001E-2</v>
      </c>
    </row>
    <row r="19" spans="1:7">
      <c r="A19" s="59"/>
      <c r="B19" s="89"/>
      <c r="C19" s="110"/>
      <c r="D19" s="96"/>
      <c r="E19" s="97"/>
      <c r="F19" s="98"/>
      <c r="G19" s="34"/>
    </row>
    <row r="20" spans="1:7">
      <c r="A20" s="59">
        <v>3</v>
      </c>
      <c r="B20" s="89"/>
      <c r="C20" s="110" t="s">
        <v>48</v>
      </c>
      <c r="D20" s="94"/>
      <c r="E20" s="34">
        <f>SUM(E16:E18)</f>
        <v>1</v>
      </c>
      <c r="F20" s="99"/>
      <c r="G20" s="34">
        <f>SUM(G16:G18)</f>
        <v>7.6200000000000004E-2</v>
      </c>
    </row>
    <row r="21" spans="1:7">
      <c r="A21" s="59"/>
      <c r="B21" s="89"/>
      <c r="C21" s="110"/>
      <c r="D21" s="96"/>
      <c r="E21" s="100"/>
      <c r="F21" s="101"/>
      <c r="G21" s="100"/>
    </row>
    <row r="22" spans="1:7">
      <c r="A22" s="59"/>
      <c r="B22" s="89"/>
      <c r="C22" s="93"/>
      <c r="D22" s="96"/>
      <c r="E22" s="100"/>
      <c r="F22" s="101"/>
      <c r="G22" s="100"/>
    </row>
    <row r="23" spans="1:7">
      <c r="A23" s="59"/>
      <c r="B23" s="89"/>
      <c r="C23" s="93"/>
      <c r="D23" s="96"/>
      <c r="E23" s="100"/>
      <c r="F23" s="101"/>
      <c r="G23" s="100"/>
    </row>
    <row r="24" spans="1:7">
      <c r="A24" s="59"/>
    </row>
    <row r="25" spans="1:7">
      <c r="A25" s="105"/>
      <c r="B25" s="132" t="s">
        <v>49</v>
      </c>
      <c r="C25" s="132"/>
      <c r="D25" s="132"/>
      <c r="E25" s="132"/>
      <c r="F25" s="132"/>
      <c r="G25" s="132"/>
    </row>
    <row r="26" spans="1:7">
      <c r="A26" s="105"/>
      <c r="B26" s="132" t="s">
        <v>40</v>
      </c>
      <c r="C26" s="132"/>
      <c r="D26" s="132"/>
      <c r="E26" s="132"/>
      <c r="F26" s="132"/>
      <c r="G26" s="132"/>
    </row>
    <row r="27" spans="1:7">
      <c r="A27" s="105"/>
      <c r="B27" s="131"/>
      <c r="C27" s="131"/>
      <c r="D27" s="131"/>
      <c r="E27" s="131"/>
      <c r="F27" s="131"/>
      <c r="G27" s="131"/>
    </row>
    <row r="28" spans="1:7">
      <c r="A28" s="109"/>
      <c r="B28" s="87"/>
      <c r="C28" s="88"/>
      <c r="D28" s="88"/>
      <c r="E28" s="88"/>
      <c r="F28" s="88"/>
      <c r="G28" s="88"/>
    </row>
    <row r="29" spans="1:7">
      <c r="A29" s="105"/>
      <c r="B29" s="89"/>
      <c r="C29" s="89"/>
      <c r="D29" s="89"/>
      <c r="E29" s="88"/>
      <c r="F29" s="90"/>
      <c r="G29" s="88"/>
    </row>
    <row r="30" spans="1:7">
      <c r="A30" s="107" t="s">
        <v>1</v>
      </c>
      <c r="B30" s="91"/>
      <c r="C30" s="88" t="s">
        <v>41</v>
      </c>
      <c r="D30" s="88"/>
      <c r="E30" s="88" t="s">
        <v>41</v>
      </c>
      <c r="F30" s="88"/>
      <c r="G30" s="88" t="s">
        <v>42</v>
      </c>
    </row>
    <row r="31" spans="1:7">
      <c r="A31" s="108" t="s">
        <v>2</v>
      </c>
      <c r="B31" s="111"/>
      <c r="C31" s="84" t="s">
        <v>43</v>
      </c>
      <c r="D31" s="84"/>
      <c r="E31" s="84" t="s">
        <v>275</v>
      </c>
      <c r="F31" s="84" t="s">
        <v>45</v>
      </c>
      <c r="G31" s="84" t="s">
        <v>271</v>
      </c>
    </row>
    <row r="32" spans="1:7" ht="24.6" customHeight="1">
      <c r="A32" s="105"/>
    </row>
    <row r="33" spans="1:7">
      <c r="A33" s="105">
        <v>4</v>
      </c>
      <c r="C33" s="116" t="s">
        <v>269</v>
      </c>
      <c r="D33" s="116"/>
      <c r="E33" s="117">
        <v>2.3E-2</v>
      </c>
      <c r="F33" s="118">
        <v>2.3800000000000002E-2</v>
      </c>
      <c r="G33" s="118">
        <f>+E33*F33+0.0003</f>
        <v>8.4740000000000011E-4</v>
      </c>
    </row>
    <row r="34" spans="1:7">
      <c r="A34" s="105"/>
      <c r="C34" s="116"/>
      <c r="D34" s="116"/>
      <c r="E34" s="117"/>
      <c r="F34" s="118"/>
      <c r="G34" s="116"/>
    </row>
    <row r="35" spans="1:7">
      <c r="A35" s="105">
        <v>5</v>
      </c>
      <c r="C35" s="116" t="s">
        <v>270</v>
      </c>
      <c r="D35" s="116"/>
      <c r="E35" s="119">
        <v>0.49199999999999999</v>
      </c>
      <c r="F35" s="118">
        <v>5.5100000000000003E-2</v>
      </c>
      <c r="G35" s="120">
        <f>+E35*F35+0.0003</f>
        <v>2.7409200000000002E-2</v>
      </c>
    </row>
    <row r="36" spans="1:7">
      <c r="A36" s="105"/>
    </row>
    <row r="37" spans="1:7">
      <c r="A37" s="105">
        <v>6</v>
      </c>
      <c r="B37" s="91"/>
      <c r="C37" s="110" t="s">
        <v>46</v>
      </c>
      <c r="D37" s="112"/>
      <c r="E37" s="95">
        <f>+E33+E35</f>
        <v>0.51500000000000001</v>
      </c>
      <c r="F37" s="34"/>
      <c r="G37" s="34">
        <f>+G33+G35</f>
        <v>2.8256600000000003E-2</v>
      </c>
    </row>
    <row r="38" spans="1:7">
      <c r="A38" s="105"/>
      <c r="B38" s="91"/>
      <c r="C38" s="110"/>
      <c r="D38" s="113"/>
      <c r="E38" s="95"/>
      <c r="F38" s="34"/>
      <c r="G38" s="34"/>
    </row>
    <row r="39" spans="1:7">
      <c r="A39" s="105">
        <v>7</v>
      </c>
      <c r="B39" s="91"/>
      <c r="C39" s="110" t="s">
        <v>47</v>
      </c>
      <c r="D39" s="113"/>
      <c r="E39" s="121">
        <v>0.48499999999999999</v>
      </c>
      <c r="F39" s="34">
        <v>8.7499999999999994E-2</v>
      </c>
      <c r="G39" s="122">
        <f>+E39*F39</f>
        <v>4.2437499999999996E-2</v>
      </c>
    </row>
    <row r="40" spans="1:7">
      <c r="A40" s="105"/>
      <c r="B40" s="91"/>
      <c r="C40" s="110"/>
      <c r="D40" s="113"/>
      <c r="E40" s="97"/>
      <c r="F40" s="98"/>
      <c r="G40" s="34"/>
    </row>
    <row r="41" spans="1:7">
      <c r="A41" s="105">
        <v>8</v>
      </c>
      <c r="B41" s="91"/>
      <c r="C41" s="110" t="s">
        <v>48</v>
      </c>
      <c r="D41" s="112"/>
      <c r="E41" s="34">
        <f>SUM(E37:E39)</f>
        <v>1</v>
      </c>
      <c r="F41" s="98"/>
      <c r="G41" s="34">
        <f>SUM(G37:G39)</f>
        <v>7.0694099999999996E-2</v>
      </c>
    </row>
    <row r="42" spans="1:7">
      <c r="A42" s="105"/>
      <c r="B42" s="106"/>
      <c r="C42" s="106"/>
      <c r="D42" s="106"/>
      <c r="E42" s="106"/>
      <c r="F42" s="106"/>
      <c r="G42" s="106"/>
    </row>
    <row r="43" spans="1:7">
      <c r="A43" s="106" t="s">
        <v>272</v>
      </c>
      <c r="C43" s="106"/>
      <c r="D43" s="106"/>
      <c r="E43" s="106"/>
      <c r="F43" s="106"/>
      <c r="G43" s="106"/>
    </row>
    <row r="44" spans="1:7">
      <c r="A44" s="106" t="s">
        <v>273</v>
      </c>
      <c r="C44" s="106"/>
      <c r="D44" s="106"/>
      <c r="E44" s="106"/>
      <c r="F44" s="106"/>
      <c r="G44" s="106"/>
    </row>
    <row r="45" spans="1:7">
      <c r="A45" s="106" t="s">
        <v>274</v>
      </c>
      <c r="C45" s="106"/>
      <c r="D45" s="106"/>
      <c r="E45" s="106"/>
      <c r="F45" s="106"/>
      <c r="G45" s="106"/>
    </row>
  </sheetData>
  <mergeCells count="6">
    <mergeCell ref="B27:G27"/>
    <mergeCell ref="B8:G8"/>
    <mergeCell ref="B9:G9"/>
    <mergeCell ref="B10:G10"/>
    <mergeCell ref="B25:G25"/>
    <mergeCell ref="B26:G26"/>
  </mergeCells>
  <printOptions horizontalCentered="1"/>
  <pageMargins left="0.75" right="0.75" top="1" bottom="1" header="0.5" footer="0.5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135D47-3FBD-41C9-A9AB-C026479DAC3F}"/>
</file>

<file path=customXml/itemProps2.xml><?xml version="1.0" encoding="utf-8"?>
<ds:datastoreItem xmlns:ds="http://schemas.openxmlformats.org/officeDocument/2006/customXml" ds:itemID="{13A8C703-E064-4157-A7EF-68E9F22CBC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FC3E78-27A3-43B7-B30C-24F7913D3C42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sharepoint/v3"/>
    <ds:schemaRef ds:uri="http://schemas.openxmlformats.org/package/2006/metadata/core-properties"/>
    <ds:schemaRef ds:uri="dc463f71-b30c-4ab2-9473-d307f9d35888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A2DF7145-6D5B-428F-AC80-1B33A18CC3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RevReq</vt:lpstr>
      <vt:lpstr>Adj.Summary</vt:lpstr>
      <vt:lpstr>Wage Increase</vt:lpstr>
      <vt:lpstr>Incentives</vt:lpstr>
      <vt:lpstr>Plant Update</vt:lpstr>
      <vt:lpstr>Interim Protected EDIT</vt:lpstr>
      <vt:lpstr>AMI</vt:lpstr>
      <vt:lpstr>Tax Benefit of Interest</vt:lpstr>
      <vt:lpstr>Cost of Capital</vt:lpstr>
      <vt:lpstr>WP-1 AMA Update</vt:lpstr>
      <vt:lpstr>Adj.Summary!Print_Area</vt:lpstr>
      <vt:lpstr>AMI!Print_Area</vt:lpstr>
      <vt:lpstr>'Cost of Capital'!Print_Area</vt:lpstr>
      <vt:lpstr>Incentives!Print_Area</vt:lpstr>
      <vt:lpstr>'Interim Protected EDIT'!Print_Area</vt:lpstr>
      <vt:lpstr>'Plant Update'!Print_Area</vt:lpstr>
      <vt:lpstr>RevReq!Print_Area</vt:lpstr>
      <vt:lpstr>'Tax Benefit of Interest'!Print_Area</vt:lpstr>
      <vt:lpstr>'Wage Increase'!Print_Area</vt:lpstr>
      <vt:lpstr>'WP-1 AMA Update'!Print_Area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Burdet, Kevin (ATG)</cp:lastModifiedBy>
  <cp:lastPrinted>2019-11-21T23:32:04Z</cp:lastPrinted>
  <dcterms:created xsi:type="dcterms:W3CDTF">2015-07-06T17:53:07Z</dcterms:created>
  <dcterms:modified xsi:type="dcterms:W3CDTF">2019-11-21T23:33:09Z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