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rojects.nwnatural.com/sites/operations/RateCase/WA2021/Testimony and Exhibits/Cost_Service/Testimony Workpapers/"/>
    </mc:Choice>
  </mc:AlternateContent>
  <xr:revisionPtr revIDLastSave="0" documentId="13_ncr:1_{BF5CCC49-64C4-4B34-A7BC-52F46921CEF4}" xr6:coauthVersionLast="36" xr6:coauthVersionMax="36" xr10:uidLastSave="{00000000-0000-0000-0000-000000000000}"/>
  <bookViews>
    <workbookView xWindow="0" yWindow="0" windowWidth="51600" windowHeight="17025" activeTab="4" xr2:uid="{00000000-000D-0000-FFFF-FFFF00000000}"/>
  </bookViews>
  <sheets>
    <sheet name="Schedule 10-Proposed Rates" sheetId="3" r:id="rId1"/>
    <sheet name="Meter COS" sheetId="4" r:id="rId2"/>
    <sheet name="AAMR COS " sheetId="12" r:id="rId3"/>
    <sheet name="Meter Cost" sheetId="5" r:id="rId4"/>
    <sheet name="AAMR Cost" sheetId="6" r:id="rId5"/>
  </sheets>
  <definedNames>
    <definedName name="_xlnm.Print_Area" localSheetId="2">'AAMR COS '!$J$3:$O$18</definedName>
    <definedName name="_xlnm.Print_Area" localSheetId="1">'Meter COS'!$J$3:$O$18</definedName>
  </definedNames>
  <calcPr calcId="191029" iterate="1"/>
</workbook>
</file>

<file path=xl/calcChain.xml><?xml version="1.0" encoding="utf-8"?>
<calcChain xmlns="http://schemas.openxmlformats.org/spreadsheetml/2006/main">
  <c r="G21" i="4" l="1"/>
  <c r="L9" i="12"/>
  <c r="F21" i="4" l="1"/>
  <c r="G14" i="12" l="1"/>
  <c r="F7" i="12"/>
  <c r="F8" i="12"/>
  <c r="F9" i="12"/>
  <c r="E8" i="12"/>
  <c r="E9" i="12"/>
  <c r="E7" i="12"/>
  <c r="G8" i="4"/>
  <c r="G8" i="12" s="1"/>
  <c r="G9" i="4"/>
  <c r="G9" i="12" s="1"/>
  <c r="G7" i="4"/>
  <c r="G7" i="12" s="1"/>
  <c r="C16" i="5" l="1"/>
  <c r="L19" i="6" l="1"/>
  <c r="L20" i="6"/>
  <c r="L21" i="6"/>
  <c r="C5" i="6"/>
  <c r="L18" i="6"/>
  <c r="I16" i="6"/>
  <c r="H16" i="6"/>
  <c r="C7" i="6" s="1"/>
  <c r="I15" i="6"/>
  <c r="L15" i="6"/>
  <c r="L16" i="6"/>
  <c r="L17" i="6"/>
  <c r="L14" i="6"/>
  <c r="H28" i="3" l="1"/>
  <c r="L28" i="3" s="1"/>
  <c r="H29" i="3"/>
  <c r="L29" i="3" s="1"/>
  <c r="H30" i="3"/>
  <c r="L30" i="3" s="1"/>
  <c r="H31" i="3"/>
  <c r="L31" i="3" s="1"/>
  <c r="H32" i="3"/>
  <c r="L32" i="3" s="1"/>
  <c r="H33" i="3"/>
  <c r="L33" i="3" s="1"/>
  <c r="H34" i="3"/>
  <c r="L34" i="3" s="1"/>
  <c r="H27" i="3"/>
  <c r="L27" i="3" s="1"/>
  <c r="F21" i="3"/>
  <c r="J21" i="3" s="1"/>
  <c r="F22" i="3"/>
  <c r="J22" i="3" s="1"/>
  <c r="C11" i="6" l="1"/>
  <c r="L7" i="6" l="1"/>
  <c r="C8" i="6" s="1"/>
  <c r="C16" i="6" s="1"/>
  <c r="G15" i="12" l="1"/>
  <c r="U71" i="12" l="1"/>
  <c r="C71" i="4"/>
  <c r="K8" i="12" l="1"/>
  <c r="G21" i="12" s="1"/>
  <c r="F83" i="12"/>
  <c r="F84" i="12" s="1"/>
  <c r="T71" i="12"/>
  <c r="S71" i="12"/>
  <c r="R71" i="12"/>
  <c r="Q71" i="12"/>
  <c r="P71" i="12"/>
  <c r="O71" i="12"/>
  <c r="N71" i="12"/>
  <c r="M71" i="12"/>
  <c r="L71" i="12"/>
  <c r="K71" i="12"/>
  <c r="J71" i="12"/>
  <c r="I71" i="12"/>
  <c r="H71" i="12"/>
  <c r="G71" i="12"/>
  <c r="F71" i="12"/>
  <c r="F27" i="12"/>
  <c r="G27" i="12" s="1"/>
  <c r="H27" i="12" s="1"/>
  <c r="I27" i="12" s="1"/>
  <c r="J27" i="12" s="1"/>
  <c r="K27" i="12" s="1"/>
  <c r="L27" i="12" s="1"/>
  <c r="M27" i="12" s="1"/>
  <c r="N27" i="12" s="1"/>
  <c r="O27" i="12" s="1"/>
  <c r="P27" i="12" s="1"/>
  <c r="Q27" i="12" s="1"/>
  <c r="R27" i="12" s="1"/>
  <c r="S27" i="12" s="1"/>
  <c r="T27" i="12" s="1"/>
  <c r="U27" i="12" s="1"/>
  <c r="B27" i="12"/>
  <c r="B28" i="12" s="1"/>
  <c r="B31" i="12" s="1"/>
  <c r="B32" i="12" s="1"/>
  <c r="B33" i="12" s="1"/>
  <c r="B36" i="12" s="1"/>
  <c r="B37" i="12" s="1"/>
  <c r="B38" i="12" s="1"/>
  <c r="B39" i="12" s="1"/>
  <c r="B41" i="12" s="1"/>
  <c r="B42" i="12" s="1"/>
  <c r="B44" i="12" s="1"/>
  <c r="B51" i="12" s="1"/>
  <c r="E10" i="12"/>
  <c r="C17" i="5"/>
  <c r="C15" i="5"/>
  <c r="C14" i="5"/>
  <c r="C13" i="5"/>
  <c r="C12" i="5"/>
  <c r="C11" i="5"/>
  <c r="C10" i="5"/>
  <c r="U66" i="12" l="1"/>
  <c r="U26" i="12"/>
  <c r="U65" i="12" s="1"/>
  <c r="G10" i="12"/>
  <c r="I66" i="12"/>
  <c r="I26" i="12"/>
  <c r="F26" i="12"/>
  <c r="J26" i="12"/>
  <c r="N26" i="12"/>
  <c r="R26" i="12"/>
  <c r="M26" i="12"/>
  <c r="G26" i="12"/>
  <c r="K26" i="12"/>
  <c r="O26" i="12"/>
  <c r="S26" i="12"/>
  <c r="R66" i="12"/>
  <c r="N66" i="12"/>
  <c r="J66" i="12"/>
  <c r="F66" i="12"/>
  <c r="S66" i="12"/>
  <c r="M66" i="12"/>
  <c r="H66" i="12"/>
  <c r="Q66" i="12"/>
  <c r="L66" i="12"/>
  <c r="G66" i="12"/>
  <c r="P66" i="12"/>
  <c r="K66" i="12"/>
  <c r="Q26" i="12"/>
  <c r="T66" i="12"/>
  <c r="H26" i="12"/>
  <c r="L26" i="12"/>
  <c r="P26" i="12"/>
  <c r="T26" i="12"/>
  <c r="O66" i="12"/>
  <c r="C7" i="5"/>
  <c r="U67" i="12" l="1"/>
  <c r="U68" i="12" s="1"/>
  <c r="V26" i="12"/>
  <c r="J65" i="12"/>
  <c r="J67" i="12" s="1"/>
  <c r="J68" i="12" s="1"/>
  <c r="T65" i="12"/>
  <c r="T67" i="12" s="1"/>
  <c r="T68" i="12" s="1"/>
  <c r="S65" i="12"/>
  <c r="S67" i="12" s="1"/>
  <c r="S68" i="12" s="1"/>
  <c r="F65" i="12"/>
  <c r="F67" i="12" s="1"/>
  <c r="F68" i="12" s="1"/>
  <c r="H65" i="12"/>
  <c r="H67" i="12" s="1"/>
  <c r="H68" i="12" s="1"/>
  <c r="G65" i="12"/>
  <c r="G67" i="12" s="1"/>
  <c r="G68" i="12" s="1"/>
  <c r="P65" i="12"/>
  <c r="P67" i="12" s="1"/>
  <c r="P68" i="12" s="1"/>
  <c r="O65" i="12"/>
  <c r="O67" i="12" s="1"/>
  <c r="O68" i="12" s="1"/>
  <c r="M65" i="12"/>
  <c r="M67" i="12" s="1"/>
  <c r="M68" i="12" s="1"/>
  <c r="R65" i="12"/>
  <c r="R67" i="12" s="1"/>
  <c r="R68" i="12" s="1"/>
  <c r="I65" i="12"/>
  <c r="I67" i="12" s="1"/>
  <c r="I68" i="12" s="1"/>
  <c r="L65" i="12"/>
  <c r="L67" i="12" s="1"/>
  <c r="L68" i="12" s="1"/>
  <c r="Q65" i="12"/>
  <c r="Q67" i="12" s="1"/>
  <c r="Q68" i="12" s="1"/>
  <c r="K65" i="12"/>
  <c r="K67" i="12" s="1"/>
  <c r="K68" i="12" s="1"/>
  <c r="N65" i="12"/>
  <c r="N67" i="12" s="1"/>
  <c r="N68" i="12" s="1"/>
  <c r="V68" i="12" l="1"/>
  <c r="F55" i="12"/>
  <c r="F71" i="4"/>
  <c r="G71" i="4"/>
  <c r="H71" i="4"/>
  <c r="I71" i="4"/>
  <c r="J71" i="4"/>
  <c r="K71" i="4"/>
  <c r="L71" i="4"/>
  <c r="M71" i="4"/>
  <c r="N71" i="4"/>
  <c r="O71" i="4"/>
  <c r="P71" i="4"/>
  <c r="Q71" i="4"/>
  <c r="R71" i="4"/>
  <c r="S71" i="4"/>
  <c r="T71" i="4"/>
  <c r="U71" i="4"/>
  <c r="V71" i="4"/>
  <c r="W71" i="4"/>
  <c r="X71" i="4"/>
  <c r="Y71" i="4"/>
  <c r="Z71" i="4"/>
  <c r="F83" i="4"/>
  <c r="F74" i="12" l="1"/>
  <c r="F38" i="12"/>
  <c r="F36" i="12"/>
  <c r="G55" i="12"/>
  <c r="F37" i="12"/>
  <c r="G15" i="4"/>
  <c r="F39" i="12" l="1"/>
  <c r="G37" i="12"/>
  <c r="H55" i="12"/>
  <c r="G36" i="12"/>
  <c r="G38" i="12"/>
  <c r="F58" i="12"/>
  <c r="G74" i="12"/>
  <c r="F28" i="12"/>
  <c r="K16" i="4"/>
  <c r="K15" i="4"/>
  <c r="K14" i="4"/>
  <c r="K13" i="4"/>
  <c r="K12" i="4"/>
  <c r="K11" i="4"/>
  <c r="K10" i="4"/>
  <c r="K9" i="4"/>
  <c r="C9" i="5"/>
  <c r="K8" i="4" s="1"/>
  <c r="C8" i="5"/>
  <c r="K7" i="4" s="1"/>
  <c r="K6" i="4"/>
  <c r="E41" i="4" l="1"/>
  <c r="G58" i="12"/>
  <c r="G59" i="12" s="1"/>
  <c r="G31" i="12" s="1"/>
  <c r="G39" i="12"/>
  <c r="H74" i="12"/>
  <c r="G28" i="12"/>
  <c r="F59" i="12"/>
  <c r="F31" i="12" s="1"/>
  <c r="I55" i="12"/>
  <c r="H37" i="12"/>
  <c r="H36" i="12"/>
  <c r="H38" i="12"/>
  <c r="C9" i="6"/>
  <c r="C15" i="6" s="1"/>
  <c r="J41" i="3" s="1"/>
  <c r="J55" i="12" l="1"/>
  <c r="I38" i="12"/>
  <c r="I37" i="12"/>
  <c r="I36" i="12"/>
  <c r="F60" i="12"/>
  <c r="F61" i="12" s="1"/>
  <c r="F32" i="12" s="1"/>
  <c r="F33" i="12" s="1"/>
  <c r="F41" i="12" s="1"/>
  <c r="H58" i="12"/>
  <c r="G60" i="12"/>
  <c r="G61" i="12" s="1"/>
  <c r="H39" i="12"/>
  <c r="I74" i="12"/>
  <c r="H28" i="12"/>
  <c r="F62" i="12" l="1"/>
  <c r="F76" i="12" s="1"/>
  <c r="I58" i="12"/>
  <c r="I59" i="12" s="1"/>
  <c r="I31" i="12" s="1"/>
  <c r="F42" i="12"/>
  <c r="F44" i="12" s="1"/>
  <c r="G32" i="12"/>
  <c r="G33" i="12" s="1"/>
  <c r="G41" i="12" s="1"/>
  <c r="G62" i="12"/>
  <c r="G76" i="12" s="1"/>
  <c r="K55" i="12"/>
  <c r="J38" i="12"/>
  <c r="J36" i="12"/>
  <c r="J37" i="12"/>
  <c r="J74" i="12"/>
  <c r="I28" i="12"/>
  <c r="I39" i="12"/>
  <c r="H59" i="12"/>
  <c r="H31" i="12" s="1"/>
  <c r="J58" i="12" l="1"/>
  <c r="J59" i="12" s="1"/>
  <c r="J31" i="12" s="1"/>
  <c r="J39" i="12"/>
  <c r="F51" i="12"/>
  <c r="K37" i="12"/>
  <c r="L55" i="12"/>
  <c r="K38" i="12"/>
  <c r="K36" i="12"/>
  <c r="G42" i="12"/>
  <c r="G44" i="12" s="1"/>
  <c r="K74" i="12"/>
  <c r="J28" i="12"/>
  <c r="H60" i="12"/>
  <c r="H61" i="12" s="1"/>
  <c r="I60" i="12"/>
  <c r="I61" i="12" s="1"/>
  <c r="K39" i="12" l="1"/>
  <c r="K58" i="12"/>
  <c r="G51" i="12"/>
  <c r="K28" i="12"/>
  <c r="L74" i="12"/>
  <c r="I32" i="12"/>
  <c r="I33" i="12" s="1"/>
  <c r="I41" i="12" s="1"/>
  <c r="I62" i="12"/>
  <c r="I76" i="12" s="1"/>
  <c r="M55" i="12"/>
  <c r="L37" i="12"/>
  <c r="L36" i="12"/>
  <c r="L38" i="12"/>
  <c r="J60" i="12"/>
  <c r="J61" i="12" s="1"/>
  <c r="J32" i="12" s="1"/>
  <c r="J33" i="12" s="1"/>
  <c r="J41" i="12" s="1"/>
  <c r="H32" i="12"/>
  <c r="H33" i="12" s="1"/>
  <c r="H41" i="12" s="1"/>
  <c r="H62" i="12"/>
  <c r="H76" i="12" s="1"/>
  <c r="J62" i="12" l="1"/>
  <c r="J76" i="12" s="1"/>
  <c r="K59" i="12"/>
  <c r="K31" i="12" s="1"/>
  <c r="J42" i="12"/>
  <c r="J44" i="12" s="1"/>
  <c r="J51" i="12" s="1"/>
  <c r="M74" i="12"/>
  <c r="L28" i="12"/>
  <c r="L58" i="12"/>
  <c r="M38" i="12"/>
  <c r="M36" i="12"/>
  <c r="N55" i="12"/>
  <c r="M37" i="12"/>
  <c r="H42" i="12"/>
  <c r="H44" i="12" s="1"/>
  <c r="L39" i="12"/>
  <c r="I42" i="12"/>
  <c r="I44" i="12" s="1"/>
  <c r="I51" i="12" s="1"/>
  <c r="K60" i="12" l="1"/>
  <c r="K61" i="12" s="1"/>
  <c r="K32" i="12" s="1"/>
  <c r="K33" i="12" s="1"/>
  <c r="K41" i="12" s="1"/>
  <c r="K42" i="12" s="1"/>
  <c r="K44" i="12" s="1"/>
  <c r="M58" i="12"/>
  <c r="H51" i="12"/>
  <c r="N74" i="12"/>
  <c r="M28" i="12"/>
  <c r="N38" i="12"/>
  <c r="N36" i="12"/>
  <c r="O55" i="12"/>
  <c r="N37" i="12"/>
  <c r="L59" i="12"/>
  <c r="L31" i="12" s="1"/>
  <c r="M39" i="12"/>
  <c r="F84" i="4"/>
  <c r="F27" i="4"/>
  <c r="G27" i="4" s="1"/>
  <c r="H27" i="4" s="1"/>
  <c r="I27" i="4" s="1"/>
  <c r="J27" i="4" s="1"/>
  <c r="K27" i="4" s="1"/>
  <c r="L27" i="4" s="1"/>
  <c r="M27" i="4" s="1"/>
  <c r="N27" i="4" s="1"/>
  <c r="O27" i="4" s="1"/>
  <c r="P27" i="4" s="1"/>
  <c r="Q27" i="4" s="1"/>
  <c r="R27" i="4" s="1"/>
  <c r="S27" i="4" s="1"/>
  <c r="T27" i="4" s="1"/>
  <c r="U27" i="4" s="1"/>
  <c r="V27" i="4" s="1"/>
  <c r="W27" i="4" s="1"/>
  <c r="X27" i="4" s="1"/>
  <c r="Y27" i="4" s="1"/>
  <c r="Z27" i="4" s="1"/>
  <c r="B27" i="4"/>
  <c r="B28" i="4" s="1"/>
  <c r="B31" i="4" s="1"/>
  <c r="B32" i="4" s="1"/>
  <c r="B33" i="4" s="1"/>
  <c r="B36" i="4" s="1"/>
  <c r="B37" i="4" s="1"/>
  <c r="B38" i="4" s="1"/>
  <c r="B39" i="4" s="1"/>
  <c r="B41" i="4" s="1"/>
  <c r="B42" i="4" s="1"/>
  <c r="B44" i="4" s="1"/>
  <c r="B51" i="4" s="1"/>
  <c r="E10" i="4"/>
  <c r="K62" i="12" l="1"/>
  <c r="K76" i="12" s="1"/>
  <c r="M59" i="12"/>
  <c r="M31" i="12" s="1"/>
  <c r="N58" i="12"/>
  <c r="N59" i="12" s="1"/>
  <c r="N31" i="12" s="1"/>
  <c r="K51" i="12"/>
  <c r="P55" i="12"/>
  <c r="O37" i="12"/>
  <c r="O36" i="12"/>
  <c r="O38" i="12"/>
  <c r="O74" i="12"/>
  <c r="N28" i="12"/>
  <c r="L60" i="12"/>
  <c r="L61" i="12" s="1"/>
  <c r="N39" i="12"/>
  <c r="J26" i="4"/>
  <c r="O26" i="4"/>
  <c r="T26" i="4"/>
  <c r="Z26" i="4"/>
  <c r="F26" i="4"/>
  <c r="K26" i="4"/>
  <c r="P26" i="4"/>
  <c r="V26" i="4"/>
  <c r="G26" i="4"/>
  <c r="L26" i="4"/>
  <c r="R26" i="4"/>
  <c r="W26" i="4"/>
  <c r="X66" i="4"/>
  <c r="H26" i="4"/>
  <c r="N26" i="4"/>
  <c r="S26" i="4"/>
  <c r="X26" i="4"/>
  <c r="G10" i="4"/>
  <c r="W66" i="4"/>
  <c r="S66" i="4"/>
  <c r="O66" i="4"/>
  <c r="K66" i="4"/>
  <c r="G66" i="4"/>
  <c r="V66" i="4"/>
  <c r="Q66" i="4"/>
  <c r="L66" i="4"/>
  <c r="F66" i="4"/>
  <c r="Z66" i="4"/>
  <c r="T66" i="4"/>
  <c r="M66" i="4"/>
  <c r="Y66" i="4"/>
  <c r="R66" i="4"/>
  <c r="J66" i="4"/>
  <c r="U66" i="4"/>
  <c r="H66" i="4"/>
  <c r="N66" i="4"/>
  <c r="I26" i="4"/>
  <c r="M26" i="4"/>
  <c r="Q26" i="4"/>
  <c r="U26" i="4"/>
  <c r="Y26" i="4"/>
  <c r="I66" i="4"/>
  <c r="P66" i="4"/>
  <c r="S65" i="4" l="1"/>
  <c r="S67" i="4" s="1"/>
  <c r="S68" i="4" s="1"/>
  <c r="W65" i="4"/>
  <c r="W67" i="4" s="1"/>
  <c r="W68" i="4" s="1"/>
  <c r="V65" i="4"/>
  <c r="V67" i="4" s="1"/>
  <c r="V68" i="4" s="1"/>
  <c r="Z65" i="4"/>
  <c r="Z67" i="4" s="1"/>
  <c r="Z68" i="4" s="1"/>
  <c r="N65" i="4"/>
  <c r="N67" i="4" s="1"/>
  <c r="N68" i="4" s="1"/>
  <c r="R65" i="4"/>
  <c r="R67" i="4" s="1"/>
  <c r="R68" i="4" s="1"/>
  <c r="P65" i="4"/>
  <c r="P67" i="4" s="1"/>
  <c r="P68" i="4" s="1"/>
  <c r="T65" i="4"/>
  <c r="T67" i="4" s="1"/>
  <c r="T68" i="4" s="1"/>
  <c r="H65" i="4"/>
  <c r="H67" i="4" s="1"/>
  <c r="H68" i="4" s="1"/>
  <c r="L65" i="4"/>
  <c r="L67" i="4" s="1"/>
  <c r="L68" i="4" s="1"/>
  <c r="K65" i="4"/>
  <c r="K67" i="4" s="1"/>
  <c r="K68" i="4" s="1"/>
  <c r="O65" i="4"/>
  <c r="O67" i="4" s="1"/>
  <c r="O68" i="4" s="1"/>
  <c r="X65" i="4"/>
  <c r="X67" i="4" s="1"/>
  <c r="X68" i="4" s="1"/>
  <c r="G65" i="4"/>
  <c r="G67" i="4" s="1"/>
  <c r="G68" i="4" s="1"/>
  <c r="J65" i="4"/>
  <c r="J67" i="4" s="1"/>
  <c r="J68" i="4" s="1"/>
  <c r="O39" i="12"/>
  <c r="M60" i="12"/>
  <c r="M61" i="12" s="1"/>
  <c r="M32" i="12" s="1"/>
  <c r="M33" i="12" s="1"/>
  <c r="M41" i="12" s="1"/>
  <c r="L32" i="12"/>
  <c r="L33" i="12" s="1"/>
  <c r="L41" i="12" s="1"/>
  <c r="L62" i="12"/>
  <c r="L76" i="12" s="1"/>
  <c r="N60" i="12"/>
  <c r="N61" i="12" s="1"/>
  <c r="N32" i="12" s="1"/>
  <c r="N33" i="12" s="1"/>
  <c r="N41" i="12" s="1"/>
  <c r="P74" i="12"/>
  <c r="O28" i="12"/>
  <c r="Q55" i="12"/>
  <c r="P37" i="12"/>
  <c r="P36" i="12"/>
  <c r="P38" i="12"/>
  <c r="O58" i="12"/>
  <c r="F65" i="4"/>
  <c r="F67" i="4" s="1"/>
  <c r="F68" i="4" s="1"/>
  <c r="AA26" i="4"/>
  <c r="U65" i="4"/>
  <c r="U67" i="4" s="1"/>
  <c r="U68" i="4" s="1"/>
  <c r="Q65" i="4"/>
  <c r="Q67" i="4" s="1"/>
  <c r="Q68" i="4" s="1"/>
  <c r="M65" i="4"/>
  <c r="M67" i="4" s="1"/>
  <c r="M68" i="4" s="1"/>
  <c r="Y65" i="4"/>
  <c r="Y67" i="4" s="1"/>
  <c r="Y68" i="4" s="1"/>
  <c r="I65" i="4"/>
  <c r="I67" i="4" s="1"/>
  <c r="I68" i="4" s="1"/>
  <c r="N62" i="12" l="1"/>
  <c r="N76" i="12" s="1"/>
  <c r="M42" i="12"/>
  <c r="M44" i="12" s="1"/>
  <c r="M51" i="12" s="1"/>
  <c r="M62" i="12"/>
  <c r="M76" i="12" s="1"/>
  <c r="N42" i="12"/>
  <c r="N44" i="12" s="1"/>
  <c r="N51" i="12" s="1"/>
  <c r="P58" i="12"/>
  <c r="O59" i="12"/>
  <c r="O31" i="12" s="1"/>
  <c r="Q38" i="12"/>
  <c r="Q36" i="12"/>
  <c r="Q37" i="12"/>
  <c r="R55" i="12"/>
  <c r="P39" i="12"/>
  <c r="Q74" i="12"/>
  <c r="P28" i="12"/>
  <c r="L42" i="12"/>
  <c r="L44" i="12" s="1"/>
  <c r="L51" i="12" s="1"/>
  <c r="F55" i="4"/>
  <c r="F37" i="4" s="1"/>
  <c r="AA68" i="4"/>
  <c r="O60" i="12" l="1"/>
  <c r="O61" i="12" s="1"/>
  <c r="O32" i="12" s="1"/>
  <c r="O33" i="12" s="1"/>
  <c r="O41" i="12" s="1"/>
  <c r="R38" i="12"/>
  <c r="R36" i="12"/>
  <c r="S55" i="12"/>
  <c r="R37" i="12"/>
  <c r="R74" i="12"/>
  <c r="Q28" i="12"/>
  <c r="Q39" i="12"/>
  <c r="P59" i="12"/>
  <c r="P31" i="12" s="1"/>
  <c r="Q58" i="12"/>
  <c r="F38" i="4"/>
  <c r="F58" i="4" s="1"/>
  <c r="F59" i="4" s="1"/>
  <c r="F31" i="4" s="1"/>
  <c r="F74" i="4"/>
  <c r="G55" i="4"/>
  <c r="G36" i="4" s="1"/>
  <c r="F36" i="4"/>
  <c r="O62" i="12" l="1"/>
  <c r="O76" i="12" s="1"/>
  <c r="Q59" i="12"/>
  <c r="Q31" i="12" s="1"/>
  <c r="T55" i="12"/>
  <c r="U55" i="12" s="1"/>
  <c r="S37" i="12"/>
  <c r="S38" i="12"/>
  <c r="S36" i="12"/>
  <c r="S74" i="12"/>
  <c r="R28" i="12"/>
  <c r="R39" i="12"/>
  <c r="P60" i="12"/>
  <c r="P61" i="12" s="1"/>
  <c r="P32" i="12" s="1"/>
  <c r="P33" i="12" s="1"/>
  <c r="P41" i="12" s="1"/>
  <c r="O42" i="12"/>
  <c r="O44" i="12" s="1"/>
  <c r="O51" i="12" s="1"/>
  <c r="R58" i="12"/>
  <c r="G37" i="4"/>
  <c r="G38" i="4"/>
  <c r="F39" i="4"/>
  <c r="H55" i="4"/>
  <c r="G74" i="4"/>
  <c r="F28" i="4"/>
  <c r="F60" i="4"/>
  <c r="F61" i="4" s="1"/>
  <c r="F32" i="4" s="1"/>
  <c r="F33" i="4" s="1"/>
  <c r="U38" i="12" l="1"/>
  <c r="U36" i="12"/>
  <c r="U37" i="12"/>
  <c r="S58" i="12"/>
  <c r="S59" i="12" s="1"/>
  <c r="S31" i="12" s="1"/>
  <c r="P62" i="12"/>
  <c r="P76" i="12" s="1"/>
  <c r="S39" i="12"/>
  <c r="P42" i="12"/>
  <c r="P44" i="12" s="1"/>
  <c r="P51" i="12" s="1"/>
  <c r="R59" i="12"/>
  <c r="R31" i="12" s="1"/>
  <c r="T74" i="12"/>
  <c r="U74" i="12" s="1"/>
  <c r="U28" i="12" s="1"/>
  <c r="S28" i="12"/>
  <c r="Q60" i="12"/>
  <c r="Q61" i="12" s="1"/>
  <c r="T37" i="12"/>
  <c r="T38" i="12"/>
  <c r="T36" i="12"/>
  <c r="G58" i="4"/>
  <c r="G59" i="4" s="1"/>
  <c r="G31" i="4" s="1"/>
  <c r="G39" i="4"/>
  <c r="H36" i="4"/>
  <c r="H37" i="4"/>
  <c r="H38" i="4"/>
  <c r="I55" i="4"/>
  <c r="I38" i="4" s="1"/>
  <c r="H74" i="4"/>
  <c r="G28" i="4"/>
  <c r="F41" i="4"/>
  <c r="F62" i="4"/>
  <c r="F76" i="4" s="1"/>
  <c r="F42" i="4" l="1"/>
  <c r="U39" i="12"/>
  <c r="U58" i="12"/>
  <c r="S60" i="12"/>
  <c r="S61" i="12" s="1"/>
  <c r="S32" i="12" s="1"/>
  <c r="S33" i="12" s="1"/>
  <c r="S41" i="12" s="1"/>
  <c r="R60" i="12"/>
  <c r="R61" i="12" s="1"/>
  <c r="R32" i="12" s="1"/>
  <c r="R33" i="12" s="1"/>
  <c r="R41" i="12" s="1"/>
  <c r="T39" i="12"/>
  <c r="T28" i="12"/>
  <c r="T58" i="12"/>
  <c r="Q32" i="12"/>
  <c r="Q33" i="12" s="1"/>
  <c r="Q41" i="12" s="1"/>
  <c r="Q62" i="12"/>
  <c r="Q76" i="12" s="1"/>
  <c r="G60" i="4"/>
  <c r="G61" i="4" s="1"/>
  <c r="G32" i="4" s="1"/>
  <c r="G33" i="4" s="1"/>
  <c r="G41" i="4" s="1"/>
  <c r="G42" i="4" s="1"/>
  <c r="G44" i="4" s="1"/>
  <c r="H39" i="4"/>
  <c r="J55" i="4"/>
  <c r="I37" i="4"/>
  <c r="I58" i="4" s="1"/>
  <c r="I59" i="4" s="1"/>
  <c r="I31" i="4" s="1"/>
  <c r="I36" i="4"/>
  <c r="H58" i="4"/>
  <c r="H59" i="4" s="1"/>
  <c r="H31" i="4" s="1"/>
  <c r="I74" i="4"/>
  <c r="H28" i="4"/>
  <c r="G46" i="4" l="1"/>
  <c r="F44" i="4"/>
  <c r="F51" i="4" s="1"/>
  <c r="F46" i="4"/>
  <c r="U59" i="12"/>
  <c r="U31" i="12" s="1"/>
  <c r="S62" i="12"/>
  <c r="S76" i="12" s="1"/>
  <c r="R62" i="12"/>
  <c r="R76" i="12" s="1"/>
  <c r="T59" i="12"/>
  <c r="T31" i="12" s="1"/>
  <c r="R42" i="12"/>
  <c r="R44" i="12" s="1"/>
  <c r="R51" i="12" s="1"/>
  <c r="S42" i="12"/>
  <c r="S44" i="12" s="1"/>
  <c r="S51" i="12" s="1"/>
  <c r="Q42" i="12"/>
  <c r="Q44" i="12" s="1"/>
  <c r="Q51" i="12" s="1"/>
  <c r="G62" i="4"/>
  <c r="G76" i="4" s="1"/>
  <c r="I39" i="4"/>
  <c r="H60" i="4"/>
  <c r="H61" i="4" s="1"/>
  <c r="H32" i="4" s="1"/>
  <c r="H33" i="4" s="1"/>
  <c r="H41" i="4" s="1"/>
  <c r="J36" i="4"/>
  <c r="K55" i="4"/>
  <c r="J37" i="4"/>
  <c r="J38" i="4"/>
  <c r="J74" i="4"/>
  <c r="I28" i="4"/>
  <c r="I60" i="4"/>
  <c r="I61" i="4" s="1"/>
  <c r="I32" i="4" s="1"/>
  <c r="I33" i="4" s="1"/>
  <c r="G51" i="4"/>
  <c r="H42" i="4" l="1"/>
  <c r="U60" i="12"/>
  <c r="U61" i="12" s="1"/>
  <c r="U32" i="12" s="1"/>
  <c r="U33" i="12" s="1"/>
  <c r="U41" i="12" s="1"/>
  <c r="U42" i="12" s="1"/>
  <c r="U44" i="12" s="1"/>
  <c r="U51" i="12" s="1"/>
  <c r="T60" i="12"/>
  <c r="T61" i="12" s="1"/>
  <c r="T32" i="12" s="1"/>
  <c r="T33" i="12" s="1"/>
  <c r="T41" i="12" s="1"/>
  <c r="J58" i="4"/>
  <c r="J59" i="4" s="1"/>
  <c r="J31" i="4" s="1"/>
  <c r="J39" i="4"/>
  <c r="I41" i="4"/>
  <c r="I42" i="4" s="1"/>
  <c r="I44" i="4" s="1"/>
  <c r="H62" i="4"/>
  <c r="H76" i="4" s="1"/>
  <c r="K37" i="4"/>
  <c r="K36" i="4"/>
  <c r="L55" i="4"/>
  <c r="K38" i="4"/>
  <c r="K74" i="4"/>
  <c r="J28" i="4"/>
  <c r="I62" i="4"/>
  <c r="I76" i="4" s="1"/>
  <c r="I46" i="4" l="1"/>
  <c r="H44" i="4"/>
  <c r="H51" i="4" s="1"/>
  <c r="H46" i="4"/>
  <c r="U62" i="12"/>
  <c r="U76" i="12" s="1"/>
  <c r="T62" i="12"/>
  <c r="T76" i="12" s="1"/>
  <c r="T42" i="12"/>
  <c r="T44" i="12" s="1"/>
  <c r="J60" i="4"/>
  <c r="J61" i="4" s="1"/>
  <c r="J32" i="4" s="1"/>
  <c r="J33" i="4" s="1"/>
  <c r="J41" i="4" s="1"/>
  <c r="J42" i="4" s="1"/>
  <c r="J44" i="4" s="1"/>
  <c r="J51" i="4" s="1"/>
  <c r="K39" i="4"/>
  <c r="L37" i="4"/>
  <c r="L38" i="4"/>
  <c r="M55" i="4"/>
  <c r="L36" i="4"/>
  <c r="K58" i="4"/>
  <c r="L74" i="4"/>
  <c r="K28" i="4"/>
  <c r="I51" i="4"/>
  <c r="J46" i="4" l="1"/>
  <c r="T51" i="12"/>
  <c r="E45" i="12"/>
  <c r="E46" i="12" s="1"/>
  <c r="J62" i="4"/>
  <c r="J76" i="4" s="1"/>
  <c r="L58" i="4"/>
  <c r="L59" i="4" s="1"/>
  <c r="L31" i="4" s="1"/>
  <c r="N55" i="4"/>
  <c r="M38" i="4"/>
  <c r="M36" i="4"/>
  <c r="M37" i="4"/>
  <c r="K59" i="4"/>
  <c r="K31" i="4" s="1"/>
  <c r="L39" i="4"/>
  <c r="L28" i="4"/>
  <c r="M74" i="4"/>
  <c r="L60" i="4" l="1"/>
  <c r="L61" i="4" s="1"/>
  <c r="L32" i="4" s="1"/>
  <c r="L33" i="4" s="1"/>
  <c r="L41" i="4" s="1"/>
  <c r="L42" i="4" s="1"/>
  <c r="L44" i="4" s="1"/>
  <c r="L51" i="4" s="1"/>
  <c r="K60" i="4"/>
  <c r="K61" i="4" s="1"/>
  <c r="K32" i="4" s="1"/>
  <c r="K33" i="4" s="1"/>
  <c r="K41" i="4" s="1"/>
  <c r="M58" i="4"/>
  <c r="M59" i="4" s="1"/>
  <c r="M31" i="4" s="1"/>
  <c r="O55" i="4"/>
  <c r="N37" i="4"/>
  <c r="N38" i="4"/>
  <c r="N36" i="4"/>
  <c r="M39" i="4"/>
  <c r="N74" i="4"/>
  <c r="M28" i="4"/>
  <c r="L46" i="4" l="1"/>
  <c r="K42" i="4"/>
  <c r="L62" i="4"/>
  <c r="L76" i="4" s="1"/>
  <c r="M60" i="4"/>
  <c r="M61" i="4" s="1"/>
  <c r="M32" i="4" s="1"/>
  <c r="M33" i="4" s="1"/>
  <c r="M41" i="4" s="1"/>
  <c r="M42" i="4" s="1"/>
  <c r="M44" i="4" s="1"/>
  <c r="M51" i="4" s="1"/>
  <c r="K62" i="4"/>
  <c r="K76" i="4" s="1"/>
  <c r="N39" i="4"/>
  <c r="N58" i="4"/>
  <c r="P55" i="4"/>
  <c r="O36" i="4"/>
  <c r="O37" i="4"/>
  <c r="O38" i="4"/>
  <c r="O74" i="4"/>
  <c r="N28" i="4"/>
  <c r="K44" i="4" l="1"/>
  <c r="K51" i="4" s="1"/>
  <c r="K46" i="4"/>
  <c r="M46" i="4"/>
  <c r="M62" i="4"/>
  <c r="M76" i="4" s="1"/>
  <c r="O39" i="4"/>
  <c r="P37" i="4"/>
  <c r="P36" i="4"/>
  <c r="Q55" i="4"/>
  <c r="P38" i="4"/>
  <c r="O58" i="4"/>
  <c r="N59" i="4"/>
  <c r="N60" i="4" s="1"/>
  <c r="N61" i="4" s="1"/>
  <c r="N32" i="4" s="1"/>
  <c r="P74" i="4"/>
  <c r="O28" i="4"/>
  <c r="O59" i="4" l="1"/>
  <c r="O31" i="4" s="1"/>
  <c r="P58" i="4"/>
  <c r="Q37" i="4"/>
  <c r="R55" i="4"/>
  <c r="Q38" i="4"/>
  <c r="Q36" i="4"/>
  <c r="N31" i="4"/>
  <c r="N33" i="4" s="1"/>
  <c r="N41" i="4" s="1"/>
  <c r="N42" i="4" s="1"/>
  <c r="N62" i="4"/>
  <c r="N76" i="4" s="1"/>
  <c r="P39" i="4"/>
  <c r="Q74" i="4"/>
  <c r="P28" i="4"/>
  <c r="N44" i="4" l="1"/>
  <c r="N51" i="4" s="1"/>
  <c r="N46" i="4"/>
  <c r="E47" i="12"/>
  <c r="O60" i="4"/>
  <c r="O61" i="4" s="1"/>
  <c r="O32" i="4" s="1"/>
  <c r="O33" i="4" s="1"/>
  <c r="O41" i="4" s="1"/>
  <c r="O42" i="4" s="1"/>
  <c r="Q39" i="4"/>
  <c r="Q58" i="4"/>
  <c r="Q59" i="4" s="1"/>
  <c r="Q31" i="4" s="1"/>
  <c r="R36" i="4"/>
  <c r="S55" i="4"/>
  <c r="R37" i="4"/>
  <c r="R38" i="4"/>
  <c r="P59" i="4"/>
  <c r="P60" i="4" s="1"/>
  <c r="P61" i="4" s="1"/>
  <c r="P32" i="4" s="1"/>
  <c r="R74" i="4"/>
  <c r="Q28" i="4"/>
  <c r="O44" i="4" l="1"/>
  <c r="O51" i="4" s="1"/>
  <c r="O46" i="4"/>
  <c r="L8" i="12"/>
  <c r="O62" i="4"/>
  <c r="O76" i="4" s="1"/>
  <c r="Q60" i="4"/>
  <c r="Q61" i="4" s="1"/>
  <c r="Q32" i="4" s="1"/>
  <c r="Q33" i="4" s="1"/>
  <c r="Q41" i="4" s="1"/>
  <c r="Q42" i="4" s="1"/>
  <c r="Q44" i="4" s="1"/>
  <c r="Q51" i="4" s="1"/>
  <c r="S37" i="4"/>
  <c r="T55" i="4"/>
  <c r="S38" i="4"/>
  <c r="S36" i="4"/>
  <c r="P31" i="4"/>
  <c r="P33" i="4" s="1"/>
  <c r="P41" i="4" s="1"/>
  <c r="P42" i="4" s="1"/>
  <c r="P62" i="4"/>
  <c r="P76" i="4" s="1"/>
  <c r="R39" i="4"/>
  <c r="R58" i="4"/>
  <c r="S74" i="4"/>
  <c r="R28" i="4"/>
  <c r="L41" i="3" l="1"/>
  <c r="R41" i="3" s="1"/>
  <c r="L10" i="12"/>
  <c r="P44" i="4"/>
  <c r="P51" i="4" s="1"/>
  <c r="P46" i="4"/>
  <c r="Q46" i="4"/>
  <c r="S39" i="4"/>
  <c r="S58" i="4"/>
  <c r="R59" i="4"/>
  <c r="R31" i="4" s="1"/>
  <c r="T37" i="4"/>
  <c r="U55" i="4"/>
  <c r="T38" i="4"/>
  <c r="T36" i="4"/>
  <c r="Q62" i="4"/>
  <c r="Q76" i="4" s="1"/>
  <c r="T74" i="4"/>
  <c r="S28" i="4"/>
  <c r="T58" i="4" l="1"/>
  <c r="T59" i="4" s="1"/>
  <c r="T31" i="4" s="1"/>
  <c r="T39" i="4"/>
  <c r="S59" i="4"/>
  <c r="S31" i="4" s="1"/>
  <c r="U36" i="4"/>
  <c r="U37" i="4"/>
  <c r="V55" i="4"/>
  <c r="U38" i="4"/>
  <c r="R60" i="4"/>
  <c r="R61" i="4" s="1"/>
  <c r="R32" i="4" s="1"/>
  <c r="R33" i="4" s="1"/>
  <c r="R41" i="4" s="1"/>
  <c r="R42" i="4" s="1"/>
  <c r="U74" i="4"/>
  <c r="T28" i="4"/>
  <c r="R44" i="4" l="1"/>
  <c r="R51" i="4" s="1"/>
  <c r="R46" i="4"/>
  <c r="T60" i="4"/>
  <c r="T61" i="4" s="1"/>
  <c r="T32" i="4" s="1"/>
  <c r="T33" i="4" s="1"/>
  <c r="T41" i="4" s="1"/>
  <c r="T42" i="4" s="1"/>
  <c r="T44" i="4" s="1"/>
  <c r="T51" i="4" s="1"/>
  <c r="R62" i="4"/>
  <c r="R76" i="4" s="1"/>
  <c r="U39" i="4"/>
  <c r="S60" i="4"/>
  <c r="S61" i="4" s="1"/>
  <c r="S32" i="4" s="1"/>
  <c r="S33" i="4" s="1"/>
  <c r="S41" i="4" s="1"/>
  <c r="S42" i="4" s="1"/>
  <c r="U58" i="4"/>
  <c r="U59" i="4" s="1"/>
  <c r="U31" i="4" s="1"/>
  <c r="V38" i="4"/>
  <c r="W55" i="4"/>
  <c r="V37" i="4"/>
  <c r="V36" i="4"/>
  <c r="V74" i="4"/>
  <c r="U28" i="4"/>
  <c r="S44" i="4" l="1"/>
  <c r="S51" i="4" s="1"/>
  <c r="S46" i="4"/>
  <c r="T46" i="4"/>
  <c r="T62" i="4"/>
  <c r="T76" i="4" s="1"/>
  <c r="S62" i="4"/>
  <c r="S76" i="4" s="1"/>
  <c r="V58" i="4"/>
  <c r="V59" i="4" s="1"/>
  <c r="V31" i="4" s="1"/>
  <c r="U60" i="4"/>
  <c r="U61" i="4" s="1"/>
  <c r="U32" i="4" s="1"/>
  <c r="U33" i="4" s="1"/>
  <c r="U41" i="4" s="1"/>
  <c r="U42" i="4" s="1"/>
  <c r="U44" i="4" s="1"/>
  <c r="U51" i="4" s="1"/>
  <c r="V39" i="4"/>
  <c r="W37" i="4"/>
  <c r="X55" i="4"/>
  <c r="W38" i="4"/>
  <c r="W36" i="4"/>
  <c r="W74" i="4"/>
  <c r="V28" i="4"/>
  <c r="U46" i="4" l="1"/>
  <c r="W58" i="4"/>
  <c r="W59" i="4" s="1"/>
  <c r="W31" i="4" s="1"/>
  <c r="V60" i="4"/>
  <c r="V61" i="4" s="1"/>
  <c r="V32" i="4" s="1"/>
  <c r="V33" i="4" s="1"/>
  <c r="V41" i="4" s="1"/>
  <c r="W39" i="4"/>
  <c r="X36" i="4"/>
  <c r="X38" i="4"/>
  <c r="X37" i="4"/>
  <c r="Y55" i="4"/>
  <c r="U62" i="4"/>
  <c r="U76" i="4" s="1"/>
  <c r="X74" i="4"/>
  <c r="W28" i="4"/>
  <c r="W60" i="4" l="1"/>
  <c r="W61" i="4" s="1"/>
  <c r="W32" i="4" s="1"/>
  <c r="W33" i="4" s="1"/>
  <c r="W41" i="4" s="1"/>
  <c r="W42" i="4" s="1"/>
  <c r="W44" i="4" s="1"/>
  <c r="W51" i="4" s="1"/>
  <c r="V62" i="4"/>
  <c r="V76" i="4" s="1"/>
  <c r="X58" i="4"/>
  <c r="X59" i="4" s="1"/>
  <c r="X31" i="4" s="1"/>
  <c r="X39" i="4"/>
  <c r="Y36" i="4"/>
  <c r="Z55" i="4"/>
  <c r="Y38" i="4"/>
  <c r="Y37" i="4"/>
  <c r="X28" i="4"/>
  <c r="Y74" i="4"/>
  <c r="V42" i="4"/>
  <c r="V44" i="4" l="1"/>
  <c r="V51" i="4" s="1"/>
  <c r="V46" i="4"/>
  <c r="W46" i="4"/>
  <c r="W62" i="4"/>
  <c r="W76" i="4" s="1"/>
  <c r="Y39" i="4"/>
  <c r="X60" i="4"/>
  <c r="X61" i="4" s="1"/>
  <c r="X32" i="4" s="1"/>
  <c r="X33" i="4" s="1"/>
  <c r="X41" i="4" s="1"/>
  <c r="X42" i="4" s="1"/>
  <c r="X44" i="4" s="1"/>
  <c r="X51" i="4" s="1"/>
  <c r="Y58" i="4"/>
  <c r="Y59" i="4" s="1"/>
  <c r="Y31" i="4" s="1"/>
  <c r="Z36" i="4"/>
  <c r="Z37" i="4"/>
  <c r="Z38" i="4"/>
  <c r="Z74" i="4"/>
  <c r="Y28" i="4"/>
  <c r="X46" i="4" l="1"/>
  <c r="Y60" i="4"/>
  <c r="Y61" i="4" s="1"/>
  <c r="Y32" i="4" s="1"/>
  <c r="Y33" i="4" s="1"/>
  <c r="Y41" i="4" s="1"/>
  <c r="Y42" i="4" s="1"/>
  <c r="Y44" i="4" s="1"/>
  <c r="Y51" i="4" s="1"/>
  <c r="X62" i="4"/>
  <c r="X76" i="4" s="1"/>
  <c r="Z39" i="4"/>
  <c r="Z58" i="4"/>
  <c r="Z59" i="4" s="1"/>
  <c r="Z31" i="4" s="1"/>
  <c r="Z28" i="4"/>
  <c r="Y46" i="4" l="1"/>
  <c r="Y62" i="4"/>
  <c r="Y76" i="4" s="1"/>
  <c r="Z60" i="4"/>
  <c r="Z61" i="4" s="1"/>
  <c r="Z32" i="4" s="1"/>
  <c r="Z33" i="4" s="1"/>
  <c r="Z41" i="4" s="1"/>
  <c r="F45" i="4" s="1"/>
  <c r="Z42" i="4" l="1"/>
  <c r="Z62" i="4"/>
  <c r="Z76" i="4" s="1"/>
  <c r="Z44" i="4" l="1"/>
  <c r="E45" i="4" s="1"/>
  <c r="E46" i="4" s="1"/>
  <c r="E47" i="4" s="1"/>
  <c r="Z46" i="4"/>
  <c r="F47" i="4" s="1"/>
  <c r="Z51" i="4" l="1"/>
  <c r="L6" i="4"/>
  <c r="F20" i="3" s="1"/>
  <c r="J20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Wyman, Robert</author>
  </authors>
  <commentList>
    <comment ref="G15" authorId="0" shapeId="0" xr:uid="{24C9CF10-F116-4F7B-A9BC-D09449C000D0}">
      <text>
        <r>
          <rPr>
            <b/>
            <sz val="9"/>
            <color indexed="81"/>
            <rFont val="Tahoma"/>
            <family val="2"/>
          </rPr>
          <t>Wyman, Robert:</t>
        </r>
        <r>
          <rPr>
            <sz val="9"/>
            <color indexed="81"/>
            <rFont val="Tahoma"/>
            <family val="2"/>
          </rPr>
          <t xml:space="preserve">
21 year depreciation rate, per accounting depreciation for meter sets.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Wyman, Robert</author>
  </authors>
  <commentList>
    <comment ref="G15" authorId="0" shapeId="0" xr:uid="{A2A1F43D-6D69-4592-A2BB-3CF3A814DB6E}">
      <text>
        <r>
          <rPr>
            <b/>
            <sz val="9"/>
            <color indexed="81"/>
            <rFont val="Tahoma"/>
            <family val="2"/>
          </rPr>
          <t>Wyman, Robert:</t>
        </r>
        <r>
          <rPr>
            <sz val="9"/>
            <color indexed="81"/>
            <rFont val="Tahoma"/>
            <family val="2"/>
          </rPr>
          <t xml:space="preserve">
15 year depreciation rate, per accounting depreciation for telemetering:other.</t>
        </r>
      </text>
    </comment>
  </commentList>
</comments>
</file>

<file path=xl/sharedStrings.xml><?xml version="1.0" encoding="utf-8"?>
<sst xmlns="http://schemas.openxmlformats.org/spreadsheetml/2006/main" count="433" uniqueCount="220">
  <si>
    <t xml:space="preserve"> </t>
  </si>
  <si>
    <t>I. Telemetry Equipment Charge:</t>
  </si>
  <si>
    <t>Monthly Charge per affected service meter:</t>
  </si>
  <si>
    <t>II. Monthly Meter Rental Rates and Special Metering Equipment (Optional):</t>
  </si>
  <si>
    <t>Diaphragm Meters</t>
  </si>
  <si>
    <t>New Service Offers</t>
  </si>
  <si>
    <t>Meter Size</t>
  </si>
  <si>
    <t>Monthly Charge</t>
  </si>
  <si>
    <t>(Cubic Feet/hour)</t>
  </si>
  <si>
    <t>Rotary Meters</t>
  </si>
  <si>
    <t>8C175</t>
  </si>
  <si>
    <t>1.5M175/15C175</t>
  </si>
  <si>
    <t>3M175</t>
  </si>
  <si>
    <t>5M175</t>
  </si>
  <si>
    <t>7M175</t>
  </si>
  <si>
    <t>11M175</t>
  </si>
  <si>
    <t>16M175</t>
  </si>
  <si>
    <t>23M175</t>
  </si>
  <si>
    <t>38M175</t>
  </si>
  <si>
    <t>Metering Services and Charges</t>
  </si>
  <si>
    <t>Rental Read</t>
  </si>
  <si>
    <t>Remote Index</t>
  </si>
  <si>
    <t>Pulse Output</t>
  </si>
  <si>
    <t>Company provided Telephone service to AMR</t>
  </si>
  <si>
    <t>One Time Charge</t>
  </si>
  <si>
    <t>Installation Charge</t>
  </si>
  <si>
    <t xml:space="preserve">Current Effective Rates </t>
  </si>
  <si>
    <t>Meter Capacity</t>
  </si>
  <si>
    <t>NW Natural</t>
  </si>
  <si>
    <t>Determination of Cost of Service</t>
  </si>
  <si>
    <t>Meter</t>
  </si>
  <si>
    <t xml:space="preserve">Weighted </t>
  </si>
  <si>
    <t>Cost of Capital</t>
  </si>
  <si>
    <t>% of Capital</t>
  </si>
  <si>
    <t>Cost</t>
  </si>
  <si>
    <t>Common Equity</t>
  </si>
  <si>
    <t>State Tax Rate</t>
  </si>
  <si>
    <t>Federal Tax Rate</t>
  </si>
  <si>
    <t xml:space="preserve">Revenue Sensitive Rate (held to franchise rate/reg com fee) </t>
  </si>
  <si>
    <t>Depreciation Rate</t>
  </si>
  <si>
    <t>Property Tax Rate</t>
  </si>
  <si>
    <t>Incremental O&amp;M</t>
  </si>
  <si>
    <t>Inflation Rate</t>
  </si>
  <si>
    <t>Bonus Tax Depreciation toggled  (1 = yes, 2 = no)</t>
  </si>
  <si>
    <t>Investment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</si>
  <si>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</si>
  <si>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</si>
  <si>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</si>
  <si>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</si>
  <si>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</si>
  <si>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</si>
  <si>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</si>
  <si>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</si>
  <si>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</si>
  <si>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</si>
  <si>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</si>
  <si>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</si>
  <si>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</si>
  <si>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</si>
  <si>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</si>
  <si>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</si>
  <si>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</si>
  <si>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</si>
  <si>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</si>
  <si>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</si>
  <si>
    <t>Year 21</t>
  </si>
  <si>
    <t>Depreciation</t>
  </si>
  <si>
    <t>O&amp;M</t>
  </si>
  <si>
    <t>Property Taxes</t>
  </si>
  <si>
    <t>Taxes on Equity Return</t>
  </si>
  <si>
    <t>State</t>
  </si>
  <si>
    <t>Federal</t>
  </si>
  <si>
    <t xml:space="preserve">      Total Taxes</t>
  </si>
  <si>
    <t>Return on Rate Base</t>
  </si>
  <si>
    <t xml:space="preserve">      Total Return</t>
  </si>
  <si>
    <t>Subtotal Cost of Service</t>
  </si>
  <si>
    <t>Revenue Sensitive Items</t>
  </si>
  <si>
    <t>Total Cost of Service</t>
  </si>
  <si>
    <t>Total COS NPV</t>
  </si>
  <si>
    <t>Annual Payment (Rental)</t>
  </si>
  <si>
    <t>Monthly Payment (Rental Rate)</t>
  </si>
  <si>
    <t>Annual Cost of Service as % of Investment</t>
  </si>
  <si>
    <t>Rate Base - net of deprec. &amp; def. tax</t>
  </si>
  <si>
    <t>Income Taxes</t>
  </si>
  <si>
    <t>Gross up of Equity Return</t>
  </si>
  <si>
    <t>Less:  State tax</t>
  </si>
  <si>
    <t>Federal Taxable Income</t>
  </si>
  <si>
    <t>Less:  Federal Tax</t>
  </si>
  <si>
    <t>Return</t>
  </si>
  <si>
    <t>Deferred Taxes</t>
  </si>
  <si>
    <t>Book Depreciation</t>
  </si>
  <si>
    <t>Tax Depreciation</t>
  </si>
  <si>
    <t>Book-Tax Difference</t>
  </si>
  <si>
    <t>Tax Effect</t>
  </si>
  <si>
    <t>MACRS Depreciation - 15</t>
  </si>
  <si>
    <t>Property Tax Base</t>
  </si>
  <si>
    <t>Tax Calculation Check</t>
  </si>
  <si>
    <t>Meter Set Costs</t>
  </si>
  <si>
    <t>15C175</t>
  </si>
  <si>
    <t>Technical Assistance (Rotary meters only)</t>
  </si>
  <si>
    <t>Administrative Set-Up/Consultation Fee (all meters)</t>
  </si>
  <si>
    <t>Cost Estimating Guide, Fixed Construction Costs</t>
  </si>
  <si>
    <t>Effective Date: 02/10/2017</t>
  </si>
  <si>
    <t>Table 2: Costs for Residential, Commercial, and 2 psig Delivery Meter Sets</t>
  </si>
  <si>
    <t>Drawing Number</t>
  </si>
  <si>
    <t>Nominal Meter Size</t>
  </si>
  <si>
    <t>Main Pressure</t>
  </si>
  <si>
    <t>Delivery Pressure (psig)</t>
  </si>
  <si>
    <t>Capacity (SCFH)</t>
  </si>
  <si>
    <t>Capacity (Therms)</t>
  </si>
  <si>
    <t>Assembly Cost (WO/COH ($)*</t>
  </si>
  <si>
    <t>250 METER SETS</t>
  </si>
  <si>
    <t>B</t>
  </si>
  <si>
    <t>STANDARD</t>
  </si>
  <si>
    <t>250-RESIDENTIAL</t>
  </si>
  <si>
    <t>250-COMMERCIAL</t>
  </si>
  <si>
    <t>STANDARD &amp; 2</t>
  </si>
  <si>
    <t>250 ADD SET</t>
  </si>
  <si>
    <t>630 METER SETS</t>
  </si>
  <si>
    <t>630-RESIDENTIAL</t>
  </si>
  <si>
    <t>630-COMMERCIAL</t>
  </si>
  <si>
    <t>1000 METER SETS</t>
  </si>
  <si>
    <t>1000-RESIDENTIAL</t>
  </si>
  <si>
    <t>1000-COMMERCIAL</t>
  </si>
  <si>
    <t>ROTARY METER SETS</t>
  </si>
  <si>
    <t>15C175TQM</t>
  </si>
  <si>
    <t>3M175TQM</t>
  </si>
  <si>
    <t>5M175TQM</t>
  </si>
  <si>
    <t>7M175TQM</t>
  </si>
  <si>
    <t>11M175TQM</t>
  </si>
  <si>
    <t>SPECIALTY ASSEMBLIES</t>
  </si>
  <si>
    <t>Table 4: Costs for 5 psig (or Greater) Delivery Meter Sets</t>
  </si>
  <si>
    <t>Meter Set Assembly Costs</t>
  </si>
  <si>
    <t>Model</t>
  </si>
  <si>
    <t>Rate</t>
  </si>
  <si>
    <t>D-03-46-A-1-15</t>
  </si>
  <si>
    <t>D-03-46-A-2-17</t>
  </si>
  <si>
    <t>D-05-35-A-1-13</t>
  </si>
  <si>
    <t>D-05-38-A-8</t>
  </si>
  <si>
    <t>D-05-37-A-7</t>
  </si>
  <si>
    <t>D-05-39-A-7</t>
  </si>
  <si>
    <t>D-05-47-A-9</t>
  </si>
  <si>
    <t>D-05-46-A-13</t>
  </si>
  <si>
    <t>D-05-54-B-9</t>
  </si>
  <si>
    <t>D-05-53-B-9</t>
  </si>
  <si>
    <t>D-05-48-B-8</t>
  </si>
  <si>
    <t>D-05-50-B-6</t>
  </si>
  <si>
    <t>D-05-49-B-8</t>
  </si>
  <si>
    <t>D-05-51-B-6</t>
  </si>
  <si>
    <t>D-05-61-B-6</t>
  </si>
  <si>
    <t>D-05-62-B-7</t>
  </si>
  <si>
    <t>D-05-40-A-8</t>
  </si>
  <si>
    <t>D-05-41-A-9</t>
  </si>
  <si>
    <t>D-07-68-B-22</t>
  </si>
  <si>
    <t>23M232</t>
  </si>
  <si>
    <t>D-07-69-B-20</t>
  </si>
  <si>
    <t>D-07-72-B-19</t>
  </si>
  <si>
    <t>D-07-73-B-18</t>
  </si>
  <si>
    <t>D-07-77-B-14</t>
  </si>
  <si>
    <t>D-07-80-B-13</t>
  </si>
  <si>
    <t>D-07-81-B-13</t>
  </si>
  <si>
    <t>D-07-82-B-13</t>
  </si>
  <si>
    <t>D-07-83-B-19</t>
  </si>
  <si>
    <t>D-07-84-B-19</t>
  </si>
  <si>
    <t>D-07-86-B-10</t>
  </si>
  <si>
    <t>D-07-87-B-2</t>
  </si>
  <si>
    <t>23M175 (FILTER)</t>
  </si>
  <si>
    <t>FLOATING @ 40</t>
  </si>
  <si>
    <t>Install Costs (Labor and Disposables)</t>
  </si>
  <si>
    <t>AAMR Capital</t>
  </si>
  <si>
    <r>
      <t>No New Service after March</t>
    </r>
    <r>
      <rPr>
        <sz val="11"/>
        <color rgb="FFFF0000"/>
        <rFont val="Calibri"/>
        <family val="2"/>
      </rPr>
      <t xml:space="preserve"> 29, 2018</t>
    </r>
    <r>
      <rPr>
        <sz val="11"/>
        <color rgb="FFFF0000"/>
        <rFont val="Calibri"/>
        <family val="2"/>
        <scheme val="minor"/>
      </rPr>
      <t xml:space="preserve">. These charges are for service agreements initiated prior to </t>
    </r>
    <r>
      <rPr>
        <sz val="11"/>
        <color rgb="FFFF0000"/>
        <rFont val="Calibri"/>
        <family val="2"/>
      </rPr>
      <t>March 29, 2018</t>
    </r>
  </si>
  <si>
    <r>
      <rPr>
        <vertAlign val="superscript"/>
        <sz val="11"/>
        <color rgb="FFFF0000"/>
        <rFont val="Calibri"/>
        <family val="2"/>
        <scheme val="minor"/>
      </rPr>
      <t>1</t>
    </r>
    <r>
      <rPr>
        <sz val="11"/>
        <color rgb="FFFF0000"/>
        <rFont val="Calibri"/>
        <family val="2"/>
        <scheme val="minor"/>
      </rPr>
      <t>Site specific engeering design costs for AAMR will be added to the installation charge (if needed)</t>
    </r>
  </si>
  <si>
    <r>
      <rPr>
        <sz val="11"/>
        <color rgb="FFFF0000"/>
        <rFont val="Calibri"/>
        <family val="2"/>
        <scheme val="minor"/>
      </rPr>
      <t xml:space="preserve">Advanced </t>
    </r>
    <r>
      <rPr>
        <sz val="11"/>
        <color theme="1"/>
        <rFont val="Calibri"/>
        <family val="2"/>
        <scheme val="minor"/>
      </rPr>
      <t>Automated Meter Reading (</t>
    </r>
    <r>
      <rPr>
        <sz val="11"/>
        <color rgb="FFFF000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>AMR) Device</t>
    </r>
    <r>
      <rPr>
        <vertAlign val="superscript"/>
        <sz val="11"/>
        <color rgb="FFFF0000"/>
        <rFont val="Calibri"/>
        <family val="2"/>
        <scheme val="minor"/>
      </rPr>
      <t>1</t>
    </r>
  </si>
  <si>
    <t>Long-Term Debt</t>
  </si>
  <si>
    <t>Short-Term Debt</t>
  </si>
  <si>
    <r>
      <t xml:space="preserve">(Effective </t>
    </r>
    <r>
      <rPr>
        <strike/>
        <sz val="11"/>
        <color rgb="FFFF0000"/>
        <rFont val="Calibri"/>
        <family val="2"/>
        <scheme val="minor"/>
      </rPr>
      <t>November 1, 2012</t>
    </r>
    <r>
      <rPr>
        <sz val="11"/>
        <color theme="1"/>
        <rFont val="Calibri"/>
        <family val="2"/>
        <scheme val="minor"/>
      </rPr>
      <t>)</t>
    </r>
  </si>
  <si>
    <t>Old Rate</t>
  </si>
  <si>
    <t>New Rate</t>
  </si>
  <si>
    <t>MACRS Depreciation - 20</t>
  </si>
  <si>
    <t>Install Labor - Internal labor cost that directly assign to projects (direct assign to capital projects)  - Sys Ops  ($115/hr for 2.25 hrs which includes travel time)</t>
  </si>
  <si>
    <t>Internal workgroup that direct bills to capital projects</t>
  </si>
  <si>
    <t>Outside contractor - see attached documentation</t>
  </si>
  <si>
    <t>Power Supply/Comm Box</t>
  </si>
  <si>
    <t>Turck Cable and mini-lock for power supply box</t>
  </si>
  <si>
    <t>Outside contractor (.5 hrs per job site) - see attached documentation</t>
  </si>
  <si>
    <t>Total Cost</t>
  </si>
  <si>
    <t># of Units</t>
  </si>
  <si>
    <t>Modem Cost/Units</t>
  </si>
  <si>
    <t>Cellular Modem</t>
  </si>
  <si>
    <t>New VA/VC Device with Installed Retrofit Kit Installed</t>
  </si>
  <si>
    <t>Cost Description</t>
  </si>
  <si>
    <t>Labor Cost for Modem Configuration</t>
  </si>
  <si>
    <t>See Quote &amp; Invoice Documentation</t>
  </si>
  <si>
    <t>Capital Cost (Device, modem and Cables)</t>
  </si>
  <si>
    <t>See Screen Shot Documentation</t>
  </si>
  <si>
    <t>See Modem Quotes and Invoices Documentation (and table to the right)</t>
  </si>
  <si>
    <t>Communication - Celluar Data Plan (monthly fee)</t>
  </si>
  <si>
    <t>Install Labor - Electrical Contractor</t>
  </si>
  <si>
    <t>AAMR Device Cost/Units</t>
  </si>
  <si>
    <t>VA</t>
  </si>
  <si>
    <t>VC</t>
  </si>
  <si>
    <t>Turck Cable Counts</t>
  </si>
  <si>
    <t>15M (@49 ft)</t>
  </si>
  <si>
    <t>33M (@108 ft)</t>
  </si>
  <si>
    <t>Total</t>
  </si>
  <si>
    <t>Ratio</t>
  </si>
  <si>
    <t xml:space="preserve">   Long Term Debt</t>
  </si>
  <si>
    <t xml:space="preserve">   Short Term Debt</t>
  </si>
  <si>
    <t xml:space="preserve">   Common Stock</t>
  </si>
  <si>
    <t>No Change</t>
  </si>
  <si>
    <t>Change</t>
  </si>
  <si>
    <t>Schedule 10 Proposed Rates Effective November 1, 2021</t>
  </si>
  <si>
    <t>-&gt; Combined weighted State / Fed tax rate.</t>
  </si>
  <si>
    <t>AAMR Communication</t>
  </si>
  <si>
    <t>Meter Only</t>
  </si>
  <si>
    <t>Cellular Data Plan (per Mo)</t>
  </si>
  <si>
    <t>Total AAMR Monthly Tariff Charge</t>
  </si>
  <si>
    <t>n/a</t>
  </si>
  <si>
    <t>See Table</t>
  </si>
  <si>
    <t>"20XXXX-NWN-Exh-RJW-1T-Wyman-WP3-12-18-2020"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</si>
</sst>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.0"/>
    <numFmt numFmtId="165" formatCode="_(&quot;$&quot;* #,##0_);_(&quot;$&quot;* \(#,##0\);_(&quot;$&quot;* &quot;-&quot;??_);_(@_)"/>
    <numFmt numFmtId="166" formatCode="#,##0.0000"/>
    <numFmt numFmtId="167" formatCode="#,##0.00000"/>
    <numFmt numFmtId="168" formatCode="&quot;$&quot;#,##0.00"/>
    <numFmt numFmtId="169" formatCode="0.0%"/>
    <numFmt numFmtId="170" formatCode="0.00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name val="Calibri"/>
      <family val="2"/>
      <scheme val="minor"/>
    </font>
    <font>
      <vertAlign val="superscript"/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trike/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9"/>
      <color theme="1"/>
      <name val="Calibri"/>
      <family val="2"/>
      <scheme val="minor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EB9C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1" fillId="0" borderId="0">
      <alignment vertical="top"/>
    </xf>
    <xf numFmtId="3" fontId="1" fillId="0" borderId="0" applyFont="0" applyFill="0" applyBorder="0" applyAlignment="0" applyProtection="0">
      <alignment vertical="top"/>
    </xf>
    <xf numFmtId="4" fontId="1" fillId="0" borderId="0" applyFont="0" applyFill="0" applyBorder="0" applyAlignment="0" applyProtection="0">
      <alignment vertical="top"/>
    </xf>
    <xf numFmtId="10" fontId="1" fillId="0" borderId="0" applyFont="0" applyFill="0" applyBorder="0" applyAlignment="0" applyProtection="0">
      <alignment vertical="top"/>
    </xf>
    <xf numFmtId="5" fontId="1" fillId="0" borderId="0" applyFont="0" applyFill="0" applyBorder="0" applyAlignment="0" applyProtection="0">
      <alignment vertical="top"/>
    </xf>
    <xf numFmtId="0" fontId="1" fillId="0" borderId="0" applyFont="0" applyFill="0" applyBorder="0" applyAlignment="0" applyProtection="0">
      <alignment vertical="top"/>
    </xf>
    <xf numFmtId="2" fontId="1" fillId="0" borderId="0" applyFont="0" applyFill="0" applyBorder="0" applyAlignment="0" applyProtection="0">
      <alignment vertical="top"/>
    </xf>
    <xf numFmtId="0" fontId="8" fillId="4" borderId="0" applyNumberFormat="0" applyBorder="0" applyAlignment="0" applyProtection="0"/>
  </cellStyleXfs>
  <cellXfs count="221">
    <xf numFmtId="0" fontId="0" fillId="0" borderId="0" xfId="0"/>
    <xf numFmtId="0" fontId="0" fillId="0" borderId="1" xfId="0" applyBorder="1" applyAlignment="1">
      <alignment wrapText="1"/>
    </xf>
    <xf numFmtId="0" fontId="2" fillId="0" borderId="0" xfId="0" applyFont="1"/>
    <xf numFmtId="44" fontId="1" fillId="0" borderId="0" xfId="1" applyFont="1"/>
    <xf numFmtId="0" fontId="0" fillId="0" borderId="2" xfId="0" applyBorder="1"/>
    <xf numFmtId="0" fontId="2" fillId="0" borderId="0" xfId="0" applyFont="1" applyAlignment="1">
      <alignment wrapText="1"/>
    </xf>
    <xf numFmtId="44" fontId="2" fillId="0" borderId="0" xfId="1" applyFont="1"/>
    <xf numFmtId="0" fontId="5" fillId="0" borderId="0" xfId="3" applyFont="1" applyFill="1" applyAlignment="1" applyProtection="1">
      <alignment horizontal="left"/>
    </xf>
    <xf numFmtId="0" fontId="5" fillId="0" borderId="0" xfId="4" applyFont="1">
      <alignment vertical="top"/>
    </xf>
    <xf numFmtId="0" fontId="0" fillId="0" borderId="0" xfId="4" applyFont="1">
      <alignment vertical="top"/>
    </xf>
    <xf numFmtId="0" fontId="1" fillId="0" borderId="0" xfId="4">
      <alignment vertical="top"/>
    </xf>
    <xf numFmtId="3" fontId="1" fillId="0" borderId="0" xfId="5" applyFont="1">
      <alignment vertical="top"/>
    </xf>
    <xf numFmtId="0" fontId="5" fillId="0" borderId="4" xfId="4" applyFont="1" applyBorder="1">
      <alignment vertical="top"/>
    </xf>
    <xf numFmtId="3" fontId="1" fillId="0" borderId="0" xfId="5" applyFont="1" applyBorder="1">
      <alignment vertical="top"/>
    </xf>
    <xf numFmtId="0" fontId="5" fillId="0" borderId="6" xfId="4" applyFont="1" applyBorder="1">
      <alignment vertical="top"/>
    </xf>
    <xf numFmtId="0" fontId="5" fillId="0" borderId="0" xfId="4" applyFont="1" applyBorder="1">
      <alignment vertical="top"/>
    </xf>
    <xf numFmtId="3" fontId="1" fillId="0" borderId="7" xfId="5" applyFont="1" applyBorder="1">
      <alignment vertical="top"/>
    </xf>
    <xf numFmtId="0" fontId="5" fillId="0" borderId="0" xfId="4" applyFont="1" applyBorder="1" applyAlignment="1">
      <alignment horizontal="center" vertical="top"/>
    </xf>
    <xf numFmtId="0" fontId="5" fillId="0" borderId="2" xfId="4" applyFont="1" applyBorder="1" applyAlignment="1">
      <alignment horizontal="center" vertical="top"/>
    </xf>
    <xf numFmtId="0" fontId="5" fillId="0" borderId="8" xfId="4" applyFont="1" applyBorder="1" applyAlignment="1">
      <alignment horizontal="center" vertical="top"/>
    </xf>
    <xf numFmtId="0" fontId="1" fillId="0" borderId="0" xfId="4" applyBorder="1">
      <alignment vertical="top"/>
    </xf>
    <xf numFmtId="0" fontId="1" fillId="0" borderId="7" xfId="4" applyBorder="1">
      <alignment vertical="top"/>
    </xf>
    <xf numFmtId="10" fontId="1" fillId="0" borderId="0" xfId="4" applyNumberFormat="1" applyBorder="1">
      <alignment vertical="top"/>
    </xf>
    <xf numFmtId="10" fontId="1" fillId="0" borderId="7" xfId="4" applyNumberFormat="1" applyBorder="1">
      <alignment vertical="top"/>
    </xf>
    <xf numFmtId="10" fontId="1" fillId="0" borderId="2" xfId="4" applyNumberFormat="1" applyBorder="1">
      <alignment vertical="top"/>
    </xf>
    <xf numFmtId="10" fontId="1" fillId="0" borderId="9" xfId="4" applyNumberFormat="1" applyBorder="1">
      <alignment vertical="top"/>
    </xf>
    <xf numFmtId="10" fontId="1" fillId="0" borderId="7" xfId="7" applyFont="1" applyBorder="1">
      <alignment vertical="top"/>
    </xf>
    <xf numFmtId="10" fontId="1" fillId="0" borderId="0" xfId="7" applyFont="1" applyBorder="1">
      <alignment vertical="top"/>
    </xf>
    <xf numFmtId="3" fontId="1" fillId="0" borderId="0" xfId="6" applyNumberFormat="1" applyFont="1">
      <alignment vertical="top"/>
    </xf>
    <xf numFmtId="164" fontId="1" fillId="0" borderId="7" xfId="6" applyNumberFormat="1" applyFont="1" applyBorder="1">
      <alignment vertical="top"/>
    </xf>
    <xf numFmtId="3" fontId="1" fillId="0" borderId="7" xfId="6" applyNumberFormat="1" applyFont="1" applyBorder="1">
      <alignment vertical="top"/>
    </xf>
    <xf numFmtId="0" fontId="5" fillId="0" borderId="11" xfId="4" applyFont="1" applyBorder="1">
      <alignment vertical="top"/>
    </xf>
    <xf numFmtId="0" fontId="5" fillId="0" borderId="12" xfId="4" applyFont="1" applyBorder="1">
      <alignment vertical="top"/>
    </xf>
    <xf numFmtId="164" fontId="1" fillId="0" borderId="0" xfId="6" applyNumberFormat="1" applyFont="1" applyAlignment="1">
      <alignment horizontal="center" vertical="top"/>
    </xf>
    <xf numFmtId="10" fontId="1" fillId="0" borderId="0" xfId="7" applyFont="1">
      <alignment vertical="top"/>
    </xf>
    <xf numFmtId="3" fontId="1" fillId="0" borderId="0" xfId="5" applyFont="1" applyProtection="1">
      <alignment vertical="top"/>
      <protection hidden="1"/>
    </xf>
    <xf numFmtId="37" fontId="1" fillId="0" borderId="2" xfId="5" applyNumberFormat="1" applyFont="1" applyBorder="1">
      <alignment vertical="top"/>
    </xf>
    <xf numFmtId="37" fontId="1" fillId="0" borderId="0" xfId="5" applyNumberFormat="1" applyFont="1" applyBorder="1">
      <alignment vertical="top"/>
    </xf>
    <xf numFmtId="5" fontId="1" fillId="0" borderId="9" xfId="8" applyFont="1" applyFill="1" applyBorder="1">
      <alignment vertical="top"/>
    </xf>
    <xf numFmtId="5" fontId="1" fillId="0" borderId="0" xfId="8" applyFont="1" applyFill="1" applyBorder="1">
      <alignment vertical="top"/>
    </xf>
    <xf numFmtId="8" fontId="1" fillId="0" borderId="0" xfId="4" applyNumberFormat="1">
      <alignment vertical="top"/>
    </xf>
    <xf numFmtId="166" fontId="1" fillId="0" borderId="0" xfId="6" applyNumberFormat="1" applyFont="1">
      <alignment vertical="top"/>
    </xf>
    <xf numFmtId="37" fontId="1" fillId="0" borderId="0" xfId="4" applyNumberFormat="1">
      <alignment vertical="top"/>
    </xf>
    <xf numFmtId="0" fontId="4" fillId="0" borderId="0" xfId="4" applyFont="1">
      <alignment vertical="top"/>
    </xf>
    <xf numFmtId="0" fontId="0" fillId="0" borderId="0" xfId="0" applyFont="1"/>
    <xf numFmtId="0" fontId="3" fillId="0" borderId="0" xfId="0" applyFont="1"/>
    <xf numFmtId="0" fontId="0" fillId="0" borderId="0" xfId="0" applyFill="1"/>
    <xf numFmtId="167" fontId="1" fillId="0" borderId="0" xfId="6" applyNumberFormat="1" applyFont="1">
      <alignment vertical="top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/>
    <xf numFmtId="0" fontId="7" fillId="0" borderId="0" xfId="0" applyFont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1" fillId="0" borderId="0" xfId="4" applyFill="1" applyBorder="1" applyAlignment="1">
      <alignment horizontal="left"/>
    </xf>
    <xf numFmtId="165" fontId="0" fillId="0" borderId="0" xfId="1" applyNumberFormat="1" applyFont="1" applyFill="1" applyBorder="1" applyAlignment="1">
      <alignment vertical="top"/>
    </xf>
    <xf numFmtId="44" fontId="1" fillId="0" borderId="0" xfId="1" applyFill="1" applyBorder="1" applyAlignment="1">
      <alignment vertical="top"/>
    </xf>
    <xf numFmtId="44" fontId="1" fillId="0" borderId="0" xfId="1" applyFont="1" applyFill="1" applyBorder="1" applyAlignment="1">
      <alignment vertical="top"/>
    </xf>
    <xf numFmtId="0" fontId="1" fillId="0" borderId="0" xfId="4" applyFill="1" applyBorder="1">
      <alignment vertical="top"/>
    </xf>
    <xf numFmtId="3" fontId="1" fillId="0" borderId="0" xfId="6" applyNumberFormat="1" applyFont="1" applyFill="1" applyBorder="1">
      <alignment vertical="top"/>
    </xf>
    <xf numFmtId="165" fontId="1" fillId="0" borderId="0" xfId="4" applyNumberFormat="1">
      <alignment vertical="top"/>
    </xf>
    <xf numFmtId="0" fontId="1" fillId="0" borderId="0" xfId="4" applyFill="1" applyBorder="1" applyAlignment="1">
      <alignment horizontal="center"/>
    </xf>
    <xf numFmtId="44" fontId="2" fillId="0" borderId="0" xfId="1" applyFont="1" applyFill="1" applyBorder="1" applyAlignment="1">
      <alignment horizontal="center" vertical="top"/>
    </xf>
    <xf numFmtId="9" fontId="2" fillId="0" borderId="0" xfId="2" applyFont="1" applyFill="1" applyBorder="1" applyAlignment="1">
      <alignment horizontal="center" vertical="top"/>
    </xf>
    <xf numFmtId="0" fontId="2" fillId="0" borderId="0" xfId="4" applyFont="1" applyAlignment="1">
      <alignment horizontal="center" vertical="top"/>
    </xf>
    <xf numFmtId="165" fontId="1" fillId="0" borderId="0" xfId="1" applyNumberFormat="1" applyFill="1" applyBorder="1" applyAlignment="1">
      <alignment vertical="top"/>
    </xf>
    <xf numFmtId="0" fontId="1" fillId="0" borderId="12" xfId="4" applyFill="1" applyBorder="1">
      <alignment vertical="top"/>
    </xf>
    <xf numFmtId="0" fontId="0" fillId="0" borderId="0" xfId="0" applyFill="1" applyAlignment="1">
      <alignment horizontal="right"/>
    </xf>
    <xf numFmtId="44" fontId="0" fillId="0" borderId="0" xfId="1" applyFont="1" applyAlignment="1">
      <alignment horizontal="center"/>
    </xf>
    <xf numFmtId="44" fontId="1" fillId="0" borderId="0" xfId="1" applyAlignment="1">
      <alignment vertical="top"/>
    </xf>
    <xf numFmtId="0" fontId="1" fillId="0" borderId="0" xfId="4" applyAlignment="1">
      <alignment horizontal="center" vertical="top"/>
    </xf>
    <xf numFmtId="44" fontId="2" fillId="0" borderId="0" xfId="1" applyFont="1" applyFill="1" applyBorder="1" applyAlignment="1">
      <alignment vertical="top"/>
    </xf>
    <xf numFmtId="0" fontId="0" fillId="0" borderId="0" xfId="0" applyFill="1" applyBorder="1"/>
    <xf numFmtId="0" fontId="8" fillId="0" borderId="0" xfId="11" applyFill="1" applyBorder="1" applyAlignment="1">
      <alignment wrapText="1"/>
    </xf>
    <xf numFmtId="168" fontId="8" fillId="0" borderId="0" xfId="11" applyNumberFormat="1" applyFill="1" applyBorder="1" applyAlignment="1">
      <alignment vertical="top"/>
    </xf>
    <xf numFmtId="3" fontId="0" fillId="0" borderId="0" xfId="0" applyNumberFormat="1" applyBorder="1" applyAlignment="1">
      <alignment vertical="top"/>
    </xf>
    <xf numFmtId="168" fontId="8" fillId="0" borderId="0" xfId="11" applyNumberFormat="1" applyFill="1" applyBorder="1"/>
    <xf numFmtId="0" fontId="10" fillId="0" borderId="0" xfId="0" applyFont="1"/>
    <xf numFmtId="44" fontId="10" fillId="0" borderId="0" xfId="1" applyFont="1"/>
    <xf numFmtId="0" fontId="3" fillId="0" borderId="0" xfId="0" applyFont="1" applyFill="1" applyAlignment="1">
      <alignment horizontal="right"/>
    </xf>
    <xf numFmtId="44" fontId="3" fillId="0" borderId="0" xfId="1" applyFont="1"/>
    <xf numFmtId="0" fontId="12" fillId="0" borderId="0" xfId="0" applyFont="1"/>
    <xf numFmtId="0" fontId="2" fillId="0" borderId="0" xfId="0" applyFont="1" applyFill="1" applyBorder="1"/>
    <xf numFmtId="3" fontId="2" fillId="0" borderId="0" xfId="0" applyNumberFormat="1" applyFont="1" applyBorder="1" applyAlignment="1">
      <alignment vertical="top"/>
    </xf>
    <xf numFmtId="0" fontId="2" fillId="0" borderId="0" xfId="0" applyFont="1" applyFill="1" applyBorder="1" applyAlignment="1">
      <alignment wrapText="1"/>
    </xf>
    <xf numFmtId="0" fontId="14" fillId="0" borderId="0" xfId="0" applyFont="1"/>
    <xf numFmtId="44" fontId="14" fillId="0" borderId="0" xfId="1" applyFont="1"/>
    <xf numFmtId="0" fontId="15" fillId="0" borderId="0" xfId="0" applyFont="1"/>
    <xf numFmtId="170" fontId="1" fillId="0" borderId="0" xfId="4" applyNumberFormat="1" applyBorder="1">
      <alignment vertical="top"/>
    </xf>
    <xf numFmtId="0" fontId="7" fillId="0" borderId="0" xfId="0" applyFont="1" applyAlignment="1">
      <alignment horizontal="center"/>
    </xf>
    <xf numFmtId="44" fontId="2" fillId="0" borderId="0" xfId="1" applyFont="1" applyAlignment="1">
      <alignment horizontal="center"/>
    </xf>
    <xf numFmtId="10" fontId="1" fillId="0" borderId="0" xfId="2" applyNumberFormat="1" applyFont="1" applyAlignment="1">
      <alignment vertical="top"/>
    </xf>
    <xf numFmtId="10" fontId="1" fillId="0" borderId="0" xfId="2" applyNumberFormat="1" applyFill="1" applyBorder="1" applyAlignment="1">
      <alignment vertical="top"/>
    </xf>
    <xf numFmtId="170" fontId="1" fillId="0" borderId="0" xfId="2" applyNumberFormat="1" applyFont="1" applyAlignment="1">
      <alignment horizontal="center" vertical="top"/>
    </xf>
    <xf numFmtId="165" fontId="0" fillId="0" borderId="0" xfId="1" applyNumberFormat="1" applyFont="1"/>
    <xf numFmtId="44" fontId="0" fillId="0" borderId="0" xfId="1" applyFont="1"/>
    <xf numFmtId="44" fontId="0" fillId="0" borderId="0" xfId="0" applyNumberFormat="1"/>
    <xf numFmtId="165" fontId="0" fillId="0" borderId="0" xfId="1" applyNumberFormat="1" applyFont="1" applyFill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0" fillId="0" borderId="14" xfId="0" applyBorder="1"/>
    <xf numFmtId="0" fontId="0" fillId="0" borderId="16" xfId="0" applyBorder="1"/>
    <xf numFmtId="0" fontId="3" fillId="0" borderId="16" xfId="11" applyFont="1" applyFill="1" applyBorder="1" applyAlignment="1">
      <alignment wrapText="1"/>
    </xf>
    <xf numFmtId="0" fontId="0" fillId="0" borderId="16" xfId="0" applyFill="1" applyBorder="1" applyAlignment="1">
      <alignment wrapText="1"/>
    </xf>
    <xf numFmtId="0" fontId="0" fillId="0" borderId="18" xfId="0" applyFill="1" applyBorder="1" applyAlignment="1">
      <alignment wrapText="1"/>
    </xf>
    <xf numFmtId="165" fontId="3" fillId="0" borderId="1" xfId="1" applyNumberFormat="1" applyFont="1" applyFill="1" applyBorder="1" applyAlignment="1">
      <alignment horizontal="right"/>
    </xf>
    <xf numFmtId="8" fontId="10" fillId="0" borderId="0" xfId="1" applyNumberFormat="1" applyFont="1"/>
    <xf numFmtId="165" fontId="0" fillId="0" borderId="15" xfId="1" applyNumberFormat="1" applyFont="1" applyFill="1" applyBorder="1"/>
    <xf numFmtId="165" fontId="0" fillId="0" borderId="17" xfId="1" applyNumberFormat="1" applyFont="1" applyFill="1" applyBorder="1"/>
    <xf numFmtId="44" fontId="0" fillId="0" borderId="17" xfId="0" applyNumberFormat="1" applyFill="1" applyBorder="1"/>
    <xf numFmtId="44" fontId="0" fillId="0" borderId="19" xfId="0" applyNumberFormat="1" applyFill="1" applyBorder="1"/>
    <xf numFmtId="0" fontId="2" fillId="0" borderId="0" xfId="0" applyFont="1" applyAlignment="1">
      <alignment horizontal="center" vertical="center"/>
    </xf>
    <xf numFmtId="44" fontId="0" fillId="0" borderId="0" xfId="1" applyFont="1" applyFill="1" applyAlignment="1">
      <alignment horizontal="center"/>
    </xf>
    <xf numFmtId="0" fontId="0" fillId="0" borderId="1" xfId="0" applyBorder="1"/>
    <xf numFmtId="0" fontId="0" fillId="0" borderId="1" xfId="0" applyFill="1" applyBorder="1"/>
    <xf numFmtId="165" fontId="0" fillId="0" borderId="1" xfId="1" applyNumberFormat="1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0" xfId="0" applyFont="1" applyAlignment="1">
      <alignment horizontal="right" vertical="center"/>
    </xf>
    <xf numFmtId="9" fontId="2" fillId="0" borderId="0" xfId="2" applyFont="1" applyAlignment="1">
      <alignment horizontal="center" vertical="center"/>
    </xf>
    <xf numFmtId="0" fontId="5" fillId="0" borderId="3" xfId="4" applyFont="1" applyBorder="1">
      <alignment vertical="top"/>
    </xf>
    <xf numFmtId="44" fontId="12" fillId="0" borderId="0" xfId="1" applyFont="1"/>
    <xf numFmtId="44" fontId="2" fillId="0" borderId="0" xfId="2" applyNumberFormat="1" applyFont="1"/>
    <xf numFmtId="8" fontId="0" fillId="0" borderId="0" xfId="0" applyNumberFormat="1"/>
    <xf numFmtId="0" fontId="2" fillId="0" borderId="0" xfId="0" applyFont="1" applyAlignment="1">
      <alignment horizontal="center" vertical="center"/>
    </xf>
    <xf numFmtId="0" fontId="16" fillId="0" borderId="0" xfId="4" applyFont="1">
      <alignment vertical="top"/>
    </xf>
    <xf numFmtId="0" fontId="2" fillId="0" borderId="0" xfId="4" applyFont="1" applyFill="1" applyBorder="1">
      <alignment vertical="top"/>
    </xf>
    <xf numFmtId="0" fontId="2" fillId="0" borderId="0" xfId="4" applyFont="1" applyFill="1" applyBorder="1" applyAlignment="1">
      <alignment vertical="top" wrapText="1"/>
    </xf>
    <xf numFmtId="0" fontId="5" fillId="0" borderId="22" xfId="4" applyFont="1" applyBorder="1" applyAlignment="1">
      <alignment horizontal="center" vertical="top"/>
    </xf>
    <xf numFmtId="0" fontId="5" fillId="0" borderId="3" xfId="4" applyFont="1" applyBorder="1" applyAlignment="1">
      <alignment vertical="center"/>
    </xf>
    <xf numFmtId="0" fontId="5" fillId="0" borderId="4" xfId="4" applyFont="1" applyBorder="1" applyAlignment="1">
      <alignment vertical="center"/>
    </xf>
    <xf numFmtId="0" fontId="5" fillId="0" borderId="4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5" fillId="0" borderId="6" xfId="4" applyFont="1" applyBorder="1" applyAlignment="1">
      <alignment horizontal="left" vertical="top"/>
    </xf>
    <xf numFmtId="44" fontId="1" fillId="0" borderId="0" xfId="1" applyNumberFormat="1" applyFill="1" applyBorder="1" applyAlignment="1">
      <alignment vertical="top"/>
    </xf>
    <xf numFmtId="170" fontId="1" fillId="5" borderId="10" xfId="4" applyNumberFormat="1" applyFill="1" applyBorder="1">
      <alignment vertical="top"/>
    </xf>
    <xf numFmtId="0" fontId="1" fillId="5" borderId="12" xfId="4" applyFill="1" applyBorder="1" applyAlignment="1">
      <alignment horizontal="center" vertical="top"/>
    </xf>
    <xf numFmtId="44" fontId="2" fillId="6" borderId="13" xfId="1" applyNumberFormat="1" applyFont="1" applyFill="1" applyBorder="1" applyAlignment="1">
      <alignment vertical="top"/>
    </xf>
    <xf numFmtId="170" fontId="1" fillId="7" borderId="23" xfId="4" applyNumberFormat="1" applyFill="1" applyBorder="1">
      <alignment vertical="top"/>
    </xf>
    <xf numFmtId="170" fontId="1" fillId="7" borderId="24" xfId="4" applyNumberFormat="1" applyFill="1" applyBorder="1">
      <alignment vertical="top"/>
    </xf>
    <xf numFmtId="170" fontId="1" fillId="8" borderId="24" xfId="7" applyNumberFormat="1" applyFont="1" applyFill="1" applyBorder="1">
      <alignment vertical="top"/>
    </xf>
    <xf numFmtId="170" fontId="1" fillId="7" borderId="24" xfId="7" applyNumberFormat="1" applyFont="1" applyFill="1" applyBorder="1">
      <alignment vertical="top"/>
    </xf>
    <xf numFmtId="170" fontId="1" fillId="7" borderId="25" xfId="7" applyNumberFormat="1" applyFont="1" applyFill="1" applyBorder="1">
      <alignment vertical="top"/>
    </xf>
    <xf numFmtId="10" fontId="1" fillId="0" borderId="8" xfId="4" applyNumberFormat="1" applyBorder="1">
      <alignment vertical="top"/>
    </xf>
    <xf numFmtId="0" fontId="1" fillId="0" borderId="5" xfId="4" applyBorder="1">
      <alignment vertical="top"/>
    </xf>
    <xf numFmtId="0" fontId="0" fillId="0" borderId="7" xfId="4" applyFont="1" applyBorder="1">
      <alignment vertical="top"/>
    </xf>
    <xf numFmtId="0" fontId="5" fillId="0" borderId="6" xfId="4" applyFont="1" applyBorder="1" applyAlignment="1">
      <alignment horizontal="center" vertical="top"/>
    </xf>
    <xf numFmtId="165" fontId="0" fillId="0" borderId="7" xfId="4" applyNumberFormat="1" applyFont="1" applyBorder="1">
      <alignment vertical="top"/>
    </xf>
    <xf numFmtId="165" fontId="1" fillId="0" borderId="7" xfId="4" applyNumberFormat="1" applyBorder="1">
      <alignment vertical="top"/>
    </xf>
    <xf numFmtId="8" fontId="0" fillId="0" borderId="7" xfId="4" applyNumberFormat="1" applyFont="1" applyBorder="1">
      <alignment vertical="top"/>
    </xf>
    <xf numFmtId="0" fontId="5" fillId="0" borderId="6" xfId="4" quotePrefix="1" applyFont="1" applyBorder="1" applyAlignment="1">
      <alignment horizontal="left" vertical="top"/>
    </xf>
    <xf numFmtId="0" fontId="4" fillId="0" borderId="7" xfId="4" applyFont="1" applyBorder="1">
      <alignment vertical="top"/>
    </xf>
    <xf numFmtId="0" fontId="1" fillId="0" borderId="13" xfId="4" applyBorder="1">
      <alignment vertical="top"/>
    </xf>
    <xf numFmtId="0" fontId="5" fillId="0" borderId="26" xfId="4" applyFont="1" applyBorder="1">
      <alignment vertical="top"/>
    </xf>
    <xf numFmtId="8" fontId="1" fillId="0" borderId="27" xfId="4" applyNumberFormat="1" applyBorder="1">
      <alignment vertical="top"/>
    </xf>
    <xf numFmtId="3" fontId="5" fillId="0" borderId="28" xfId="5" applyFont="1" applyBorder="1" applyAlignment="1">
      <alignment horizontal="center" vertical="top"/>
    </xf>
    <xf numFmtId="3" fontId="5" fillId="0" borderId="20" xfId="5" quotePrefix="1" applyFont="1" applyBorder="1" applyAlignment="1">
      <alignment horizontal="center" vertical="top"/>
    </xf>
    <xf numFmtId="3" fontId="5" fillId="0" borderId="21" xfId="5" quotePrefix="1" applyFont="1" applyBorder="1" applyAlignment="1">
      <alignment horizontal="center" vertical="top"/>
    </xf>
    <xf numFmtId="3" fontId="1" fillId="0" borderId="6" xfId="5" applyFont="1" applyBorder="1" applyProtection="1">
      <alignment vertical="top"/>
      <protection hidden="1"/>
    </xf>
    <xf numFmtId="3" fontId="1" fillId="0" borderId="0" xfId="5" applyFont="1" applyBorder="1" applyProtection="1">
      <alignment vertical="top"/>
      <protection hidden="1"/>
    </xf>
    <xf numFmtId="3" fontId="1" fillId="0" borderId="7" xfId="5" applyFont="1" applyBorder="1" applyProtection="1">
      <alignment vertical="top"/>
      <protection hidden="1"/>
    </xf>
    <xf numFmtId="37" fontId="1" fillId="0" borderId="6" xfId="5" applyNumberFormat="1" applyFont="1" applyBorder="1">
      <alignment vertical="top"/>
    </xf>
    <xf numFmtId="37" fontId="1" fillId="0" borderId="7" xfId="5" applyNumberFormat="1" applyFont="1" applyBorder="1">
      <alignment vertical="top"/>
    </xf>
    <xf numFmtId="37" fontId="1" fillId="0" borderId="29" xfId="5" applyNumberFormat="1" applyFont="1" applyBorder="1">
      <alignment vertical="top"/>
    </xf>
    <xf numFmtId="37" fontId="1" fillId="0" borderId="8" xfId="5" applyNumberFormat="1" applyFont="1" applyBorder="1">
      <alignment vertical="top"/>
    </xf>
    <xf numFmtId="3" fontId="1" fillId="0" borderId="6" xfId="5" applyFont="1" applyBorder="1">
      <alignment vertical="top"/>
    </xf>
    <xf numFmtId="5" fontId="1" fillId="0" borderId="30" xfId="8" applyFont="1" applyFill="1" applyBorder="1">
      <alignment vertical="top"/>
    </xf>
    <xf numFmtId="5" fontId="1" fillId="0" borderId="10" xfId="8" applyFont="1" applyFill="1" applyBorder="1">
      <alignment vertical="top"/>
    </xf>
    <xf numFmtId="5" fontId="1" fillId="0" borderId="6" xfId="8" applyFont="1" applyFill="1" applyBorder="1">
      <alignment vertical="top"/>
    </xf>
    <xf numFmtId="5" fontId="1" fillId="0" borderId="7" xfId="8" applyFont="1" applyFill="1" applyBorder="1">
      <alignment vertical="top"/>
    </xf>
    <xf numFmtId="0" fontId="1" fillId="0" borderId="6" xfId="4" applyBorder="1">
      <alignment vertical="top"/>
    </xf>
    <xf numFmtId="10" fontId="1" fillId="0" borderId="6" xfId="7" applyFont="1" applyBorder="1">
      <alignment vertical="top"/>
    </xf>
    <xf numFmtId="5" fontId="1" fillId="0" borderId="6" xfId="8" applyFont="1" applyBorder="1">
      <alignment vertical="top"/>
    </xf>
    <xf numFmtId="5" fontId="1" fillId="0" borderId="0" xfId="8" applyFont="1" applyBorder="1">
      <alignment vertical="top"/>
    </xf>
    <xf numFmtId="5" fontId="1" fillId="0" borderId="7" xfId="8" applyFont="1" applyBorder="1">
      <alignment vertical="top"/>
    </xf>
    <xf numFmtId="166" fontId="1" fillId="0" borderId="6" xfId="6" applyNumberFormat="1" applyFont="1" applyBorder="1">
      <alignment vertical="top"/>
    </xf>
    <xf numFmtId="37" fontId="1" fillId="0" borderId="6" xfId="4" applyNumberFormat="1" applyBorder="1">
      <alignment vertical="top"/>
    </xf>
    <xf numFmtId="37" fontId="1" fillId="0" borderId="0" xfId="4" applyNumberFormat="1" applyBorder="1">
      <alignment vertical="top"/>
    </xf>
    <xf numFmtId="37" fontId="1" fillId="0" borderId="7" xfId="4" applyNumberFormat="1" applyBorder="1">
      <alignment vertical="top"/>
    </xf>
    <xf numFmtId="10" fontId="4" fillId="0" borderId="6" xfId="7" applyNumberFormat="1" applyFont="1" applyFill="1" applyBorder="1" applyProtection="1">
      <alignment vertical="top"/>
    </xf>
    <xf numFmtId="10" fontId="4" fillId="0" borderId="0" xfId="7" applyNumberFormat="1" applyFont="1" applyFill="1" applyBorder="1" applyProtection="1">
      <alignment vertical="top"/>
    </xf>
    <xf numFmtId="10" fontId="4" fillId="0" borderId="7" xfId="7" applyNumberFormat="1" applyFont="1" applyFill="1" applyBorder="1" applyProtection="1">
      <alignment vertical="top"/>
    </xf>
    <xf numFmtId="37" fontId="1" fillId="0" borderId="6" xfId="6" applyNumberFormat="1" applyFont="1" applyBorder="1">
      <alignment vertical="top"/>
    </xf>
    <xf numFmtId="169" fontId="1" fillId="0" borderId="6" xfId="4" applyNumberFormat="1" applyBorder="1">
      <alignment vertical="top"/>
    </xf>
    <xf numFmtId="0" fontId="1" fillId="0" borderId="11" xfId="4" applyBorder="1">
      <alignment vertical="top"/>
    </xf>
    <xf numFmtId="0" fontId="1" fillId="0" borderId="12" xfId="4" applyBorder="1">
      <alignment vertical="top"/>
    </xf>
    <xf numFmtId="169" fontId="1" fillId="0" borderId="6" xfId="2" applyNumberFormat="1" applyBorder="1" applyAlignment="1">
      <alignment vertical="top"/>
    </xf>
    <xf numFmtId="0" fontId="19" fillId="0" borderId="0" xfId="4" quotePrefix="1" applyFont="1" applyBorder="1" applyAlignment="1">
      <alignment vertical="center"/>
    </xf>
    <xf numFmtId="0" fontId="2" fillId="0" borderId="3" xfId="4" applyFont="1" applyFill="1" applyBorder="1" applyAlignment="1">
      <alignment horizontal="center"/>
    </xf>
    <xf numFmtId="44" fontId="2" fillId="0" borderId="4" xfId="1" applyFont="1" applyFill="1" applyBorder="1" applyAlignment="1">
      <alignment horizontal="center" vertical="top"/>
    </xf>
    <xf numFmtId="44" fontId="2" fillId="0" borderId="5" xfId="1" applyFont="1" applyFill="1" applyBorder="1" applyAlignment="1">
      <alignment horizontal="center" vertical="top"/>
    </xf>
    <xf numFmtId="0" fontId="1" fillId="5" borderId="31" xfId="4" applyFill="1" applyBorder="1" applyAlignment="1">
      <alignment horizontal="center"/>
    </xf>
    <xf numFmtId="44" fontId="2" fillId="3" borderId="32" xfId="1" applyNumberFormat="1" applyFont="1" applyFill="1" applyBorder="1" applyAlignment="1">
      <alignment vertical="top"/>
    </xf>
    <xf numFmtId="44" fontId="2" fillId="3" borderId="32" xfId="1" applyFont="1" applyFill="1" applyBorder="1" applyAlignment="1">
      <alignment vertical="top"/>
    </xf>
    <xf numFmtId="0" fontId="1" fillId="0" borderId="11" xfId="4" applyFill="1" applyBorder="1" applyAlignment="1">
      <alignment horizontal="left"/>
    </xf>
    <xf numFmtId="44" fontId="1" fillId="0" borderId="13" xfId="1" applyFont="1" applyFill="1" applyBorder="1" applyAlignment="1">
      <alignment vertical="top"/>
    </xf>
    <xf numFmtId="0" fontId="1" fillId="0" borderId="1" xfId="4" applyFill="1" applyBorder="1" applyAlignment="1">
      <alignment horizontal="center"/>
    </xf>
    <xf numFmtId="0" fontId="0" fillId="0" borderId="1" xfId="4" applyFont="1" applyFill="1" applyBorder="1" applyAlignment="1">
      <alignment horizontal="center"/>
    </xf>
    <xf numFmtId="165" fontId="0" fillId="5" borderId="1" xfId="1" applyNumberFormat="1" applyFont="1" applyFill="1" applyBorder="1" applyAlignment="1">
      <alignment vertical="top"/>
    </xf>
    <xf numFmtId="0" fontId="2" fillId="2" borderId="1" xfId="4" applyFont="1" applyFill="1" applyBorder="1" applyAlignment="1">
      <alignment horizontal="center" vertical="top"/>
    </xf>
    <xf numFmtId="0" fontId="6" fillId="0" borderId="0" xfId="4" applyFont="1" applyAlignment="1">
      <alignment vertical="center"/>
    </xf>
    <xf numFmtId="0" fontId="6" fillId="0" borderId="0" xfId="0" applyFont="1" applyAlignment="1">
      <alignment vertical="center"/>
    </xf>
    <xf numFmtId="10" fontId="1" fillId="0" borderId="33" xfId="4" applyNumberFormat="1" applyBorder="1">
      <alignment vertical="top"/>
    </xf>
    <xf numFmtId="170" fontId="1" fillId="5" borderId="34" xfId="4" applyNumberFormat="1" applyFill="1" applyBorder="1">
      <alignment vertical="top"/>
    </xf>
    <xf numFmtId="165" fontId="2" fillId="6" borderId="13" xfId="1" applyNumberFormat="1" applyFont="1" applyFill="1" applyBorder="1" applyAlignment="1">
      <alignment vertical="top"/>
    </xf>
    <xf numFmtId="0" fontId="2" fillId="0" borderId="0" xfId="4" applyFont="1" applyFill="1" applyBorder="1" applyAlignment="1">
      <alignment horizontal="right"/>
    </xf>
    <xf numFmtId="44" fontId="0" fillId="0" borderId="0" xfId="1" applyFont="1" applyFill="1" applyBorder="1" applyAlignment="1">
      <alignment vertical="top"/>
    </xf>
    <xf numFmtId="165" fontId="0" fillId="0" borderId="0" xfId="1" applyNumberFormat="1" applyFont="1" applyFill="1" applyBorder="1" applyAlignment="1">
      <alignment horizontal="right" vertical="top"/>
    </xf>
    <xf numFmtId="44" fontId="1" fillId="0" borderId="9" xfId="1" applyFont="1" applyFill="1" applyBorder="1" applyAlignment="1">
      <alignment vertical="top"/>
    </xf>
    <xf numFmtId="8" fontId="1" fillId="0" borderId="0" xfId="1" applyNumberFormat="1" applyFont="1" applyFill="1" applyBorder="1" applyAlignment="1">
      <alignment vertical="top"/>
    </xf>
    <xf numFmtId="44" fontId="2" fillId="6" borderId="0" xfId="1" applyNumberFormat="1" applyFont="1" applyFill="1" applyBorder="1" applyAlignment="1">
      <alignment vertical="top"/>
    </xf>
    <xf numFmtId="0" fontId="20" fillId="0" borderId="0" xfId="4" applyFont="1" applyAlignment="1">
      <alignment vertical="center"/>
    </xf>
    <xf numFmtId="0" fontId="5" fillId="0" borderId="0" xfId="4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textRotation="180"/>
    </xf>
  </cellXfs>
  <cellStyles count="12">
    <cellStyle name="Comma 2" xfId="6" xr:uid="{00000000-0005-0000-0000-000000000000}"/>
    <cellStyle name="Comma0" xfId="5" xr:uid="{00000000-0005-0000-0000-000001000000}"/>
    <cellStyle name="Currency" xfId="1" builtinId="4"/>
    <cellStyle name="Currency0" xfId="8" xr:uid="{00000000-0005-0000-0000-000003000000}"/>
    <cellStyle name="Date" xfId="9" xr:uid="{00000000-0005-0000-0000-000004000000}"/>
    <cellStyle name="Fixed" xfId="10" xr:uid="{00000000-0005-0000-0000-000005000000}"/>
    <cellStyle name="Neutral" xfId="11" builtinId="28"/>
    <cellStyle name="Normal" xfId="0" builtinId="0"/>
    <cellStyle name="Normal 2" xfId="4" xr:uid="{00000000-0005-0000-0000-000008000000}"/>
    <cellStyle name="Normal_Lane" xfId="3" xr:uid="{00000000-0005-0000-0000-000009000000}"/>
    <cellStyle name="Percent" xfId="2" builtinId="5"/>
    <cellStyle name="Percent 2" xfId="7" xr:uid="{00000000-0005-0000-0000-00000B000000}"/>
  </cellStyles>
  <dxfs count="0"/>
  <tableStyles count="0" defaultTableStyle="TableStyleMedium2" defaultPivotStyle="PivotStyleLight16"/>
  <colors>
    <mruColors>
      <color rgb="FFFF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</sheetPr>
  <dimension ref="A1:R57"/>
  <sheetViews>
    <sheetView zoomScaleNormal="100" workbookViewId="0">
      <selection activeCell="L8" sqref="L8"/>
    </sheetView>
  </sheetViews>
  <sheetFormatPr defaultRowHeight="15" x14ac:dyDescent="0.25"/>
  <cols>
    <col min="1" max="1" width="2" customWidth="1"/>
    <col min="4" max="4" width="15" customWidth="1"/>
    <col min="6" max="6" width="14.85546875" customWidth="1"/>
    <col min="7" max="7" width="2.7109375" customWidth="1"/>
    <col min="8" max="8" width="13.7109375" customWidth="1"/>
    <col min="9" max="9" width="3.42578125" customWidth="1"/>
    <col min="10" max="10" width="10.28515625" customWidth="1"/>
    <col min="11" max="11" width="2.7109375" customWidth="1"/>
    <col min="12" max="12" width="10.28515625" customWidth="1"/>
    <col min="13" max="13" width="2.7109375" customWidth="1"/>
    <col min="14" max="14" width="10.85546875" customWidth="1"/>
    <col min="15" max="15" width="2.7109375" customWidth="1"/>
    <col min="16" max="16" width="11.42578125" customWidth="1"/>
    <col min="17" max="17" width="3" customWidth="1"/>
  </cols>
  <sheetData>
    <row r="1" spans="1:8" x14ac:dyDescent="0.25">
      <c r="A1" s="7" t="s">
        <v>28</v>
      </c>
    </row>
    <row r="2" spans="1:8" x14ac:dyDescent="0.25">
      <c r="A2" s="8" t="s">
        <v>29</v>
      </c>
    </row>
    <row r="3" spans="1:8" x14ac:dyDescent="0.25">
      <c r="A3" s="130" t="s">
        <v>211</v>
      </c>
    </row>
    <row r="4" spans="1:8" x14ac:dyDescent="0.25">
      <c r="A4" s="216" t="s">
        <v>219</v>
      </c>
    </row>
    <row r="6" spans="1:8" x14ac:dyDescent="0.25">
      <c r="B6" s="2" t="s">
        <v>26</v>
      </c>
    </row>
    <row r="7" spans="1:8" x14ac:dyDescent="0.25">
      <c r="B7" t="s">
        <v>175</v>
      </c>
    </row>
    <row r="9" spans="1:8" x14ac:dyDescent="0.25">
      <c r="B9" s="89" t="s">
        <v>1</v>
      </c>
      <c r="C9" s="79"/>
      <c r="D9" s="79"/>
      <c r="E9" s="79"/>
      <c r="F9" s="79"/>
      <c r="G9" s="79"/>
      <c r="H9" s="79"/>
    </row>
    <row r="10" spans="1:8" x14ac:dyDescent="0.25">
      <c r="B10" s="79"/>
      <c r="C10" s="79"/>
      <c r="D10" s="79"/>
      <c r="E10" s="79"/>
      <c r="F10" s="79"/>
      <c r="G10" s="79"/>
      <c r="H10" s="79"/>
    </row>
    <row r="11" spans="1:8" x14ac:dyDescent="0.25">
      <c r="B11" s="79"/>
      <c r="C11" s="87" t="s">
        <v>2</v>
      </c>
      <c r="D11" s="79"/>
      <c r="E11" s="79"/>
      <c r="F11" s="79"/>
      <c r="G11" s="79"/>
      <c r="H11" s="88">
        <v>127</v>
      </c>
    </row>
    <row r="13" spans="1:8" x14ac:dyDescent="0.25">
      <c r="B13" s="2" t="s">
        <v>3</v>
      </c>
    </row>
    <row r="15" spans="1:8" x14ac:dyDescent="0.25">
      <c r="B15" s="4" t="s">
        <v>4</v>
      </c>
      <c r="C15" s="4"/>
    </row>
    <row r="17" spans="2:12" x14ac:dyDescent="0.25">
      <c r="C17" t="s">
        <v>5</v>
      </c>
    </row>
    <row r="18" spans="2:12" x14ac:dyDescent="0.25">
      <c r="D18" t="s">
        <v>6</v>
      </c>
      <c r="F18" s="91" t="s">
        <v>177</v>
      </c>
      <c r="G18" s="53"/>
      <c r="H18" s="91" t="s">
        <v>176</v>
      </c>
    </row>
    <row r="19" spans="2:12" x14ac:dyDescent="0.25">
      <c r="D19" t="s">
        <v>8</v>
      </c>
      <c r="F19" t="s">
        <v>7</v>
      </c>
      <c r="J19" t="s">
        <v>210</v>
      </c>
    </row>
    <row r="20" spans="2:12" x14ac:dyDescent="0.25">
      <c r="D20" s="46">
        <v>250</v>
      </c>
      <c r="F20" s="80">
        <f>ROUND('Meter COS'!L6,2)</f>
        <v>1.99</v>
      </c>
      <c r="H20" s="126">
        <v>2.35</v>
      </c>
      <c r="J20" s="127">
        <f>F20-H20</f>
        <v>-0.3600000000000001</v>
      </c>
    </row>
    <row r="21" spans="2:12" x14ac:dyDescent="0.25">
      <c r="D21" s="46">
        <v>630</v>
      </c>
      <c r="F21" s="80">
        <f>ROUND('Meter COS'!L7,2)</f>
        <v>5.69</v>
      </c>
      <c r="H21" s="126">
        <v>6.71</v>
      </c>
      <c r="J21" s="127">
        <f t="shared" ref="J21:J22" si="0">F21-H21</f>
        <v>-1.0199999999999996</v>
      </c>
    </row>
    <row r="22" spans="2:12" x14ac:dyDescent="0.25">
      <c r="D22" s="46">
        <v>1000</v>
      </c>
      <c r="F22" s="80">
        <f>ROUND('Meter COS'!L8,2)</f>
        <v>9.77</v>
      </c>
      <c r="H22" s="126">
        <v>11.51</v>
      </c>
      <c r="J22" s="127">
        <f t="shared" si="0"/>
        <v>-1.7400000000000002</v>
      </c>
    </row>
    <row r="23" spans="2:12" x14ac:dyDescent="0.25">
      <c r="D23" s="46"/>
    </row>
    <row r="24" spans="2:12" x14ac:dyDescent="0.25">
      <c r="B24" s="4" t="s">
        <v>9</v>
      </c>
      <c r="C24" s="4"/>
    </row>
    <row r="25" spans="2:12" x14ac:dyDescent="0.25">
      <c r="F25" t="s">
        <v>27</v>
      </c>
      <c r="H25" s="91" t="s">
        <v>177</v>
      </c>
      <c r="I25" s="53"/>
      <c r="J25" s="91" t="s">
        <v>176</v>
      </c>
    </row>
    <row r="26" spans="2:12" x14ac:dyDescent="0.25">
      <c r="D26" s="2" t="s">
        <v>6</v>
      </c>
      <c r="F26" t="s">
        <v>8</v>
      </c>
      <c r="H26" s="44" t="s">
        <v>7</v>
      </c>
      <c r="I26" s="44"/>
      <c r="J26" s="44"/>
      <c r="L26" t="s">
        <v>210</v>
      </c>
    </row>
    <row r="27" spans="2:12" x14ac:dyDescent="0.25">
      <c r="D27" s="69" t="s">
        <v>11</v>
      </c>
      <c r="F27">
        <v>1500</v>
      </c>
      <c r="H27" s="80">
        <f>ROUND('Meter COS'!L9,2)</f>
        <v>26.22</v>
      </c>
      <c r="J27" s="6">
        <v>30.9</v>
      </c>
      <c r="L27" s="127">
        <f>H27-J27</f>
        <v>-4.68</v>
      </c>
    </row>
    <row r="28" spans="2:12" x14ac:dyDescent="0.25">
      <c r="D28" s="69" t="s">
        <v>12</v>
      </c>
      <c r="F28">
        <v>3000</v>
      </c>
      <c r="H28" s="80">
        <f>ROUND('Meter COS'!L10,2)</f>
        <v>28.3</v>
      </c>
      <c r="J28" s="6">
        <v>33.35</v>
      </c>
      <c r="L28" s="127">
        <f t="shared" ref="L28:L34" si="1">H28-J28</f>
        <v>-5.0500000000000007</v>
      </c>
    </row>
    <row r="29" spans="2:12" x14ac:dyDescent="0.25">
      <c r="D29" s="69" t="s">
        <v>13</v>
      </c>
      <c r="F29">
        <v>5000</v>
      </c>
      <c r="H29" s="80">
        <f>ROUND('Meter COS'!L11,2)</f>
        <v>31.85</v>
      </c>
      <c r="J29" s="6">
        <v>37.53</v>
      </c>
      <c r="L29" s="127">
        <f t="shared" si="1"/>
        <v>-5.68</v>
      </c>
    </row>
    <row r="30" spans="2:12" x14ac:dyDescent="0.25">
      <c r="D30" s="69" t="s">
        <v>14</v>
      </c>
      <c r="F30">
        <v>7000</v>
      </c>
      <c r="H30" s="80">
        <f>ROUND('Meter COS'!L12,2)</f>
        <v>32.72</v>
      </c>
      <c r="J30" s="6">
        <v>38.56</v>
      </c>
      <c r="L30" s="127">
        <f t="shared" si="1"/>
        <v>-5.8400000000000034</v>
      </c>
    </row>
    <row r="31" spans="2:12" x14ac:dyDescent="0.25">
      <c r="D31" s="69" t="s">
        <v>15</v>
      </c>
      <c r="F31">
        <v>11000</v>
      </c>
      <c r="H31" s="80">
        <f>ROUND('Meter COS'!L13,2)</f>
        <v>50.69</v>
      </c>
      <c r="J31" s="6">
        <v>59.74</v>
      </c>
      <c r="L31" s="127">
        <f t="shared" si="1"/>
        <v>-9.0500000000000043</v>
      </c>
    </row>
    <row r="32" spans="2:12" x14ac:dyDescent="0.25">
      <c r="D32" s="69" t="s">
        <v>16</v>
      </c>
      <c r="F32">
        <v>16000</v>
      </c>
      <c r="H32" s="80">
        <f>ROUND('Meter COS'!L14,2)</f>
        <v>65.7</v>
      </c>
      <c r="J32" s="6">
        <v>77.42</v>
      </c>
      <c r="L32" s="127">
        <f t="shared" si="1"/>
        <v>-11.719999999999999</v>
      </c>
    </row>
    <row r="33" spans="3:18" x14ac:dyDescent="0.25">
      <c r="D33" s="69" t="s">
        <v>17</v>
      </c>
      <c r="F33">
        <v>23000</v>
      </c>
      <c r="H33" s="80">
        <f>ROUND('Meter COS'!L15,2)</f>
        <v>182.53</v>
      </c>
      <c r="J33" s="92">
        <v>215.1</v>
      </c>
      <c r="L33" s="127">
        <f t="shared" si="1"/>
        <v>-32.569999999999993</v>
      </c>
    </row>
    <row r="34" spans="3:18" x14ac:dyDescent="0.25">
      <c r="D34" s="69" t="s">
        <v>18</v>
      </c>
      <c r="F34">
        <v>38000</v>
      </c>
      <c r="H34" s="80">
        <f>ROUND('Meter COS'!L16,2)</f>
        <v>241.75</v>
      </c>
      <c r="J34" s="92">
        <v>284.89</v>
      </c>
      <c r="L34" s="127">
        <f t="shared" si="1"/>
        <v>-43.139999999999986</v>
      </c>
    </row>
    <row r="36" spans="3:18" x14ac:dyDescent="0.25">
      <c r="C36" s="79" t="s">
        <v>170</v>
      </c>
      <c r="D36" s="46"/>
    </row>
    <row r="37" spans="3:18" x14ac:dyDescent="0.25">
      <c r="D37" s="81" t="s">
        <v>10</v>
      </c>
      <c r="E37" s="45"/>
      <c r="F37" s="45"/>
      <c r="G37" s="45"/>
      <c r="H37" s="82">
        <v>13</v>
      </c>
      <c r="N37" s="91"/>
      <c r="P37" s="91" t="s">
        <v>176</v>
      </c>
    </row>
    <row r="38" spans="3:18" x14ac:dyDescent="0.25">
      <c r="J38" s="91" t="s">
        <v>177</v>
      </c>
      <c r="L38" s="91" t="s">
        <v>177</v>
      </c>
    </row>
    <row r="39" spans="3:18" ht="30" x14ac:dyDescent="0.25">
      <c r="D39" s="2" t="s">
        <v>19</v>
      </c>
      <c r="H39" s="5" t="s">
        <v>24</v>
      </c>
      <c r="J39" s="5" t="s">
        <v>25</v>
      </c>
      <c r="L39" s="5" t="s">
        <v>7</v>
      </c>
      <c r="N39" s="5" t="s">
        <v>25</v>
      </c>
      <c r="P39" s="5" t="s">
        <v>7</v>
      </c>
      <c r="R39" t="s">
        <v>210</v>
      </c>
    </row>
    <row r="40" spans="3:18" x14ac:dyDescent="0.25">
      <c r="C40" s="45" t="s">
        <v>20</v>
      </c>
      <c r="D40" s="83"/>
      <c r="E40" s="45"/>
      <c r="F40" s="45"/>
      <c r="G40" s="45"/>
      <c r="H40" s="82">
        <v>0</v>
      </c>
      <c r="I40" s="82"/>
      <c r="J40" s="82">
        <v>0</v>
      </c>
      <c r="K40" s="82"/>
      <c r="L40" s="82"/>
    </row>
    <row r="41" spans="3:18" ht="17.25" x14ac:dyDescent="0.25">
      <c r="C41" t="s">
        <v>172</v>
      </c>
      <c r="D41" s="2"/>
      <c r="H41" s="3">
        <v>0</v>
      </c>
      <c r="I41" s="3"/>
      <c r="J41" s="80">
        <f>ROUND('AAMR Cost'!C15,2)</f>
        <v>1270.53</v>
      </c>
      <c r="K41" s="3"/>
      <c r="L41" s="111">
        <f>ROUND('AAMR COS '!L8+'AAMR Cost'!C13,2)</f>
        <v>48.24</v>
      </c>
      <c r="N41" s="6" t="s">
        <v>209</v>
      </c>
      <c r="P41" s="6">
        <v>52.53</v>
      </c>
      <c r="R41" s="128">
        <f>L41-P41</f>
        <v>-4.2899999999999991</v>
      </c>
    </row>
    <row r="42" spans="3:18" x14ac:dyDescent="0.25">
      <c r="C42" t="s">
        <v>21</v>
      </c>
      <c r="D42" s="2"/>
      <c r="H42" s="3">
        <v>0</v>
      </c>
      <c r="I42" s="3"/>
      <c r="J42" s="3">
        <v>50</v>
      </c>
      <c r="K42" s="3"/>
      <c r="L42" s="3">
        <v>4</v>
      </c>
    </row>
    <row r="43" spans="3:18" x14ac:dyDescent="0.25">
      <c r="C43" t="s">
        <v>22</v>
      </c>
      <c r="D43" s="2"/>
      <c r="H43" s="3">
        <v>0</v>
      </c>
      <c r="I43" s="3"/>
      <c r="J43" s="3">
        <v>100</v>
      </c>
      <c r="K43" s="3"/>
      <c r="L43" s="3">
        <v>8</v>
      </c>
    </row>
    <row r="44" spans="3:18" x14ac:dyDescent="0.25">
      <c r="C44" t="s">
        <v>100</v>
      </c>
      <c r="D44" s="2"/>
      <c r="H44" s="3">
        <v>100</v>
      </c>
      <c r="I44" s="3"/>
      <c r="J44" s="3">
        <v>0</v>
      </c>
      <c r="K44" s="3"/>
      <c r="L44" s="3">
        <v>0</v>
      </c>
    </row>
    <row r="45" spans="3:18" x14ac:dyDescent="0.25">
      <c r="C45" t="s">
        <v>99</v>
      </c>
      <c r="D45" s="2"/>
      <c r="H45" s="3">
        <v>100</v>
      </c>
      <c r="I45" s="3"/>
      <c r="J45" s="3">
        <v>0</v>
      </c>
      <c r="K45" s="3"/>
      <c r="L45" s="3">
        <v>0</v>
      </c>
    </row>
    <row r="46" spans="3:18" x14ac:dyDescent="0.25">
      <c r="C46" s="87" t="s">
        <v>23</v>
      </c>
      <c r="D46" s="87"/>
      <c r="E46" s="87"/>
      <c r="F46" s="87"/>
      <c r="G46" s="87"/>
      <c r="H46" s="88">
        <v>0</v>
      </c>
      <c r="I46" s="88"/>
      <c r="J46" s="88">
        <v>0</v>
      </c>
      <c r="K46" s="88"/>
      <c r="L46" s="88">
        <v>127</v>
      </c>
    </row>
    <row r="48" spans="3:18" ht="17.25" x14ac:dyDescent="0.25">
      <c r="C48" s="79" t="s">
        <v>171</v>
      </c>
    </row>
    <row r="50" spans="4:12" x14ac:dyDescent="0.25">
      <c r="D50" s="2"/>
      <c r="H50" s="5"/>
      <c r="J50" s="5"/>
      <c r="L50" s="5"/>
    </row>
    <row r="51" spans="4:12" x14ac:dyDescent="0.25">
      <c r="H51" s="3"/>
      <c r="I51" s="3"/>
      <c r="J51" s="3"/>
      <c r="K51" s="3"/>
      <c r="L51" s="3"/>
    </row>
    <row r="52" spans="4:12" x14ac:dyDescent="0.25">
      <c r="H52" s="3"/>
      <c r="I52" s="3"/>
      <c r="J52" s="3"/>
      <c r="K52" s="3"/>
      <c r="L52" s="3"/>
    </row>
    <row r="53" spans="4:12" x14ac:dyDescent="0.25">
      <c r="H53" s="3"/>
      <c r="I53" s="3"/>
      <c r="J53" s="3"/>
      <c r="K53" s="3"/>
      <c r="L53" s="3"/>
    </row>
    <row r="54" spans="4:12" x14ac:dyDescent="0.25">
      <c r="H54" s="3"/>
      <c r="I54" s="3"/>
      <c r="J54" s="3"/>
      <c r="K54" s="3"/>
      <c r="L54" s="3"/>
    </row>
    <row r="55" spans="4:12" x14ac:dyDescent="0.25">
      <c r="H55" s="3"/>
      <c r="I55" s="3"/>
      <c r="J55" s="3"/>
      <c r="K55" s="3"/>
      <c r="L55" s="3"/>
    </row>
    <row r="56" spans="4:12" x14ac:dyDescent="0.25">
      <c r="H56" s="3"/>
      <c r="I56" s="3"/>
      <c r="J56" s="3"/>
      <c r="K56" s="3"/>
      <c r="L56" s="3"/>
    </row>
    <row r="57" spans="4:12" x14ac:dyDescent="0.25">
      <c r="H57" s="3"/>
      <c r="I57" s="3"/>
      <c r="J57" s="3"/>
      <c r="K57" s="3"/>
      <c r="L57" s="3"/>
    </row>
  </sheetData>
  <pageMargins left="0.7" right="0.7" top="0.75" bottom="0.75" header="0.3" footer="0.3"/>
  <pageSetup orientation="portrait" r:id="rId1"/>
  <headerFooter>
    <oddHeader>&amp;RExh. RJW-1T Wyman WP3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</sheetPr>
  <dimension ref="A1:AA85"/>
  <sheetViews>
    <sheetView zoomScaleNormal="100" workbookViewId="0">
      <selection activeCell="D53" sqref="D53"/>
    </sheetView>
  </sheetViews>
  <sheetFormatPr defaultColWidth="10.28515625" defaultRowHeight="15" x14ac:dyDescent="0.25"/>
  <cols>
    <col min="1" max="1" width="2.140625" style="10" customWidth="1"/>
    <col min="2" max="3" width="5.7109375" style="8" customWidth="1"/>
    <col min="4" max="4" width="28.42578125" style="8" customWidth="1"/>
    <col min="5" max="26" width="13.7109375" style="10" customWidth="1"/>
    <col min="27" max="16384" width="10.28515625" style="10"/>
  </cols>
  <sheetData>
    <row r="1" spans="1:14" x14ac:dyDescent="0.2">
      <c r="A1" s="7" t="s">
        <v>28</v>
      </c>
      <c r="E1" s="9"/>
      <c r="F1" s="217"/>
      <c r="G1" s="217"/>
      <c r="J1" s="11"/>
    </row>
    <row r="2" spans="1:14" ht="15.75" thickBot="1" x14ac:dyDescent="0.3">
      <c r="A2" s="8" t="s">
        <v>29</v>
      </c>
      <c r="E2" s="9"/>
      <c r="F2" s="9"/>
      <c r="G2" s="11"/>
      <c r="H2" s="11"/>
    </row>
    <row r="3" spans="1:14" ht="15.75" thickBot="1" x14ac:dyDescent="0.3">
      <c r="A3" s="130" t="s">
        <v>211</v>
      </c>
      <c r="E3" s="9"/>
      <c r="F3" s="9"/>
      <c r="G3" s="133" t="s">
        <v>31</v>
      </c>
      <c r="H3" s="11"/>
      <c r="J3" s="131"/>
      <c r="K3" s="60"/>
      <c r="L3" s="60"/>
      <c r="M3" s="60"/>
      <c r="N3" s="60"/>
    </row>
    <row r="4" spans="1:14" ht="36" customHeight="1" thickBot="1" x14ac:dyDescent="0.3">
      <c r="B4" s="134" t="s">
        <v>32</v>
      </c>
      <c r="C4" s="135"/>
      <c r="D4" s="135"/>
      <c r="E4" s="136" t="s">
        <v>33</v>
      </c>
      <c r="F4" s="136" t="s">
        <v>34</v>
      </c>
      <c r="G4" s="137" t="s">
        <v>34</v>
      </c>
      <c r="H4" s="13"/>
      <c r="J4" s="131"/>
      <c r="K4" s="131"/>
      <c r="L4" s="132"/>
      <c r="M4" s="132"/>
      <c r="N4" s="60"/>
    </row>
    <row r="5" spans="1:14" x14ac:dyDescent="0.25">
      <c r="B5" s="14"/>
      <c r="C5" s="15"/>
      <c r="D5" s="15"/>
      <c r="E5" s="18"/>
      <c r="F5" s="18"/>
      <c r="G5" s="19"/>
      <c r="H5" s="17"/>
      <c r="I5" s="62"/>
      <c r="J5" s="193" t="s">
        <v>133</v>
      </c>
      <c r="K5" s="194" t="s">
        <v>34</v>
      </c>
      <c r="L5" s="195" t="s">
        <v>134</v>
      </c>
      <c r="M5" s="65"/>
      <c r="N5" s="66"/>
    </row>
    <row r="6" spans="1:14" x14ac:dyDescent="0.25">
      <c r="B6" s="14"/>
      <c r="C6" s="15"/>
      <c r="D6" s="15"/>
      <c r="E6" s="20"/>
      <c r="F6" s="20"/>
      <c r="G6" s="21"/>
      <c r="H6" s="20"/>
      <c r="J6" s="196">
        <v>250</v>
      </c>
      <c r="K6" s="139">
        <f>'Meter Cost'!C7</f>
        <v>237.09250000000003</v>
      </c>
      <c r="L6" s="197">
        <f>-E47</f>
        <v>1.9945940136359643</v>
      </c>
      <c r="M6" s="58"/>
      <c r="N6" s="40"/>
    </row>
    <row r="7" spans="1:14" x14ac:dyDescent="0.25">
      <c r="B7" s="138" t="s">
        <v>206</v>
      </c>
      <c r="C7" s="15"/>
      <c r="D7" s="15"/>
      <c r="E7" s="22">
        <v>0.5</v>
      </c>
      <c r="F7" s="90">
        <v>4.5969999999999997E-2</v>
      </c>
      <c r="G7" s="23">
        <f>ROUND(E7*F7,5)</f>
        <v>2.299E-2</v>
      </c>
      <c r="H7" s="22"/>
      <c r="J7" s="196">
        <v>630</v>
      </c>
      <c r="K7" s="139">
        <f>'Meter Cost'!C8</f>
        <v>676.44499999999994</v>
      </c>
      <c r="L7" s="198">
        <f t="dataTable" ref="L7:L16" dt2D="0" dtr="0" r1="G21"/>
        <v>5.690745795645074</v>
      </c>
      <c r="M7" s="58"/>
      <c r="N7" s="40"/>
    </row>
    <row r="8" spans="1:14" x14ac:dyDescent="0.25">
      <c r="B8" s="138" t="s">
        <v>207</v>
      </c>
      <c r="C8" s="15"/>
      <c r="D8" s="15"/>
      <c r="E8" s="22">
        <v>0.01</v>
      </c>
      <c r="F8" s="90">
        <v>7.5599999999999999E-3</v>
      </c>
      <c r="G8" s="23">
        <f t="shared" ref="G8:G9" si="0">ROUND(E8*F8,5)</f>
        <v>8.0000000000000007E-5</v>
      </c>
      <c r="H8" s="22"/>
      <c r="J8" s="196">
        <v>1000</v>
      </c>
      <c r="K8" s="139">
        <f>'Meter Cost'!C9</f>
        <v>1161.02</v>
      </c>
      <c r="L8" s="198">
        <v>9.7673420361741776</v>
      </c>
      <c r="M8" s="58"/>
      <c r="N8" s="40"/>
    </row>
    <row r="9" spans="1:14" x14ac:dyDescent="0.25">
      <c r="B9" s="138" t="s">
        <v>208</v>
      </c>
      <c r="C9" s="15"/>
      <c r="D9" s="15"/>
      <c r="E9" s="24">
        <v>0.49</v>
      </c>
      <c r="F9" s="90">
        <v>9.4E-2</v>
      </c>
      <c r="G9" s="148">
        <f t="shared" si="0"/>
        <v>4.6059999999999997E-2</v>
      </c>
      <c r="H9" s="22"/>
      <c r="J9" s="196" t="s">
        <v>11</v>
      </c>
      <c r="K9" s="139">
        <f>'Meter Cost'!C10</f>
        <v>3117.1499999999996</v>
      </c>
      <c r="L9" s="198">
        <v>26.223725885910966</v>
      </c>
      <c r="M9" s="58"/>
      <c r="N9" s="40"/>
    </row>
    <row r="10" spans="1:14" ht="15.75" thickBot="1" x14ac:dyDescent="0.3">
      <c r="B10" s="14"/>
      <c r="C10" s="15"/>
      <c r="D10" s="15"/>
      <c r="E10" s="25">
        <f>E7+E8+E9</f>
        <v>1</v>
      </c>
      <c r="F10" s="22"/>
      <c r="G10" s="140">
        <f>G7+G8+G9</f>
        <v>6.9129999999999997E-2</v>
      </c>
      <c r="H10" s="22"/>
      <c r="J10" s="196" t="s">
        <v>12</v>
      </c>
      <c r="K10" s="139">
        <f>'Meter Cost'!C11</f>
        <v>3364.3149999999996</v>
      </c>
      <c r="L10" s="198">
        <v>28.303057072601103</v>
      </c>
      <c r="M10" s="58"/>
      <c r="N10" s="40"/>
    </row>
    <row r="11" spans="1:14" ht="15.75" thickTop="1" x14ac:dyDescent="0.25">
      <c r="B11" s="14"/>
      <c r="C11" s="15"/>
      <c r="D11" s="15"/>
      <c r="E11" s="20"/>
      <c r="F11" s="20"/>
      <c r="G11" s="21"/>
      <c r="H11" s="20"/>
      <c r="J11" s="196" t="s">
        <v>13</v>
      </c>
      <c r="K11" s="139">
        <f>'Meter Cost'!C12</f>
        <v>3785.9775</v>
      </c>
      <c r="L11" s="198">
        <v>31.850387748496676</v>
      </c>
      <c r="M11" s="58"/>
      <c r="N11" s="40"/>
    </row>
    <row r="12" spans="1:14" x14ac:dyDescent="0.25">
      <c r="B12" s="14" t="s">
        <v>36</v>
      </c>
      <c r="C12" s="15"/>
      <c r="D12" s="15"/>
      <c r="E12" s="20"/>
      <c r="F12" s="20"/>
      <c r="G12" s="143">
        <v>0</v>
      </c>
      <c r="H12" s="22"/>
      <c r="J12" s="196" t="s">
        <v>14</v>
      </c>
      <c r="K12" s="139">
        <f>'Meter Cost'!C13</f>
        <v>3889.4049999999997</v>
      </c>
      <c r="L12" s="198">
        <v>32.720494868482923</v>
      </c>
      <c r="M12" s="58"/>
      <c r="N12" s="40"/>
    </row>
    <row r="13" spans="1:14" x14ac:dyDescent="0.25">
      <c r="B13" s="14" t="s">
        <v>37</v>
      </c>
      <c r="C13" s="15"/>
      <c r="D13" s="15"/>
      <c r="E13" s="20"/>
      <c r="F13" s="20"/>
      <c r="G13" s="144">
        <v>0.21</v>
      </c>
      <c r="H13" s="22"/>
      <c r="J13" s="196" t="s">
        <v>15</v>
      </c>
      <c r="K13" s="139">
        <f>'Meter Cost'!C14</f>
        <v>6025.7300000000005</v>
      </c>
      <c r="L13" s="198">
        <v>50.692809708390747</v>
      </c>
      <c r="M13" s="58"/>
      <c r="N13" s="40"/>
    </row>
    <row r="14" spans="1:14" x14ac:dyDescent="0.25">
      <c r="B14" s="14" t="s">
        <v>38</v>
      </c>
      <c r="C14" s="15"/>
      <c r="D14" s="15"/>
      <c r="E14" s="20"/>
      <c r="F14" s="20"/>
      <c r="G14" s="145">
        <v>4.052E-2</v>
      </c>
      <c r="H14" s="27"/>
      <c r="J14" s="196" t="s">
        <v>16</v>
      </c>
      <c r="K14" s="139">
        <f>'Meter Cost'!C15</f>
        <v>7809.0499999999993</v>
      </c>
      <c r="L14" s="198">
        <v>65.695390542441928</v>
      </c>
      <c r="M14" s="58"/>
      <c r="N14" s="40"/>
    </row>
    <row r="15" spans="1:14" x14ac:dyDescent="0.25">
      <c r="B15" s="14" t="s">
        <v>39</v>
      </c>
      <c r="C15" s="15"/>
      <c r="D15" s="15"/>
      <c r="E15" s="20"/>
      <c r="F15" s="20"/>
      <c r="G15" s="146">
        <f>1/21</f>
        <v>4.7619047619047616E-2</v>
      </c>
      <c r="H15" s="28"/>
      <c r="J15" s="196" t="s">
        <v>17</v>
      </c>
      <c r="K15" s="139">
        <f>'Meter Cost'!C16</f>
        <v>21697.32</v>
      </c>
      <c r="L15" s="198">
        <v>182.53358745613573</v>
      </c>
      <c r="M15" s="58"/>
      <c r="N15" s="40"/>
    </row>
    <row r="16" spans="1:14" x14ac:dyDescent="0.25">
      <c r="B16" s="14" t="s">
        <v>40</v>
      </c>
      <c r="C16" s="15"/>
      <c r="D16" s="15"/>
      <c r="E16" s="20"/>
      <c r="F16" s="20"/>
      <c r="G16" s="147">
        <v>0</v>
      </c>
      <c r="H16" s="28"/>
      <c r="I16" s="28"/>
      <c r="J16" s="196" t="s">
        <v>18</v>
      </c>
      <c r="K16" s="139">
        <f>'Meter Cost'!C17</f>
        <v>28736.799999999999</v>
      </c>
      <c r="L16" s="198">
        <v>241.75479718276176</v>
      </c>
      <c r="M16" s="59"/>
      <c r="N16" s="40"/>
    </row>
    <row r="17" spans="2:27" ht="15.75" thickBot="1" x14ac:dyDescent="0.3">
      <c r="B17" s="14" t="s">
        <v>41</v>
      </c>
      <c r="C17" s="15"/>
      <c r="D17" s="15"/>
      <c r="E17" s="20"/>
      <c r="F17" s="20"/>
      <c r="G17" s="29">
        <v>0</v>
      </c>
      <c r="H17" s="28"/>
      <c r="I17" s="28"/>
      <c r="J17" s="199"/>
      <c r="K17" s="68"/>
      <c r="L17" s="200"/>
      <c r="M17" s="61"/>
    </row>
    <row r="18" spans="2:27" x14ac:dyDescent="0.25">
      <c r="B18" s="14" t="s">
        <v>42</v>
      </c>
      <c r="C18" s="15"/>
      <c r="D18" s="15"/>
      <c r="E18" s="20"/>
      <c r="F18" s="20"/>
      <c r="G18" s="26">
        <v>0</v>
      </c>
      <c r="H18" s="28"/>
      <c r="I18" s="28"/>
      <c r="J18" s="56"/>
      <c r="K18" s="94"/>
      <c r="L18" s="59"/>
      <c r="M18" s="61"/>
    </row>
    <row r="19" spans="2:27" x14ac:dyDescent="0.25">
      <c r="B19" s="14" t="s">
        <v>43</v>
      </c>
      <c r="C19" s="15"/>
      <c r="D19" s="15"/>
      <c r="E19" s="20"/>
      <c r="F19" s="20"/>
      <c r="G19" s="30">
        <v>2</v>
      </c>
      <c r="H19" s="28"/>
      <c r="I19" s="28"/>
      <c r="J19" s="28"/>
      <c r="K19" s="93"/>
      <c r="L19" s="28"/>
      <c r="M19" s="28"/>
      <c r="N19" s="28"/>
      <c r="O19" s="28"/>
    </row>
    <row r="20" spans="2:27" x14ac:dyDescent="0.25">
      <c r="B20" s="14"/>
      <c r="C20" s="15"/>
      <c r="D20" s="15"/>
      <c r="E20" s="20"/>
      <c r="F20" s="20"/>
      <c r="G20" s="30"/>
      <c r="H20" s="28"/>
      <c r="I20" s="28"/>
      <c r="J20" s="93"/>
      <c r="K20" s="93"/>
      <c r="L20" s="47"/>
      <c r="M20" s="47"/>
      <c r="N20" s="47"/>
      <c r="O20" s="47"/>
      <c r="P20" s="47"/>
      <c r="Q20" s="47"/>
    </row>
    <row r="21" spans="2:27" ht="15.75" thickBot="1" x14ac:dyDescent="0.3">
      <c r="B21" s="31" t="s">
        <v>44</v>
      </c>
      <c r="C21" s="32"/>
      <c r="D21" s="32"/>
      <c r="E21" s="32"/>
      <c r="F21" s="141">
        <f>J6</f>
        <v>250</v>
      </c>
      <c r="G21" s="142">
        <f>K6</f>
        <v>237.09250000000003</v>
      </c>
      <c r="K21" s="95"/>
    </row>
    <row r="23" spans="2:27" ht="15.75" thickBot="1" x14ac:dyDescent="0.3">
      <c r="C23" s="10"/>
      <c r="D23" s="10"/>
      <c r="E23" s="34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2:27" x14ac:dyDescent="0.25">
      <c r="B24" s="125"/>
      <c r="C24" s="12"/>
      <c r="D24" s="12"/>
      <c r="E24" s="149"/>
      <c r="F24" s="160" t="s">
        <v>45</v>
      </c>
      <c r="G24" s="161" t="s">
        <v>46</v>
      </c>
      <c r="H24" s="161" t="s">
        <v>47</v>
      </c>
      <c r="I24" s="161" t="s">
        <v>48</v>
      </c>
      <c r="J24" s="161" t="s">
        <v>49</v>
      </c>
      <c r="K24" s="161" t="s">
        <v>50</v>
      </c>
      <c r="L24" s="161" t="s">
        <v>51</v>
      </c>
      <c r="M24" s="161" t="s">
        <v>52</v>
      </c>
      <c r="N24" s="161" t="s">
        <v>53</v>
      </c>
      <c r="O24" s="161" t="s">
        <v>54</v>
      </c>
      <c r="P24" s="161" t="s">
        <v>55</v>
      </c>
      <c r="Q24" s="161" t="s">
        <v>56</v>
      </c>
      <c r="R24" s="161" t="s">
        <v>57</v>
      </c>
      <c r="S24" s="161" t="s">
        <v>58</v>
      </c>
      <c r="T24" s="161" t="s">
        <v>59</v>
      </c>
      <c r="U24" s="161" t="s">
        <v>60</v>
      </c>
      <c r="V24" s="161" t="s">
        <v>61</v>
      </c>
      <c r="W24" s="161" t="s">
        <v>62</v>
      </c>
      <c r="X24" s="161" t="s">
        <v>63</v>
      </c>
      <c r="Y24" s="161" t="s">
        <v>64</v>
      </c>
      <c r="Z24" s="162" t="s">
        <v>65</v>
      </c>
    </row>
    <row r="25" spans="2:27" x14ac:dyDescent="0.25">
      <c r="B25" s="14"/>
      <c r="C25" s="15"/>
      <c r="D25" s="15"/>
      <c r="E25" s="150"/>
      <c r="F25" s="163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5"/>
    </row>
    <row r="26" spans="2:27" x14ac:dyDescent="0.25">
      <c r="B26" s="151">
        <v>1</v>
      </c>
      <c r="C26" s="15" t="s">
        <v>66</v>
      </c>
      <c r="D26" s="15"/>
      <c r="E26" s="150"/>
      <c r="F26" s="166">
        <f t="shared" ref="F26:Z26" si="1">$G21*$G15</f>
        <v>11.290119047619049</v>
      </c>
      <c r="G26" s="37">
        <f>$G21*$G15</f>
        <v>11.290119047619049</v>
      </c>
      <c r="H26" s="37">
        <f t="shared" si="1"/>
        <v>11.290119047619049</v>
      </c>
      <c r="I26" s="37">
        <f t="shared" si="1"/>
        <v>11.290119047619049</v>
      </c>
      <c r="J26" s="37">
        <f t="shared" si="1"/>
        <v>11.290119047619049</v>
      </c>
      <c r="K26" s="37">
        <f t="shared" si="1"/>
        <v>11.290119047619049</v>
      </c>
      <c r="L26" s="37">
        <f t="shared" si="1"/>
        <v>11.290119047619049</v>
      </c>
      <c r="M26" s="37">
        <f t="shared" si="1"/>
        <v>11.290119047619049</v>
      </c>
      <c r="N26" s="37">
        <f t="shared" si="1"/>
        <v>11.290119047619049</v>
      </c>
      <c r="O26" s="37">
        <f t="shared" si="1"/>
        <v>11.290119047619049</v>
      </c>
      <c r="P26" s="37">
        <f t="shared" si="1"/>
        <v>11.290119047619049</v>
      </c>
      <c r="Q26" s="37">
        <f t="shared" si="1"/>
        <v>11.290119047619049</v>
      </c>
      <c r="R26" s="37">
        <f t="shared" si="1"/>
        <v>11.290119047619049</v>
      </c>
      <c r="S26" s="37">
        <f t="shared" si="1"/>
        <v>11.290119047619049</v>
      </c>
      <c r="T26" s="37">
        <f t="shared" si="1"/>
        <v>11.290119047619049</v>
      </c>
      <c r="U26" s="37">
        <f t="shared" si="1"/>
        <v>11.290119047619049</v>
      </c>
      <c r="V26" s="37">
        <f t="shared" si="1"/>
        <v>11.290119047619049</v>
      </c>
      <c r="W26" s="37">
        <f t="shared" si="1"/>
        <v>11.290119047619049</v>
      </c>
      <c r="X26" s="37">
        <f t="shared" si="1"/>
        <v>11.290119047619049</v>
      </c>
      <c r="Y26" s="37">
        <f t="shared" si="1"/>
        <v>11.290119047619049</v>
      </c>
      <c r="Z26" s="167">
        <f t="shared" si="1"/>
        <v>11.290119047619049</v>
      </c>
      <c r="AA26" s="42">
        <f>SUM(F26:Z26)</f>
        <v>237.09249999999994</v>
      </c>
    </row>
    <row r="27" spans="2:27" x14ac:dyDescent="0.25">
      <c r="B27" s="151">
        <f>+B26+1</f>
        <v>2</v>
      </c>
      <c r="C27" s="15" t="s">
        <v>67</v>
      </c>
      <c r="D27" s="15"/>
      <c r="E27" s="150"/>
      <c r="F27" s="166">
        <f>+G17</f>
        <v>0</v>
      </c>
      <c r="G27" s="37">
        <f>+F27*(1+$G$18)</f>
        <v>0</v>
      </c>
      <c r="H27" s="37">
        <f t="shared" ref="H27:Z27" si="2">+G27*(1+$G$18)</f>
        <v>0</v>
      </c>
      <c r="I27" s="37">
        <f t="shared" si="2"/>
        <v>0</v>
      </c>
      <c r="J27" s="37">
        <f t="shared" si="2"/>
        <v>0</v>
      </c>
      <c r="K27" s="37">
        <f t="shared" si="2"/>
        <v>0</v>
      </c>
      <c r="L27" s="37">
        <f t="shared" si="2"/>
        <v>0</v>
      </c>
      <c r="M27" s="37">
        <f t="shared" si="2"/>
        <v>0</v>
      </c>
      <c r="N27" s="37">
        <f t="shared" si="2"/>
        <v>0</v>
      </c>
      <c r="O27" s="37">
        <f t="shared" si="2"/>
        <v>0</v>
      </c>
      <c r="P27" s="37">
        <f t="shared" si="2"/>
        <v>0</v>
      </c>
      <c r="Q27" s="37">
        <f t="shared" si="2"/>
        <v>0</v>
      </c>
      <c r="R27" s="37">
        <f t="shared" si="2"/>
        <v>0</v>
      </c>
      <c r="S27" s="37">
        <f t="shared" si="2"/>
        <v>0</v>
      </c>
      <c r="T27" s="37">
        <f t="shared" si="2"/>
        <v>0</v>
      </c>
      <c r="U27" s="37">
        <f t="shared" si="2"/>
        <v>0</v>
      </c>
      <c r="V27" s="37">
        <f t="shared" si="2"/>
        <v>0</v>
      </c>
      <c r="W27" s="37">
        <f t="shared" si="2"/>
        <v>0</v>
      </c>
      <c r="X27" s="37">
        <f t="shared" si="2"/>
        <v>0</v>
      </c>
      <c r="Y27" s="37">
        <f t="shared" si="2"/>
        <v>0</v>
      </c>
      <c r="Z27" s="167">
        <f t="shared" si="2"/>
        <v>0</v>
      </c>
    </row>
    <row r="28" spans="2:27" x14ac:dyDescent="0.25">
      <c r="B28" s="151">
        <f>+B27+1</f>
        <v>3</v>
      </c>
      <c r="C28" s="15" t="s">
        <v>68</v>
      </c>
      <c r="D28" s="15"/>
      <c r="E28" s="150"/>
      <c r="F28" s="166">
        <f t="shared" ref="F28:Z28" si="3">F74*$G16</f>
        <v>0</v>
      </c>
      <c r="G28" s="37">
        <f t="shared" si="3"/>
        <v>0</v>
      </c>
      <c r="H28" s="37">
        <f t="shared" si="3"/>
        <v>0</v>
      </c>
      <c r="I28" s="37">
        <f t="shared" si="3"/>
        <v>0</v>
      </c>
      <c r="J28" s="37">
        <f t="shared" si="3"/>
        <v>0</v>
      </c>
      <c r="K28" s="37">
        <f t="shared" si="3"/>
        <v>0</v>
      </c>
      <c r="L28" s="37">
        <f t="shared" si="3"/>
        <v>0</v>
      </c>
      <c r="M28" s="37">
        <f t="shared" si="3"/>
        <v>0</v>
      </c>
      <c r="N28" s="37">
        <f t="shared" si="3"/>
        <v>0</v>
      </c>
      <c r="O28" s="37">
        <f t="shared" si="3"/>
        <v>0</v>
      </c>
      <c r="P28" s="37">
        <f t="shared" si="3"/>
        <v>0</v>
      </c>
      <c r="Q28" s="37">
        <f t="shared" si="3"/>
        <v>0</v>
      </c>
      <c r="R28" s="37">
        <f t="shared" si="3"/>
        <v>0</v>
      </c>
      <c r="S28" s="37">
        <f t="shared" si="3"/>
        <v>0</v>
      </c>
      <c r="T28" s="37">
        <f t="shared" si="3"/>
        <v>0</v>
      </c>
      <c r="U28" s="37">
        <f t="shared" si="3"/>
        <v>0</v>
      </c>
      <c r="V28" s="37">
        <f t="shared" si="3"/>
        <v>0</v>
      </c>
      <c r="W28" s="37">
        <f t="shared" si="3"/>
        <v>0</v>
      </c>
      <c r="X28" s="37">
        <f t="shared" si="3"/>
        <v>0</v>
      </c>
      <c r="Y28" s="37">
        <f t="shared" si="3"/>
        <v>0</v>
      </c>
      <c r="Z28" s="167">
        <f t="shared" si="3"/>
        <v>0</v>
      </c>
    </row>
    <row r="29" spans="2:27" x14ac:dyDescent="0.25">
      <c r="B29" s="14"/>
      <c r="C29" s="15"/>
      <c r="D29" s="15"/>
      <c r="E29" s="150"/>
      <c r="F29" s="166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167"/>
    </row>
    <row r="30" spans="2:27" x14ac:dyDescent="0.25">
      <c r="B30" s="14"/>
      <c r="C30" s="15" t="s">
        <v>69</v>
      </c>
      <c r="D30" s="15"/>
      <c r="E30" s="150"/>
      <c r="F30" s="166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167"/>
    </row>
    <row r="31" spans="2:27" x14ac:dyDescent="0.25">
      <c r="B31" s="151">
        <f>+B28+1</f>
        <v>4</v>
      </c>
      <c r="C31" s="15"/>
      <c r="D31" s="15" t="s">
        <v>70</v>
      </c>
      <c r="E31" s="150"/>
      <c r="F31" s="166">
        <f>F59</f>
        <v>0</v>
      </c>
      <c r="G31" s="37">
        <f>G59</f>
        <v>0</v>
      </c>
      <c r="H31" s="37">
        <f>H59</f>
        <v>0</v>
      </c>
      <c r="I31" s="37">
        <f t="shared" ref="I31:Z31" si="4">I59</f>
        <v>0</v>
      </c>
      <c r="J31" s="37">
        <f t="shared" si="4"/>
        <v>0</v>
      </c>
      <c r="K31" s="37">
        <f t="shared" si="4"/>
        <v>0</v>
      </c>
      <c r="L31" s="37">
        <f t="shared" si="4"/>
        <v>0</v>
      </c>
      <c r="M31" s="37">
        <f t="shared" si="4"/>
        <v>0</v>
      </c>
      <c r="N31" s="37">
        <f t="shared" si="4"/>
        <v>0</v>
      </c>
      <c r="O31" s="37">
        <f t="shared" si="4"/>
        <v>0</v>
      </c>
      <c r="P31" s="37">
        <f t="shared" si="4"/>
        <v>0</v>
      </c>
      <c r="Q31" s="37">
        <f t="shared" si="4"/>
        <v>0</v>
      </c>
      <c r="R31" s="37">
        <f t="shared" si="4"/>
        <v>0</v>
      </c>
      <c r="S31" s="37">
        <f t="shared" si="4"/>
        <v>0</v>
      </c>
      <c r="T31" s="37">
        <f t="shared" si="4"/>
        <v>0</v>
      </c>
      <c r="U31" s="37">
        <f t="shared" si="4"/>
        <v>0</v>
      </c>
      <c r="V31" s="37">
        <f t="shared" si="4"/>
        <v>0</v>
      </c>
      <c r="W31" s="37">
        <f t="shared" si="4"/>
        <v>0</v>
      </c>
      <c r="X31" s="37">
        <f t="shared" si="4"/>
        <v>0</v>
      </c>
      <c r="Y31" s="37">
        <f t="shared" si="4"/>
        <v>0</v>
      </c>
      <c r="Z31" s="167">
        <f t="shared" si="4"/>
        <v>0</v>
      </c>
    </row>
    <row r="32" spans="2:27" x14ac:dyDescent="0.25">
      <c r="B32" s="151">
        <f>+B31+1</f>
        <v>5</v>
      </c>
      <c r="C32" s="15"/>
      <c r="D32" s="15" t="s">
        <v>71</v>
      </c>
      <c r="E32" s="150"/>
      <c r="F32" s="168">
        <f>F61</f>
        <v>2.8418072076884098</v>
      </c>
      <c r="G32" s="36">
        <f>G61</f>
        <v>2.6989205074209885</v>
      </c>
      <c r="H32" s="36">
        <f>H61</f>
        <v>2.5470966451345829</v>
      </c>
      <c r="I32" s="36">
        <f t="shared" ref="I32:Z32" si="5">I61</f>
        <v>2.398454375886709</v>
      </c>
      <c r="J32" s="36">
        <f t="shared" si="5"/>
        <v>2.2527555382023126</v>
      </c>
      <c r="K32" s="36">
        <f t="shared" si="5"/>
        <v>2.1097802907198075</v>
      </c>
      <c r="L32" s="36">
        <f t="shared" si="5"/>
        <v>1.9693240588388266</v>
      </c>
      <c r="M32" s="36">
        <f t="shared" si="5"/>
        <v>1.8311975347202258</v>
      </c>
      <c r="N32" s="36">
        <f t="shared" si="5"/>
        <v>1.6943717386576853</v>
      </c>
      <c r="O32" s="36">
        <f t="shared" si="5"/>
        <v>1.557732197082045</v>
      </c>
      <c r="P32" s="36">
        <f t="shared" si="5"/>
        <v>1.4210926555064047</v>
      </c>
      <c r="Q32" s="36">
        <f t="shared" si="5"/>
        <v>1.2844531139307644</v>
      </c>
      <c r="R32" s="36">
        <f t="shared" si="5"/>
        <v>1.1478135723551239</v>
      </c>
      <c r="S32" s="36">
        <f t="shared" si="5"/>
        <v>1.0111740307794834</v>
      </c>
      <c r="T32" s="36">
        <f t="shared" si="5"/>
        <v>0.87453448920384325</v>
      </c>
      <c r="U32" s="36">
        <f t="shared" si="5"/>
        <v>0.73789494762820285</v>
      </c>
      <c r="V32" s="36">
        <f t="shared" si="5"/>
        <v>0.60125540605256245</v>
      </c>
      <c r="W32" s="36">
        <f t="shared" si="5"/>
        <v>0.46461586447692199</v>
      </c>
      <c r="X32" s="36">
        <f t="shared" si="5"/>
        <v>0.32797632290128165</v>
      </c>
      <c r="Y32" s="36">
        <f t="shared" si="5"/>
        <v>0.19133678132564125</v>
      </c>
      <c r="Z32" s="169">
        <f t="shared" si="5"/>
        <v>6.1509268606972041E-2</v>
      </c>
    </row>
    <row r="33" spans="2:26" x14ac:dyDescent="0.25">
      <c r="B33" s="151">
        <f>+B32+1</f>
        <v>6</v>
      </c>
      <c r="C33" s="15"/>
      <c r="D33" s="15" t="s">
        <v>72</v>
      </c>
      <c r="E33" s="150"/>
      <c r="F33" s="166">
        <f>F31+F32</f>
        <v>2.8418072076884098</v>
      </c>
      <c r="G33" s="37">
        <f>G31+G32</f>
        <v>2.6989205074209885</v>
      </c>
      <c r="H33" s="37">
        <f>H31+H32</f>
        <v>2.5470966451345829</v>
      </c>
      <c r="I33" s="37">
        <f t="shared" ref="I33:Z33" si="6">I31+I32</f>
        <v>2.398454375886709</v>
      </c>
      <c r="J33" s="37">
        <f t="shared" si="6"/>
        <v>2.2527555382023126</v>
      </c>
      <c r="K33" s="37">
        <f t="shared" si="6"/>
        <v>2.1097802907198075</v>
      </c>
      <c r="L33" s="37">
        <f t="shared" si="6"/>
        <v>1.9693240588388266</v>
      </c>
      <c r="M33" s="37">
        <f t="shared" si="6"/>
        <v>1.8311975347202258</v>
      </c>
      <c r="N33" s="37">
        <f t="shared" si="6"/>
        <v>1.6943717386576853</v>
      </c>
      <c r="O33" s="37">
        <f t="shared" si="6"/>
        <v>1.557732197082045</v>
      </c>
      <c r="P33" s="37">
        <f t="shared" si="6"/>
        <v>1.4210926555064047</v>
      </c>
      <c r="Q33" s="37">
        <f t="shared" si="6"/>
        <v>1.2844531139307644</v>
      </c>
      <c r="R33" s="37">
        <f t="shared" si="6"/>
        <v>1.1478135723551239</v>
      </c>
      <c r="S33" s="37">
        <f t="shared" si="6"/>
        <v>1.0111740307794834</v>
      </c>
      <c r="T33" s="37">
        <f t="shared" si="6"/>
        <v>0.87453448920384325</v>
      </c>
      <c r="U33" s="37">
        <f t="shared" si="6"/>
        <v>0.73789494762820285</v>
      </c>
      <c r="V33" s="37">
        <f t="shared" si="6"/>
        <v>0.60125540605256245</v>
      </c>
      <c r="W33" s="37">
        <f t="shared" si="6"/>
        <v>0.46461586447692199</v>
      </c>
      <c r="X33" s="37">
        <f t="shared" si="6"/>
        <v>0.32797632290128165</v>
      </c>
      <c r="Y33" s="37">
        <f t="shared" si="6"/>
        <v>0.19133678132564125</v>
      </c>
      <c r="Z33" s="167">
        <f t="shared" si="6"/>
        <v>6.1509268606972041E-2</v>
      </c>
    </row>
    <row r="34" spans="2:26" x14ac:dyDescent="0.25">
      <c r="B34" s="14"/>
      <c r="C34" s="15"/>
      <c r="D34" s="15"/>
      <c r="E34" s="150"/>
      <c r="F34" s="166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167"/>
    </row>
    <row r="35" spans="2:26" x14ac:dyDescent="0.25">
      <c r="B35" s="14"/>
      <c r="C35" s="15" t="s">
        <v>73</v>
      </c>
      <c r="D35" s="15"/>
      <c r="E35" s="150"/>
      <c r="F35" s="166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167"/>
    </row>
    <row r="36" spans="2:26" x14ac:dyDescent="0.25">
      <c r="B36" s="151">
        <f>+B33+1</f>
        <v>7</v>
      </c>
      <c r="C36" s="15"/>
      <c r="D36" s="15" t="s">
        <v>174</v>
      </c>
      <c r="E36" s="150"/>
      <c r="F36" s="166">
        <f t="shared" ref="F36:Z36" si="7">F55*$G7</f>
        <v>5.3267680854085571</v>
      </c>
      <c r="G36" s="37">
        <f t="shared" si="7"/>
        <v>5.0589369979390613</v>
      </c>
      <c r="H36" s="37">
        <f t="shared" si="7"/>
        <v>4.7743538277497901</v>
      </c>
      <c r="I36" s="37">
        <f t="shared" si="7"/>
        <v>4.495734330329225</v>
      </c>
      <c r="J36" s="37">
        <f t="shared" si="7"/>
        <v>4.2226320887138753</v>
      </c>
      <c r="K36" s="37">
        <f t="shared" si="7"/>
        <v>3.9546350257066711</v>
      </c>
      <c r="L36" s="37">
        <f t="shared" si="7"/>
        <v>3.6913596805825604</v>
      </c>
      <c r="M36" s="37">
        <f t="shared" si="7"/>
        <v>3.4324512090885113</v>
      </c>
      <c r="N36" s="37">
        <f t="shared" si="7"/>
        <v>3.1759808610104598</v>
      </c>
      <c r="O36" s="37">
        <f t="shared" si="7"/>
        <v>2.9198596338910368</v>
      </c>
      <c r="P36" s="37">
        <f t="shared" si="7"/>
        <v>2.6637384067716137</v>
      </c>
      <c r="Q36" s="37">
        <f t="shared" si="7"/>
        <v>2.4076171796521906</v>
      </c>
      <c r="R36" s="37">
        <f t="shared" si="7"/>
        <v>2.1514959525327675</v>
      </c>
      <c r="S36" s="37">
        <f t="shared" si="7"/>
        <v>1.8953747254133444</v>
      </c>
      <c r="T36" s="37">
        <f t="shared" si="7"/>
        <v>1.6392534982939213</v>
      </c>
      <c r="U36" s="37">
        <f t="shared" si="7"/>
        <v>1.3831322711744982</v>
      </c>
      <c r="V36" s="37">
        <f t="shared" si="7"/>
        <v>1.1270110440550751</v>
      </c>
      <c r="W36" s="37">
        <f t="shared" si="7"/>
        <v>0.87088981693565215</v>
      </c>
      <c r="X36" s="37">
        <f t="shared" si="7"/>
        <v>0.61476858981622895</v>
      </c>
      <c r="Y36" s="37">
        <f t="shared" si="7"/>
        <v>0.35864736269680575</v>
      </c>
      <c r="Z36" s="167">
        <f t="shared" si="7"/>
        <v>0.11529480539214884</v>
      </c>
    </row>
    <row r="37" spans="2:26" x14ac:dyDescent="0.25">
      <c r="B37" s="151">
        <f>+B36+1</f>
        <v>8</v>
      </c>
      <c r="C37" s="15"/>
      <c r="D37" s="15" t="s">
        <v>173</v>
      </c>
      <c r="E37" s="150"/>
      <c r="F37" s="166">
        <f t="shared" ref="F37:Z37" si="8">F55*$G8</f>
        <v>1.853594810059524E-2</v>
      </c>
      <c r="G37" s="37">
        <f t="shared" si="8"/>
        <v>1.7603956495655718E-2</v>
      </c>
      <c r="H37" s="37">
        <f t="shared" si="8"/>
        <v>1.6613671431926196E-2</v>
      </c>
      <c r="I37" s="37">
        <f t="shared" si="8"/>
        <v>1.5644138600536671E-2</v>
      </c>
      <c r="J37" s="37">
        <f t="shared" si="8"/>
        <v>1.4693804571427146E-2</v>
      </c>
      <c r="K37" s="37">
        <f t="shared" si="8"/>
        <v>1.3761235409157621E-2</v>
      </c>
      <c r="L37" s="37">
        <f t="shared" si="8"/>
        <v>1.2845096757138097E-2</v>
      </c>
      <c r="M37" s="37">
        <f t="shared" si="8"/>
        <v>1.1944153837628575E-2</v>
      </c>
      <c r="N37" s="37">
        <f t="shared" si="8"/>
        <v>1.1051695036139052E-2</v>
      </c>
      <c r="O37" s="37">
        <f t="shared" si="8"/>
        <v>1.0160451096619529E-2</v>
      </c>
      <c r="P37" s="37">
        <f t="shared" si="8"/>
        <v>9.2692071571000047E-3</v>
      </c>
      <c r="Q37" s="37">
        <f t="shared" si="8"/>
        <v>8.3779632175804818E-3</v>
      </c>
      <c r="R37" s="37">
        <f t="shared" si="8"/>
        <v>7.4867192780609581E-3</v>
      </c>
      <c r="S37" s="37">
        <f t="shared" si="8"/>
        <v>6.5954753385414344E-3</v>
      </c>
      <c r="T37" s="37">
        <f t="shared" si="8"/>
        <v>5.7042313990219107E-3</v>
      </c>
      <c r="U37" s="37">
        <f t="shared" si="8"/>
        <v>4.812987459502387E-3</v>
      </c>
      <c r="V37" s="37">
        <f t="shared" si="8"/>
        <v>3.9217435199828633E-3</v>
      </c>
      <c r="W37" s="37">
        <f t="shared" si="8"/>
        <v>3.0304995804633396E-3</v>
      </c>
      <c r="X37" s="37">
        <f t="shared" si="8"/>
        <v>2.1392556409438154E-3</v>
      </c>
      <c r="Y37" s="37">
        <f t="shared" si="8"/>
        <v>1.2480117014242915E-3</v>
      </c>
      <c r="Z37" s="167">
        <f t="shared" si="8"/>
        <v>4.0119984477476764E-4</v>
      </c>
    </row>
    <row r="38" spans="2:26" x14ac:dyDescent="0.25">
      <c r="B38" s="151">
        <f>+B37+1</f>
        <v>9</v>
      </c>
      <c r="C38" s="15"/>
      <c r="D38" s="15" t="s">
        <v>35</v>
      </c>
      <c r="E38" s="150"/>
      <c r="F38" s="168">
        <f t="shared" ref="F38:Z38" si="9">F55*$G9</f>
        <v>10.672072118917708</v>
      </c>
      <c r="G38" s="36">
        <f t="shared" si="9"/>
        <v>10.135477952373778</v>
      </c>
      <c r="H38" s="36">
        <f t="shared" si="9"/>
        <v>9.5653213269315049</v>
      </c>
      <c r="I38" s="36">
        <f t="shared" si="9"/>
        <v>9.0071127992589872</v>
      </c>
      <c r="J38" s="36">
        <f t="shared" si="9"/>
        <v>8.4599579819991781</v>
      </c>
      <c r="K38" s="36">
        <f t="shared" si="9"/>
        <v>7.9230312868224999</v>
      </c>
      <c r="L38" s="36">
        <f t="shared" si="9"/>
        <v>7.3955644579222586</v>
      </c>
      <c r="M38" s="36">
        <f t="shared" si="9"/>
        <v>6.8768465720146503</v>
      </c>
      <c r="N38" s="36">
        <f t="shared" si="9"/>
        <v>6.3630134170570587</v>
      </c>
      <c r="O38" s="36">
        <f t="shared" si="9"/>
        <v>5.8498797188786931</v>
      </c>
      <c r="P38" s="36">
        <f t="shared" si="9"/>
        <v>5.3367460207003274</v>
      </c>
      <c r="Q38" s="36">
        <f t="shared" si="9"/>
        <v>4.8236123225219618</v>
      </c>
      <c r="R38" s="36">
        <f t="shared" si="9"/>
        <v>4.3104786243435962</v>
      </c>
      <c r="S38" s="36">
        <f t="shared" si="9"/>
        <v>3.7973449261652301</v>
      </c>
      <c r="T38" s="36">
        <f t="shared" si="9"/>
        <v>3.2842112279868645</v>
      </c>
      <c r="U38" s="36">
        <f t="shared" si="9"/>
        <v>2.7710775298084989</v>
      </c>
      <c r="V38" s="36">
        <f t="shared" si="9"/>
        <v>2.2579438316301332</v>
      </c>
      <c r="W38" s="36">
        <f t="shared" si="9"/>
        <v>1.7448101334517674</v>
      </c>
      <c r="X38" s="36">
        <f t="shared" si="9"/>
        <v>1.2316764352734015</v>
      </c>
      <c r="Y38" s="36">
        <f t="shared" si="9"/>
        <v>0.71854273709503569</v>
      </c>
      <c r="Z38" s="169">
        <f t="shared" si="9"/>
        <v>0.23099081062907245</v>
      </c>
    </row>
    <row r="39" spans="2:26" x14ac:dyDescent="0.25">
      <c r="B39" s="151">
        <f>+B38+1</f>
        <v>10</v>
      </c>
      <c r="C39" s="15"/>
      <c r="D39" s="15" t="s">
        <v>74</v>
      </c>
      <c r="E39" s="150"/>
      <c r="F39" s="166">
        <f t="shared" ref="F39:Z39" si="10">F36+F37+F38</f>
        <v>16.017376152426859</v>
      </c>
      <c r="G39" s="37">
        <f t="shared" si="10"/>
        <v>15.212018906808495</v>
      </c>
      <c r="H39" s="37">
        <f t="shared" si="10"/>
        <v>14.356288826113222</v>
      </c>
      <c r="I39" s="37">
        <f t="shared" si="10"/>
        <v>13.518491268188749</v>
      </c>
      <c r="J39" s="37">
        <f t="shared" si="10"/>
        <v>12.69728387528448</v>
      </c>
      <c r="K39" s="37">
        <f t="shared" si="10"/>
        <v>11.891427547938328</v>
      </c>
      <c r="L39" s="37">
        <f t="shared" si="10"/>
        <v>11.099769235261958</v>
      </c>
      <c r="M39" s="37">
        <f t="shared" si="10"/>
        <v>10.32124193494079</v>
      </c>
      <c r="N39" s="37">
        <f t="shared" si="10"/>
        <v>9.5500459731036571</v>
      </c>
      <c r="O39" s="37">
        <f t="shared" si="10"/>
        <v>8.7798998038663498</v>
      </c>
      <c r="P39" s="37">
        <f t="shared" si="10"/>
        <v>8.0097536346290408</v>
      </c>
      <c r="Q39" s="37">
        <f t="shared" si="10"/>
        <v>7.2396074653917335</v>
      </c>
      <c r="R39" s="37">
        <f t="shared" si="10"/>
        <v>6.4694612961544244</v>
      </c>
      <c r="S39" s="37">
        <f t="shared" si="10"/>
        <v>5.6993151269171154</v>
      </c>
      <c r="T39" s="37">
        <f t="shared" si="10"/>
        <v>4.9291689576798081</v>
      </c>
      <c r="U39" s="37">
        <f t="shared" si="10"/>
        <v>4.1590227884424991</v>
      </c>
      <c r="V39" s="37">
        <f t="shared" si="10"/>
        <v>3.3888766192051909</v>
      </c>
      <c r="W39" s="37">
        <f t="shared" si="10"/>
        <v>2.6187304499678827</v>
      </c>
      <c r="X39" s="37">
        <f t="shared" si="10"/>
        <v>1.8485842807305743</v>
      </c>
      <c r="Y39" s="37">
        <f t="shared" si="10"/>
        <v>1.0784381114932657</v>
      </c>
      <c r="Z39" s="167">
        <f t="shared" si="10"/>
        <v>0.34668681586599603</v>
      </c>
    </row>
    <row r="40" spans="2:26" x14ac:dyDescent="0.25">
      <c r="B40" s="14"/>
      <c r="C40" s="15"/>
      <c r="D40" s="15"/>
      <c r="E40" s="150"/>
      <c r="F40" s="166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167"/>
    </row>
    <row r="41" spans="2:26" x14ac:dyDescent="0.25">
      <c r="B41" s="151">
        <f>+B39+1</f>
        <v>11</v>
      </c>
      <c r="C41" s="15" t="s">
        <v>75</v>
      </c>
      <c r="D41" s="15"/>
      <c r="E41" s="152">
        <f>-G21</f>
        <v>-237.09250000000003</v>
      </c>
      <c r="F41" s="166">
        <f t="shared" ref="F41:Z41" si="11">F26+F28+F33+F39+F27</f>
        <v>30.149302407734318</v>
      </c>
      <c r="G41" s="37">
        <f t="shared" si="11"/>
        <v>29.201058461848532</v>
      </c>
      <c r="H41" s="37">
        <f t="shared" si="11"/>
        <v>28.193504518866852</v>
      </c>
      <c r="I41" s="37">
        <f t="shared" si="11"/>
        <v>27.207064691694505</v>
      </c>
      <c r="J41" s="37">
        <f t="shared" si="11"/>
        <v>26.240158461105842</v>
      </c>
      <c r="K41" s="37">
        <f t="shared" si="11"/>
        <v>25.291326886277183</v>
      </c>
      <c r="L41" s="37">
        <f t="shared" si="11"/>
        <v>24.359212341719832</v>
      </c>
      <c r="M41" s="37">
        <f t="shared" si="11"/>
        <v>23.442558517280066</v>
      </c>
      <c r="N41" s="37">
        <f t="shared" si="11"/>
        <v>22.534536759380391</v>
      </c>
      <c r="O41" s="37">
        <f t="shared" si="11"/>
        <v>21.627751048567443</v>
      </c>
      <c r="P41" s="37">
        <f t="shared" si="11"/>
        <v>20.720965337754492</v>
      </c>
      <c r="Q41" s="37">
        <f t="shared" si="11"/>
        <v>19.814179626941545</v>
      </c>
      <c r="R41" s="37">
        <f t="shared" si="11"/>
        <v>18.907393916128598</v>
      </c>
      <c r="S41" s="37">
        <f t="shared" si="11"/>
        <v>18.00060820531565</v>
      </c>
      <c r="T41" s="37">
        <f t="shared" si="11"/>
        <v>17.0938224945027</v>
      </c>
      <c r="U41" s="37">
        <f t="shared" si="11"/>
        <v>16.187036783689749</v>
      </c>
      <c r="V41" s="37">
        <f t="shared" si="11"/>
        <v>15.280251072876801</v>
      </c>
      <c r="W41" s="37">
        <f t="shared" si="11"/>
        <v>14.373465362063854</v>
      </c>
      <c r="X41" s="37">
        <f t="shared" si="11"/>
        <v>13.466679651250905</v>
      </c>
      <c r="Y41" s="37">
        <f t="shared" si="11"/>
        <v>12.559893940437956</v>
      </c>
      <c r="Z41" s="167">
        <f t="shared" si="11"/>
        <v>11.698315132092016</v>
      </c>
    </row>
    <row r="42" spans="2:26" x14ac:dyDescent="0.25">
      <c r="B42" s="151">
        <f>+B41+1</f>
        <v>12</v>
      </c>
      <c r="C42" s="15" t="s">
        <v>76</v>
      </c>
      <c r="D42" s="15"/>
      <c r="E42" s="150"/>
      <c r="F42" s="168">
        <f t="shared" ref="F42:Z42" si="12">F41/(1-$G14)-F41</f>
        <v>1.273241478260509</v>
      </c>
      <c r="G42" s="36">
        <f t="shared" si="12"/>
        <v>1.2331959904053278</v>
      </c>
      <c r="H42" s="36">
        <f t="shared" si="12"/>
        <v>1.1906457696924235</v>
      </c>
      <c r="I42" s="36">
        <f t="shared" si="12"/>
        <v>1.14898722360806</v>
      </c>
      <c r="J42" s="36">
        <f t="shared" si="12"/>
        <v>1.1081536049151701</v>
      </c>
      <c r="K42" s="36">
        <f t="shared" si="12"/>
        <v>1.0680833007795378</v>
      </c>
      <c r="L42" s="36">
        <f t="shared" si="12"/>
        <v>1.0287189770359859</v>
      </c>
      <c r="M42" s="36">
        <f t="shared" si="12"/>
        <v>0.99000757818838281</v>
      </c>
      <c r="N42" s="36">
        <f t="shared" si="12"/>
        <v>0.95166072194323448</v>
      </c>
      <c r="O42" s="36">
        <f t="shared" si="12"/>
        <v>0.91336606546040855</v>
      </c>
      <c r="P42" s="36">
        <f t="shared" si="12"/>
        <v>0.87507140897758262</v>
      </c>
      <c r="Q42" s="36">
        <f t="shared" si="12"/>
        <v>0.83677675249476025</v>
      </c>
      <c r="R42" s="36">
        <f t="shared" si="12"/>
        <v>0.79848209601193432</v>
      </c>
      <c r="S42" s="36">
        <f t="shared" si="12"/>
        <v>0.76018743952910839</v>
      </c>
      <c r="T42" s="36">
        <f t="shared" si="12"/>
        <v>0.72189278304628601</v>
      </c>
      <c r="U42" s="36">
        <f t="shared" si="12"/>
        <v>0.68359812656346008</v>
      </c>
      <c r="V42" s="36">
        <f t="shared" si="12"/>
        <v>0.64530347008063593</v>
      </c>
      <c r="W42" s="36">
        <f t="shared" si="12"/>
        <v>0.60700881359781</v>
      </c>
      <c r="X42" s="36">
        <f t="shared" si="12"/>
        <v>0.56871415711498585</v>
      </c>
      <c r="Y42" s="36">
        <f t="shared" si="12"/>
        <v>0.5304195006321617</v>
      </c>
      <c r="Z42" s="169">
        <f t="shared" si="12"/>
        <v>0.4940339862762837</v>
      </c>
    </row>
    <row r="43" spans="2:26" x14ac:dyDescent="0.25">
      <c r="B43" s="14"/>
      <c r="C43" s="15"/>
      <c r="D43" s="15"/>
      <c r="E43" s="150"/>
      <c r="F43" s="170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6"/>
    </row>
    <row r="44" spans="2:26" ht="15.75" thickBot="1" x14ac:dyDescent="0.3">
      <c r="B44" s="151">
        <f>+B42+1</f>
        <v>13</v>
      </c>
      <c r="C44" s="15" t="s">
        <v>77</v>
      </c>
      <c r="D44" s="15"/>
      <c r="E44" s="153"/>
      <c r="F44" s="171">
        <f>F41+F42</f>
        <v>31.422543885994827</v>
      </c>
      <c r="G44" s="38">
        <f>G41+G42</f>
        <v>30.43425445225386</v>
      </c>
      <c r="H44" s="38">
        <f>H41+H42</f>
        <v>29.384150288559276</v>
      </c>
      <c r="I44" s="38">
        <f t="shared" ref="I44:Z44" si="13">I41+I42</f>
        <v>28.356051915302565</v>
      </c>
      <c r="J44" s="38">
        <f t="shared" si="13"/>
        <v>27.348312066021013</v>
      </c>
      <c r="K44" s="38">
        <f t="shared" si="13"/>
        <v>26.359410187056721</v>
      </c>
      <c r="L44" s="38">
        <f t="shared" si="13"/>
        <v>25.387931318755818</v>
      </c>
      <c r="M44" s="38">
        <f t="shared" si="13"/>
        <v>24.432566095468449</v>
      </c>
      <c r="N44" s="38">
        <f t="shared" si="13"/>
        <v>23.486197481323625</v>
      </c>
      <c r="O44" s="38">
        <f t="shared" si="13"/>
        <v>22.541117114027852</v>
      </c>
      <c r="P44" s="38">
        <f t="shared" si="13"/>
        <v>21.596036746732075</v>
      </c>
      <c r="Q44" s="38">
        <f t="shared" si="13"/>
        <v>20.650956379436305</v>
      </c>
      <c r="R44" s="38">
        <f t="shared" si="13"/>
        <v>19.705876012140532</v>
      </c>
      <c r="S44" s="38">
        <f t="shared" si="13"/>
        <v>18.760795644844759</v>
      </c>
      <c r="T44" s="38">
        <f t="shared" si="13"/>
        <v>17.815715277548986</v>
      </c>
      <c r="U44" s="38">
        <f t="shared" si="13"/>
        <v>16.870634910253209</v>
      </c>
      <c r="V44" s="38">
        <f t="shared" si="13"/>
        <v>15.925554542957437</v>
      </c>
      <c r="W44" s="38">
        <f t="shared" si="13"/>
        <v>14.980474175661664</v>
      </c>
      <c r="X44" s="38">
        <f t="shared" si="13"/>
        <v>14.035393808365891</v>
      </c>
      <c r="Y44" s="38">
        <f t="shared" si="13"/>
        <v>13.090313441070117</v>
      </c>
      <c r="Z44" s="172">
        <f t="shared" si="13"/>
        <v>12.1923491183683</v>
      </c>
    </row>
    <row r="45" spans="2:26" ht="15.75" thickTop="1" x14ac:dyDescent="0.25">
      <c r="B45" s="151"/>
      <c r="C45" s="15"/>
      <c r="D45" s="15" t="s">
        <v>78</v>
      </c>
      <c r="E45" s="154">
        <f>NPV(G10,F44:Z44)</f>
        <v>261.17300685385004</v>
      </c>
      <c r="F45" s="173">
        <f>NPV(G10,E41:Z41)</f>
        <v>12.625009695857401</v>
      </c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174"/>
    </row>
    <row r="46" spans="2:26" ht="15.75" thickBot="1" x14ac:dyDescent="0.3">
      <c r="B46" s="151"/>
      <c r="C46" s="15"/>
      <c r="D46" s="15" t="s">
        <v>79</v>
      </c>
      <c r="E46" s="154">
        <f>PMT(G10,21,E45)</f>
        <v>-23.935128163631571</v>
      </c>
      <c r="F46" s="173">
        <f>SUM(F26:F28,F39,F42)</f>
        <v>28.580736678306415</v>
      </c>
      <c r="G46" s="39">
        <f t="shared" ref="G46:Z46" si="14">SUM(G26:G28,G39,G42)</f>
        <v>27.735333944832874</v>
      </c>
      <c r="H46" s="39">
        <f t="shared" si="14"/>
        <v>26.837053643424696</v>
      </c>
      <c r="I46" s="39">
        <f t="shared" si="14"/>
        <v>25.957597539415858</v>
      </c>
      <c r="J46" s="39">
        <f t="shared" si="14"/>
        <v>25.095556527818697</v>
      </c>
      <c r="K46" s="39">
        <f t="shared" si="14"/>
        <v>24.249629896336916</v>
      </c>
      <c r="L46" s="39">
        <f t="shared" si="14"/>
        <v>23.418607259916993</v>
      </c>
      <c r="M46" s="39">
        <f t="shared" si="14"/>
        <v>22.60136856074822</v>
      </c>
      <c r="N46" s="39">
        <f t="shared" si="14"/>
        <v>21.791825742665942</v>
      </c>
      <c r="O46" s="39">
        <f t="shared" si="14"/>
        <v>20.983384916945809</v>
      </c>
      <c r="P46" s="39">
        <f t="shared" si="14"/>
        <v>20.174944091225672</v>
      </c>
      <c r="Q46" s="39">
        <f t="shared" si="14"/>
        <v>19.366503265505543</v>
      </c>
      <c r="R46" s="39">
        <f t="shared" si="14"/>
        <v>18.558062439785406</v>
      </c>
      <c r="S46" s="39">
        <f t="shared" si="14"/>
        <v>17.749621614065273</v>
      </c>
      <c r="T46" s="39">
        <f t="shared" si="14"/>
        <v>16.941180788345143</v>
      </c>
      <c r="U46" s="39">
        <f t="shared" si="14"/>
        <v>16.13273996262501</v>
      </c>
      <c r="V46" s="39">
        <f t="shared" si="14"/>
        <v>15.324299136904875</v>
      </c>
      <c r="W46" s="39">
        <f t="shared" si="14"/>
        <v>14.515858311184742</v>
      </c>
      <c r="X46" s="39">
        <f t="shared" si="14"/>
        <v>13.707417485464608</v>
      </c>
      <c r="Y46" s="39">
        <f t="shared" si="14"/>
        <v>12.898976659744477</v>
      </c>
      <c r="Z46" s="174">
        <f t="shared" si="14"/>
        <v>12.130839849761328</v>
      </c>
    </row>
    <row r="47" spans="2:26" ht="15.75" thickBot="1" x14ac:dyDescent="0.3">
      <c r="B47" s="151"/>
      <c r="C47" s="15"/>
      <c r="D47" s="158" t="s">
        <v>80</v>
      </c>
      <c r="E47" s="159">
        <f>E46/12</f>
        <v>-1.9945940136359643</v>
      </c>
      <c r="F47" s="173">
        <f>NPV(G10,F46:Z46)</f>
        <v>241.97628746967166</v>
      </c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174"/>
    </row>
    <row r="48" spans="2:26" x14ac:dyDescent="0.25">
      <c r="B48" s="151"/>
      <c r="C48" s="15"/>
      <c r="D48" s="15"/>
      <c r="E48" s="154"/>
      <c r="F48" s="173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174"/>
    </row>
    <row r="49" spans="2:26" x14ac:dyDescent="0.25">
      <c r="B49" s="14"/>
      <c r="C49" s="15"/>
      <c r="D49" s="15"/>
      <c r="E49" s="21"/>
      <c r="F49" s="170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6"/>
    </row>
    <row r="50" spans="2:26" x14ac:dyDescent="0.25">
      <c r="B50" s="14"/>
      <c r="C50" s="15"/>
      <c r="D50" s="15"/>
      <c r="E50" s="21"/>
      <c r="F50" s="175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174"/>
    </row>
    <row r="51" spans="2:26" x14ac:dyDescent="0.25">
      <c r="B51" s="151">
        <f>+B44+1</f>
        <v>14</v>
      </c>
      <c r="C51" s="15" t="s">
        <v>81</v>
      </c>
      <c r="D51" s="20"/>
      <c r="E51" s="21"/>
      <c r="F51" s="176">
        <f>+F44/$G$21</f>
        <v>0.13253284640380789</v>
      </c>
      <c r="G51" s="27">
        <f t="shared" ref="G51:Z51" si="15">+G44/$G$21</f>
        <v>0.12836447568882969</v>
      </c>
      <c r="H51" s="27">
        <f t="shared" si="15"/>
        <v>0.12393538508623964</v>
      </c>
      <c r="I51" s="27">
        <f t="shared" si="15"/>
        <v>0.1195991096947502</v>
      </c>
      <c r="J51" s="27">
        <f t="shared" si="15"/>
        <v>0.11534870173464369</v>
      </c>
      <c r="K51" s="27">
        <f t="shared" si="15"/>
        <v>0.11117774787079607</v>
      </c>
      <c r="L51" s="27">
        <f t="shared" si="15"/>
        <v>0.10708028013857804</v>
      </c>
      <c r="M51" s="27">
        <f t="shared" si="15"/>
        <v>0.10305077594385502</v>
      </c>
      <c r="N51" s="27">
        <f t="shared" si="15"/>
        <v>9.9059217315282527E-2</v>
      </c>
      <c r="O51" s="27">
        <f t="shared" si="15"/>
        <v>9.5073092206745674E-2</v>
      </c>
      <c r="P51" s="27">
        <f t="shared" si="15"/>
        <v>9.1086967098208807E-2</v>
      </c>
      <c r="Q51" s="27">
        <f t="shared" si="15"/>
        <v>8.7100841989671982E-2</v>
      </c>
      <c r="R51" s="27">
        <f t="shared" si="15"/>
        <v>8.3114716881135128E-2</v>
      </c>
      <c r="S51" s="27">
        <f t="shared" si="15"/>
        <v>7.9128591772598275E-2</v>
      </c>
      <c r="T51" s="27">
        <f t="shared" si="15"/>
        <v>7.5142466664061422E-2</v>
      </c>
      <c r="U51" s="27">
        <f t="shared" si="15"/>
        <v>7.1156341555524555E-2</v>
      </c>
      <c r="V51" s="27">
        <f t="shared" si="15"/>
        <v>6.7170216446987716E-2</v>
      </c>
      <c r="W51" s="27">
        <f t="shared" si="15"/>
        <v>6.3184091338450862E-2</v>
      </c>
      <c r="X51" s="27">
        <f t="shared" si="15"/>
        <v>5.9197966229914016E-2</v>
      </c>
      <c r="Y51" s="27">
        <f t="shared" si="15"/>
        <v>5.5211841121377163E-2</v>
      </c>
      <c r="Z51" s="26">
        <f t="shared" si="15"/>
        <v>5.1424440327586488E-2</v>
      </c>
    </row>
    <row r="52" spans="2:26" x14ac:dyDescent="0.25">
      <c r="B52" s="151"/>
      <c r="C52" s="15"/>
      <c r="D52" s="15"/>
      <c r="E52" s="21"/>
      <c r="F52" s="175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174"/>
    </row>
    <row r="53" spans="2:26" x14ac:dyDescent="0.25">
      <c r="B53" s="14"/>
      <c r="C53" s="15"/>
      <c r="D53" s="15"/>
      <c r="E53" s="21"/>
      <c r="F53" s="175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174"/>
    </row>
    <row r="54" spans="2:26" x14ac:dyDescent="0.25">
      <c r="B54" s="14"/>
      <c r="C54" s="15"/>
      <c r="D54" s="15"/>
      <c r="E54" s="21"/>
      <c r="F54" s="175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174"/>
    </row>
    <row r="55" spans="2:26" x14ac:dyDescent="0.25">
      <c r="B55" s="155" t="s">
        <v>82</v>
      </c>
      <c r="C55" s="15"/>
      <c r="D55" s="15"/>
      <c r="E55" s="150"/>
      <c r="F55" s="177">
        <f>G21-F26/2-F68/2</f>
        <v>231.6993512574405</v>
      </c>
      <c r="G55" s="178">
        <f t="shared" ref="G55:Z55" si="16">+F55-F26/2-G26/2-F68/2-G68/2</f>
        <v>220.04945619569645</v>
      </c>
      <c r="H55" s="178">
        <f t="shared" si="16"/>
        <v>207.67089289907742</v>
      </c>
      <c r="I55" s="178">
        <f t="shared" si="16"/>
        <v>195.55173250670836</v>
      </c>
      <c r="J55" s="178">
        <f t="shared" si="16"/>
        <v>183.67255714283931</v>
      </c>
      <c r="K55" s="178">
        <f t="shared" si="16"/>
        <v>172.01544261447026</v>
      </c>
      <c r="L55" s="178">
        <f t="shared" si="16"/>
        <v>160.56370946422621</v>
      </c>
      <c r="M55" s="178">
        <f t="shared" si="16"/>
        <v>149.30192297035717</v>
      </c>
      <c r="N55" s="178">
        <f t="shared" si="16"/>
        <v>138.14618795173814</v>
      </c>
      <c r="O55" s="178">
        <f t="shared" si="16"/>
        <v>127.0056387077441</v>
      </c>
      <c r="P55" s="178">
        <f t="shared" si="16"/>
        <v>115.86508946375005</v>
      </c>
      <c r="Q55" s="178">
        <f t="shared" si="16"/>
        <v>104.72454021975601</v>
      </c>
      <c r="R55" s="178">
        <f t="shared" si="16"/>
        <v>93.583990975761964</v>
      </c>
      <c r="S55" s="178">
        <f t="shared" si="16"/>
        <v>82.443441731767919</v>
      </c>
      <c r="T55" s="178">
        <f t="shared" si="16"/>
        <v>71.302892487773875</v>
      </c>
      <c r="U55" s="178">
        <f t="shared" si="16"/>
        <v>60.16234324377983</v>
      </c>
      <c r="V55" s="178">
        <f t="shared" si="16"/>
        <v>49.021793999785785</v>
      </c>
      <c r="W55" s="178">
        <f t="shared" si="16"/>
        <v>37.881244755791741</v>
      </c>
      <c r="X55" s="178">
        <f t="shared" si="16"/>
        <v>26.740695511797693</v>
      </c>
      <c r="Y55" s="178">
        <f t="shared" si="16"/>
        <v>15.600146267803643</v>
      </c>
      <c r="Z55" s="179">
        <f t="shared" si="16"/>
        <v>5.0149980596845953</v>
      </c>
    </row>
    <row r="56" spans="2:26" x14ac:dyDescent="0.25">
      <c r="B56" s="14"/>
      <c r="C56" s="15"/>
      <c r="D56" s="15"/>
      <c r="E56" s="150"/>
      <c r="F56" s="180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9"/>
    </row>
    <row r="57" spans="2:26" x14ac:dyDescent="0.25">
      <c r="B57" s="14" t="s">
        <v>83</v>
      </c>
      <c r="C57" s="15"/>
      <c r="D57" s="15"/>
      <c r="E57" s="150"/>
      <c r="F57" s="180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6"/>
    </row>
    <row r="58" spans="2:26" x14ac:dyDescent="0.25">
      <c r="B58" s="14"/>
      <c r="C58" s="15" t="s">
        <v>84</v>
      </c>
      <c r="D58" s="15"/>
      <c r="E58" s="150"/>
      <c r="F58" s="166">
        <f t="shared" ref="F58:Z58" si="17">(F38+F37)/$F$84</f>
        <v>13.532415274706713</v>
      </c>
      <c r="G58" s="37">
        <f t="shared" si="17"/>
        <v>12.852002416290421</v>
      </c>
      <c r="H58" s="37">
        <f t="shared" si="17"/>
        <v>12.129031643498013</v>
      </c>
      <c r="I58" s="37">
        <f t="shared" si="17"/>
        <v>11.421211313746234</v>
      </c>
      <c r="J58" s="37">
        <f t="shared" si="17"/>
        <v>10.727407324772917</v>
      </c>
      <c r="K58" s="37">
        <f t="shared" si="17"/>
        <v>10.046572812951466</v>
      </c>
      <c r="L58" s="37">
        <f t="shared" si="17"/>
        <v>9.3777336135182221</v>
      </c>
      <c r="M58" s="37">
        <f t="shared" si="17"/>
        <v>8.7199882605725048</v>
      </c>
      <c r="N58" s="37">
        <f t="shared" si="17"/>
        <v>8.0684368507508832</v>
      </c>
      <c r="O58" s="37">
        <f t="shared" si="17"/>
        <v>7.4177723670573572</v>
      </c>
      <c r="P58" s="37">
        <f t="shared" si="17"/>
        <v>6.7671078833638321</v>
      </c>
      <c r="Q58" s="37">
        <f t="shared" si="17"/>
        <v>6.1164433996703069</v>
      </c>
      <c r="R58" s="37">
        <f t="shared" si="17"/>
        <v>5.4657789159767809</v>
      </c>
      <c r="S58" s="37">
        <f t="shared" si="17"/>
        <v>4.8151144322832549</v>
      </c>
      <c r="T58" s="37">
        <f t="shared" si="17"/>
        <v>4.1644499485897297</v>
      </c>
      <c r="U58" s="37">
        <f t="shared" si="17"/>
        <v>3.5137854648962041</v>
      </c>
      <c r="V58" s="37">
        <f t="shared" si="17"/>
        <v>2.8631209812026785</v>
      </c>
      <c r="W58" s="37">
        <f t="shared" si="17"/>
        <v>2.2124564975091525</v>
      </c>
      <c r="X58" s="37">
        <f t="shared" si="17"/>
        <v>1.5617920138156269</v>
      </c>
      <c r="Y58" s="37">
        <f t="shared" si="17"/>
        <v>0.91112753012210124</v>
      </c>
      <c r="Z58" s="167">
        <f t="shared" si="17"/>
        <v>0.29290127908081925</v>
      </c>
    </row>
    <row r="59" spans="2:26" x14ac:dyDescent="0.25">
      <c r="B59" s="14"/>
      <c r="C59" s="15" t="s">
        <v>85</v>
      </c>
      <c r="D59" s="15"/>
      <c r="E59" s="150"/>
      <c r="F59" s="168">
        <f t="shared" ref="F59:Z59" si="18">F58*$G12</f>
        <v>0</v>
      </c>
      <c r="G59" s="36">
        <f t="shared" si="18"/>
        <v>0</v>
      </c>
      <c r="H59" s="36">
        <f t="shared" si="18"/>
        <v>0</v>
      </c>
      <c r="I59" s="36">
        <f t="shared" si="18"/>
        <v>0</v>
      </c>
      <c r="J59" s="36">
        <f t="shared" si="18"/>
        <v>0</v>
      </c>
      <c r="K59" s="36">
        <f t="shared" si="18"/>
        <v>0</v>
      </c>
      <c r="L59" s="36">
        <f t="shared" si="18"/>
        <v>0</v>
      </c>
      <c r="M59" s="36">
        <f t="shared" si="18"/>
        <v>0</v>
      </c>
      <c r="N59" s="36">
        <f t="shared" si="18"/>
        <v>0</v>
      </c>
      <c r="O59" s="36">
        <f t="shared" si="18"/>
        <v>0</v>
      </c>
      <c r="P59" s="36">
        <f t="shared" si="18"/>
        <v>0</v>
      </c>
      <c r="Q59" s="36">
        <f t="shared" si="18"/>
        <v>0</v>
      </c>
      <c r="R59" s="36">
        <f t="shared" si="18"/>
        <v>0</v>
      </c>
      <c r="S59" s="36">
        <f t="shared" si="18"/>
        <v>0</v>
      </c>
      <c r="T59" s="36">
        <f t="shared" si="18"/>
        <v>0</v>
      </c>
      <c r="U59" s="36">
        <f t="shared" si="18"/>
        <v>0</v>
      </c>
      <c r="V59" s="36">
        <f t="shared" si="18"/>
        <v>0</v>
      </c>
      <c r="W59" s="36">
        <f t="shared" si="18"/>
        <v>0</v>
      </c>
      <c r="X59" s="36">
        <f t="shared" si="18"/>
        <v>0</v>
      </c>
      <c r="Y59" s="36">
        <f t="shared" si="18"/>
        <v>0</v>
      </c>
      <c r="Z59" s="169">
        <f t="shared" si="18"/>
        <v>0</v>
      </c>
    </row>
    <row r="60" spans="2:26" x14ac:dyDescent="0.25">
      <c r="B60" s="14"/>
      <c r="C60" s="15" t="s">
        <v>86</v>
      </c>
      <c r="D60" s="15"/>
      <c r="E60" s="150"/>
      <c r="F60" s="166">
        <f>F58-F59</f>
        <v>13.532415274706713</v>
      </c>
      <c r="G60" s="37">
        <f>G58-G59</f>
        <v>12.852002416290421</v>
      </c>
      <c r="H60" s="37">
        <f>H58-H59</f>
        <v>12.129031643498013</v>
      </c>
      <c r="I60" s="37">
        <f t="shared" ref="I60:Z60" si="19">I58-I59</f>
        <v>11.421211313746234</v>
      </c>
      <c r="J60" s="37">
        <f t="shared" si="19"/>
        <v>10.727407324772917</v>
      </c>
      <c r="K60" s="37">
        <f t="shared" si="19"/>
        <v>10.046572812951466</v>
      </c>
      <c r="L60" s="37">
        <f t="shared" si="19"/>
        <v>9.3777336135182221</v>
      </c>
      <c r="M60" s="37">
        <f t="shared" si="19"/>
        <v>8.7199882605725048</v>
      </c>
      <c r="N60" s="37">
        <f t="shared" si="19"/>
        <v>8.0684368507508832</v>
      </c>
      <c r="O60" s="37">
        <f t="shared" si="19"/>
        <v>7.4177723670573572</v>
      </c>
      <c r="P60" s="37">
        <f t="shared" si="19"/>
        <v>6.7671078833638321</v>
      </c>
      <c r="Q60" s="37">
        <f t="shared" si="19"/>
        <v>6.1164433996703069</v>
      </c>
      <c r="R60" s="37">
        <f t="shared" si="19"/>
        <v>5.4657789159767809</v>
      </c>
      <c r="S60" s="37">
        <f t="shared" si="19"/>
        <v>4.8151144322832549</v>
      </c>
      <c r="T60" s="37">
        <f t="shared" si="19"/>
        <v>4.1644499485897297</v>
      </c>
      <c r="U60" s="37">
        <f t="shared" si="19"/>
        <v>3.5137854648962041</v>
      </c>
      <c r="V60" s="37">
        <f t="shared" si="19"/>
        <v>2.8631209812026785</v>
      </c>
      <c r="W60" s="37">
        <f t="shared" si="19"/>
        <v>2.2124564975091525</v>
      </c>
      <c r="X60" s="37">
        <f t="shared" si="19"/>
        <v>1.5617920138156269</v>
      </c>
      <c r="Y60" s="37">
        <f t="shared" si="19"/>
        <v>0.91112753012210124</v>
      </c>
      <c r="Z60" s="167">
        <f t="shared" si="19"/>
        <v>0.29290127908081925</v>
      </c>
    </row>
    <row r="61" spans="2:26" x14ac:dyDescent="0.25">
      <c r="B61" s="14"/>
      <c r="C61" s="15" t="s">
        <v>87</v>
      </c>
      <c r="D61" s="15"/>
      <c r="E61" s="150"/>
      <c r="F61" s="168">
        <f t="shared" ref="F61:Z61" si="20">F60*$G13</f>
        <v>2.8418072076884098</v>
      </c>
      <c r="G61" s="36">
        <f t="shared" si="20"/>
        <v>2.6989205074209885</v>
      </c>
      <c r="H61" s="36">
        <f t="shared" si="20"/>
        <v>2.5470966451345829</v>
      </c>
      <c r="I61" s="36">
        <f t="shared" si="20"/>
        <v>2.398454375886709</v>
      </c>
      <c r="J61" s="36">
        <f t="shared" si="20"/>
        <v>2.2527555382023126</v>
      </c>
      <c r="K61" s="36">
        <f t="shared" si="20"/>
        <v>2.1097802907198075</v>
      </c>
      <c r="L61" s="36">
        <f t="shared" si="20"/>
        <v>1.9693240588388266</v>
      </c>
      <c r="M61" s="36">
        <f t="shared" si="20"/>
        <v>1.8311975347202258</v>
      </c>
      <c r="N61" s="36">
        <f t="shared" si="20"/>
        <v>1.6943717386576853</v>
      </c>
      <c r="O61" s="36">
        <f t="shared" si="20"/>
        <v>1.557732197082045</v>
      </c>
      <c r="P61" s="36">
        <f t="shared" si="20"/>
        <v>1.4210926555064047</v>
      </c>
      <c r="Q61" s="36">
        <f t="shared" si="20"/>
        <v>1.2844531139307644</v>
      </c>
      <c r="R61" s="36">
        <f t="shared" si="20"/>
        <v>1.1478135723551239</v>
      </c>
      <c r="S61" s="36">
        <f t="shared" si="20"/>
        <v>1.0111740307794834</v>
      </c>
      <c r="T61" s="36">
        <f t="shared" si="20"/>
        <v>0.87453448920384325</v>
      </c>
      <c r="U61" s="36">
        <f t="shared" si="20"/>
        <v>0.73789494762820285</v>
      </c>
      <c r="V61" s="36">
        <f t="shared" si="20"/>
        <v>0.60125540605256245</v>
      </c>
      <c r="W61" s="36">
        <f t="shared" si="20"/>
        <v>0.46461586447692199</v>
      </c>
      <c r="X61" s="36">
        <f t="shared" si="20"/>
        <v>0.32797632290128165</v>
      </c>
      <c r="Y61" s="36">
        <f t="shared" si="20"/>
        <v>0.19133678132564125</v>
      </c>
      <c r="Z61" s="169">
        <f t="shared" si="20"/>
        <v>6.1509268606972041E-2</v>
      </c>
    </row>
    <row r="62" spans="2:26" x14ac:dyDescent="0.25">
      <c r="B62" s="14"/>
      <c r="C62" s="15" t="s">
        <v>88</v>
      </c>
      <c r="D62" s="15"/>
      <c r="E62" s="150"/>
      <c r="F62" s="166">
        <f>F58-F59-F61</f>
        <v>10.690608067018303</v>
      </c>
      <c r="G62" s="37">
        <f>G58-G59-G61</f>
        <v>10.153081908869433</v>
      </c>
      <c r="H62" s="37">
        <f>H58-H59-H61</f>
        <v>9.5819349983634297</v>
      </c>
      <c r="I62" s="37">
        <f t="shared" ref="I62:Z62" si="21">I58-I59-I61</f>
        <v>9.0227569378595245</v>
      </c>
      <c r="J62" s="37">
        <f t="shared" si="21"/>
        <v>8.4746517865706039</v>
      </c>
      <c r="K62" s="37">
        <f t="shared" si="21"/>
        <v>7.9367925222316575</v>
      </c>
      <c r="L62" s="37">
        <f t="shared" si="21"/>
        <v>7.4084095546793955</v>
      </c>
      <c r="M62" s="37">
        <f t="shared" si="21"/>
        <v>6.8887907258522789</v>
      </c>
      <c r="N62" s="37">
        <f t="shared" si="21"/>
        <v>6.3740651120931977</v>
      </c>
      <c r="O62" s="37">
        <f t="shared" si="21"/>
        <v>5.8600401699753117</v>
      </c>
      <c r="P62" s="37">
        <f t="shared" si="21"/>
        <v>5.3460152278574276</v>
      </c>
      <c r="Q62" s="37">
        <f t="shared" si="21"/>
        <v>4.8319902857395425</v>
      </c>
      <c r="R62" s="37">
        <f t="shared" si="21"/>
        <v>4.3179653436216565</v>
      </c>
      <c r="S62" s="37">
        <f t="shared" si="21"/>
        <v>3.8039404015037714</v>
      </c>
      <c r="T62" s="37">
        <f t="shared" si="21"/>
        <v>3.2899154593858864</v>
      </c>
      <c r="U62" s="37">
        <f t="shared" si="21"/>
        <v>2.7758905172680013</v>
      </c>
      <c r="V62" s="37">
        <f t="shared" si="21"/>
        <v>2.2618655751501162</v>
      </c>
      <c r="W62" s="37">
        <f t="shared" si="21"/>
        <v>1.7478406330322305</v>
      </c>
      <c r="X62" s="37">
        <f t="shared" si="21"/>
        <v>1.2338156909143452</v>
      </c>
      <c r="Y62" s="37">
        <f t="shared" si="21"/>
        <v>0.71979074879645999</v>
      </c>
      <c r="Z62" s="167">
        <f t="shared" si="21"/>
        <v>0.23139201047384722</v>
      </c>
    </row>
    <row r="63" spans="2:26" x14ac:dyDescent="0.25">
      <c r="B63" s="14"/>
      <c r="C63" s="15"/>
      <c r="D63" s="15"/>
      <c r="E63" s="21"/>
      <c r="F63" s="175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1"/>
    </row>
    <row r="64" spans="2:26" x14ac:dyDescent="0.25">
      <c r="B64" s="14" t="s">
        <v>89</v>
      </c>
      <c r="C64" s="15"/>
      <c r="D64" s="15"/>
      <c r="E64" s="150"/>
      <c r="F64" s="181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2"/>
      <c r="V64" s="182"/>
      <c r="W64" s="182"/>
      <c r="X64" s="182"/>
      <c r="Y64" s="182"/>
      <c r="Z64" s="183"/>
    </row>
    <row r="65" spans="2:27" x14ac:dyDescent="0.25">
      <c r="B65" s="14"/>
      <c r="C65" s="15" t="s">
        <v>90</v>
      </c>
      <c r="D65" s="15"/>
      <c r="E65" s="150"/>
      <c r="F65" s="166">
        <f t="shared" ref="F65:Z65" si="22">F26</f>
        <v>11.290119047619049</v>
      </c>
      <c r="G65" s="37">
        <f t="shared" si="22"/>
        <v>11.290119047619049</v>
      </c>
      <c r="H65" s="37">
        <f t="shared" si="22"/>
        <v>11.290119047619049</v>
      </c>
      <c r="I65" s="37">
        <f t="shared" si="22"/>
        <v>11.290119047619049</v>
      </c>
      <c r="J65" s="37">
        <f t="shared" si="22"/>
        <v>11.290119047619049</v>
      </c>
      <c r="K65" s="37">
        <f t="shared" si="22"/>
        <v>11.290119047619049</v>
      </c>
      <c r="L65" s="37">
        <f t="shared" si="22"/>
        <v>11.290119047619049</v>
      </c>
      <c r="M65" s="37">
        <f t="shared" si="22"/>
        <v>11.290119047619049</v>
      </c>
      <c r="N65" s="37">
        <f t="shared" si="22"/>
        <v>11.290119047619049</v>
      </c>
      <c r="O65" s="37">
        <f t="shared" si="22"/>
        <v>11.290119047619049</v>
      </c>
      <c r="P65" s="37">
        <f t="shared" si="22"/>
        <v>11.290119047619049</v>
      </c>
      <c r="Q65" s="37">
        <f t="shared" si="22"/>
        <v>11.290119047619049</v>
      </c>
      <c r="R65" s="37">
        <f t="shared" si="22"/>
        <v>11.290119047619049</v>
      </c>
      <c r="S65" s="37">
        <f t="shared" si="22"/>
        <v>11.290119047619049</v>
      </c>
      <c r="T65" s="37">
        <f t="shared" si="22"/>
        <v>11.290119047619049</v>
      </c>
      <c r="U65" s="37">
        <f t="shared" si="22"/>
        <v>11.290119047619049</v>
      </c>
      <c r="V65" s="37">
        <f t="shared" si="22"/>
        <v>11.290119047619049</v>
      </c>
      <c r="W65" s="37">
        <f t="shared" si="22"/>
        <v>11.290119047619049</v>
      </c>
      <c r="X65" s="37">
        <f t="shared" si="22"/>
        <v>11.290119047619049</v>
      </c>
      <c r="Y65" s="37">
        <f t="shared" si="22"/>
        <v>11.290119047619049</v>
      </c>
      <c r="Z65" s="167">
        <f t="shared" si="22"/>
        <v>11.290119047619049</v>
      </c>
    </row>
    <row r="66" spans="2:27" x14ac:dyDescent="0.25">
      <c r="B66" s="14"/>
      <c r="C66" s="15" t="s">
        <v>91</v>
      </c>
      <c r="D66" s="15"/>
      <c r="E66" s="150"/>
      <c r="F66" s="166">
        <f t="shared" ref="F66:Z66" si="23">$G21*F71</f>
        <v>8.8909687500000008</v>
      </c>
      <c r="G66" s="37">
        <f t="shared" si="23"/>
        <v>17.115707575000002</v>
      </c>
      <c r="H66" s="37">
        <f t="shared" si="23"/>
        <v>15.830666225000002</v>
      </c>
      <c r="I66" s="37">
        <f t="shared" si="23"/>
        <v>14.645203725000002</v>
      </c>
      <c r="J66" s="37">
        <f t="shared" si="23"/>
        <v>13.545094525000001</v>
      </c>
      <c r="K66" s="37">
        <f t="shared" si="23"/>
        <v>12.530338625000002</v>
      </c>
      <c r="L66" s="37">
        <f t="shared" si="23"/>
        <v>11.589081400000001</v>
      </c>
      <c r="M66" s="37">
        <f t="shared" si="23"/>
        <v>10.721322850000002</v>
      </c>
      <c r="N66" s="37">
        <f t="shared" si="23"/>
        <v>10.579067350000001</v>
      </c>
      <c r="O66" s="37">
        <f t="shared" si="23"/>
        <v>10.576696425</v>
      </c>
      <c r="P66" s="37">
        <f t="shared" si="23"/>
        <v>10.579067350000001</v>
      </c>
      <c r="Q66" s="37">
        <f t="shared" si="23"/>
        <v>10.576696425</v>
      </c>
      <c r="R66" s="37">
        <f t="shared" si="23"/>
        <v>10.579067350000001</v>
      </c>
      <c r="S66" s="37">
        <f t="shared" si="23"/>
        <v>10.576696425</v>
      </c>
      <c r="T66" s="37">
        <f t="shared" si="23"/>
        <v>10.579067350000001</v>
      </c>
      <c r="U66" s="37">
        <f t="shared" si="23"/>
        <v>10.576696425</v>
      </c>
      <c r="V66" s="37">
        <f t="shared" si="23"/>
        <v>10.579067350000001</v>
      </c>
      <c r="W66" s="37">
        <f t="shared" si="23"/>
        <v>10.576696425</v>
      </c>
      <c r="X66" s="37">
        <f t="shared" si="23"/>
        <v>10.579067350000001</v>
      </c>
      <c r="Y66" s="37">
        <f t="shared" si="23"/>
        <v>10.576696425</v>
      </c>
      <c r="Z66" s="167">
        <f t="shared" si="23"/>
        <v>5.2895336750000004</v>
      </c>
    </row>
    <row r="67" spans="2:27" x14ac:dyDescent="0.25">
      <c r="B67" s="14"/>
      <c r="C67" s="15" t="s">
        <v>92</v>
      </c>
      <c r="D67" s="15"/>
      <c r="E67" s="21"/>
      <c r="F67" s="166">
        <f>F66-F65</f>
        <v>-2.3991502976190482</v>
      </c>
      <c r="G67" s="37">
        <f>G66-G65</f>
        <v>5.8255885273809529</v>
      </c>
      <c r="H67" s="37">
        <f>H66-H65</f>
        <v>4.5405471773809527</v>
      </c>
      <c r="I67" s="37">
        <f t="shared" ref="I67:Z67" si="24">I66-I65</f>
        <v>3.3550846773809528</v>
      </c>
      <c r="J67" s="37">
        <f t="shared" si="24"/>
        <v>2.2549754773809525</v>
      </c>
      <c r="K67" s="37">
        <f t="shared" si="24"/>
        <v>1.2402195773809535</v>
      </c>
      <c r="L67" s="37">
        <f t="shared" si="24"/>
        <v>0.29896235238095237</v>
      </c>
      <c r="M67" s="37">
        <f t="shared" si="24"/>
        <v>-0.56879619761904721</v>
      </c>
      <c r="N67" s="37">
        <f t="shared" si="24"/>
        <v>-0.71105169761904818</v>
      </c>
      <c r="O67" s="37">
        <f t="shared" si="24"/>
        <v>-0.71342262261904921</v>
      </c>
      <c r="P67" s="37">
        <f t="shared" si="24"/>
        <v>-0.71105169761904818</v>
      </c>
      <c r="Q67" s="37">
        <f t="shared" si="24"/>
        <v>-0.71342262261904921</v>
      </c>
      <c r="R67" s="37">
        <f t="shared" si="24"/>
        <v>-0.71105169761904818</v>
      </c>
      <c r="S67" s="37">
        <f t="shared" si="24"/>
        <v>-0.71342262261904921</v>
      </c>
      <c r="T67" s="37">
        <f t="shared" si="24"/>
        <v>-0.71105169761904818</v>
      </c>
      <c r="U67" s="37">
        <f t="shared" si="24"/>
        <v>-0.71342262261904921</v>
      </c>
      <c r="V67" s="37">
        <f t="shared" si="24"/>
        <v>-0.71105169761904818</v>
      </c>
      <c r="W67" s="37">
        <f t="shared" si="24"/>
        <v>-0.71342262261904921</v>
      </c>
      <c r="X67" s="37">
        <f t="shared" si="24"/>
        <v>-0.71105169761904818</v>
      </c>
      <c r="Y67" s="37">
        <f t="shared" si="24"/>
        <v>-0.71342262261904921</v>
      </c>
      <c r="Z67" s="167">
        <f t="shared" si="24"/>
        <v>-6.0005853726190486</v>
      </c>
    </row>
    <row r="68" spans="2:27" x14ac:dyDescent="0.25">
      <c r="B68" s="14"/>
      <c r="C68" s="15" t="s">
        <v>93</v>
      </c>
      <c r="D68" s="15"/>
      <c r="E68" s="150"/>
      <c r="F68" s="166">
        <f t="shared" ref="F68:Z68" si="25">F67*$F$83</f>
        <v>-0.5038215625000001</v>
      </c>
      <c r="G68" s="37">
        <f t="shared" si="25"/>
        <v>1.2233735907500001</v>
      </c>
      <c r="H68" s="37">
        <f t="shared" si="25"/>
        <v>0.95351490724999999</v>
      </c>
      <c r="I68" s="37">
        <f t="shared" si="25"/>
        <v>0.70456778225000005</v>
      </c>
      <c r="J68" s="37">
        <f t="shared" si="25"/>
        <v>0.47354485024999998</v>
      </c>
      <c r="K68" s="37">
        <f t="shared" si="25"/>
        <v>0.26044611125000022</v>
      </c>
      <c r="L68" s="37">
        <f t="shared" si="25"/>
        <v>6.2782093999999997E-2</v>
      </c>
      <c r="M68" s="37">
        <f t="shared" si="25"/>
        <v>-0.11944720149999991</v>
      </c>
      <c r="N68" s="37">
        <f t="shared" si="25"/>
        <v>-0.14932085650000013</v>
      </c>
      <c r="O68" s="37">
        <f t="shared" si="25"/>
        <v>-0.14981875075000034</v>
      </c>
      <c r="P68" s="37">
        <f t="shared" si="25"/>
        <v>-0.14932085650000013</v>
      </c>
      <c r="Q68" s="37">
        <f t="shared" si="25"/>
        <v>-0.14981875075000034</v>
      </c>
      <c r="R68" s="37">
        <f t="shared" si="25"/>
        <v>-0.14932085650000013</v>
      </c>
      <c r="S68" s="37">
        <f t="shared" si="25"/>
        <v>-0.14981875075000034</v>
      </c>
      <c r="T68" s="37">
        <f t="shared" si="25"/>
        <v>-0.14932085650000013</v>
      </c>
      <c r="U68" s="37">
        <f t="shared" si="25"/>
        <v>-0.14981875075000034</v>
      </c>
      <c r="V68" s="37">
        <f t="shared" si="25"/>
        <v>-0.14932085650000013</v>
      </c>
      <c r="W68" s="37">
        <f t="shared" si="25"/>
        <v>-0.14981875075000034</v>
      </c>
      <c r="X68" s="37">
        <f t="shared" si="25"/>
        <v>-0.14932085650000013</v>
      </c>
      <c r="Y68" s="37">
        <f t="shared" si="25"/>
        <v>-0.14981875075000034</v>
      </c>
      <c r="Z68" s="167">
        <f t="shared" si="25"/>
        <v>-1.2601229282500002</v>
      </c>
      <c r="AA68" s="42">
        <f>SUM(F68:Z68)</f>
        <v>-1.7763568394002505E-15</v>
      </c>
    </row>
    <row r="69" spans="2:27" x14ac:dyDescent="0.25">
      <c r="B69" s="14"/>
      <c r="C69" s="15"/>
      <c r="D69" s="15"/>
      <c r="E69" s="150"/>
      <c r="F69" s="166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167"/>
    </row>
    <row r="70" spans="2:27" x14ac:dyDescent="0.25">
      <c r="B70" s="14"/>
      <c r="C70" s="15"/>
      <c r="D70" s="15"/>
      <c r="E70" s="21"/>
      <c r="F70" s="181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2"/>
      <c r="V70" s="182"/>
      <c r="W70" s="182"/>
      <c r="X70" s="182"/>
      <c r="Y70" s="182"/>
      <c r="Z70" s="183"/>
    </row>
    <row r="71" spans="2:27" s="43" customFormat="1" ht="12.75" x14ac:dyDescent="0.25">
      <c r="B71" s="14"/>
      <c r="C71" s="15" t="str">
        <f t="shared" ref="C71" si="26">IF($G$19=1,C81,C79)</f>
        <v>MACRS Depreciation - 20</v>
      </c>
      <c r="D71" s="15"/>
      <c r="E71" s="156"/>
      <c r="F71" s="184">
        <f t="shared" ref="F71:Z71" si="27">IF($G$19=1,F81,F79)</f>
        <v>3.7499999999999999E-2</v>
      </c>
      <c r="G71" s="185">
        <f t="shared" si="27"/>
        <v>7.2190000000000004E-2</v>
      </c>
      <c r="H71" s="185">
        <f t="shared" si="27"/>
        <v>6.6769999999999996E-2</v>
      </c>
      <c r="I71" s="185">
        <f t="shared" si="27"/>
        <v>6.1769999999999999E-2</v>
      </c>
      <c r="J71" s="185">
        <f t="shared" si="27"/>
        <v>5.713E-2</v>
      </c>
      <c r="K71" s="185">
        <f t="shared" si="27"/>
        <v>5.2850000000000001E-2</v>
      </c>
      <c r="L71" s="185">
        <f t="shared" si="27"/>
        <v>4.888E-2</v>
      </c>
      <c r="M71" s="185">
        <f t="shared" si="27"/>
        <v>4.5220000000000003E-2</v>
      </c>
      <c r="N71" s="185">
        <f t="shared" si="27"/>
        <v>4.462E-2</v>
      </c>
      <c r="O71" s="185">
        <f t="shared" si="27"/>
        <v>4.4609999999999997E-2</v>
      </c>
      <c r="P71" s="185">
        <f t="shared" si="27"/>
        <v>4.462E-2</v>
      </c>
      <c r="Q71" s="185">
        <f t="shared" si="27"/>
        <v>4.4609999999999997E-2</v>
      </c>
      <c r="R71" s="185">
        <f t="shared" si="27"/>
        <v>4.462E-2</v>
      </c>
      <c r="S71" s="185">
        <f t="shared" si="27"/>
        <v>4.4609999999999997E-2</v>
      </c>
      <c r="T71" s="185">
        <f t="shared" si="27"/>
        <v>4.462E-2</v>
      </c>
      <c r="U71" s="185">
        <f t="shared" si="27"/>
        <v>4.4609999999999997E-2</v>
      </c>
      <c r="V71" s="185">
        <f t="shared" si="27"/>
        <v>4.462E-2</v>
      </c>
      <c r="W71" s="185">
        <f t="shared" si="27"/>
        <v>4.4609999999999997E-2</v>
      </c>
      <c r="X71" s="185">
        <f t="shared" si="27"/>
        <v>4.462E-2</v>
      </c>
      <c r="Y71" s="185">
        <f t="shared" si="27"/>
        <v>4.4609999999999997E-2</v>
      </c>
      <c r="Z71" s="186">
        <f t="shared" si="27"/>
        <v>2.231E-2</v>
      </c>
    </row>
    <row r="72" spans="2:27" x14ac:dyDescent="0.25">
      <c r="B72" s="14"/>
      <c r="C72" s="15"/>
      <c r="D72" s="15"/>
      <c r="E72" s="21"/>
      <c r="F72" s="181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2"/>
      <c r="V72" s="182"/>
      <c r="W72" s="182"/>
      <c r="X72" s="182"/>
      <c r="Y72" s="182"/>
      <c r="Z72" s="183"/>
    </row>
    <row r="73" spans="2:27" x14ac:dyDescent="0.25">
      <c r="B73" s="14"/>
      <c r="C73" s="15"/>
      <c r="D73" s="15"/>
      <c r="E73" s="21"/>
      <c r="F73" s="181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2"/>
      <c r="V73" s="182"/>
      <c r="W73" s="182"/>
      <c r="X73" s="182"/>
      <c r="Y73" s="182"/>
      <c r="Z73" s="183"/>
    </row>
    <row r="74" spans="2:27" x14ac:dyDescent="0.25">
      <c r="B74" s="14"/>
      <c r="C74" s="15" t="s">
        <v>95</v>
      </c>
      <c r="D74" s="15"/>
      <c r="E74" s="21"/>
      <c r="F74" s="187">
        <f>+F55+F68</f>
        <v>231.19552969494049</v>
      </c>
      <c r="G74" s="182">
        <f t="shared" ref="G74:Z74" si="28">+F74-G26</f>
        <v>219.90541064732145</v>
      </c>
      <c r="H74" s="182">
        <f t="shared" si="28"/>
        <v>208.6152915997024</v>
      </c>
      <c r="I74" s="182">
        <f t="shared" si="28"/>
        <v>197.32517255208336</v>
      </c>
      <c r="J74" s="182">
        <f t="shared" si="28"/>
        <v>186.03505350446432</v>
      </c>
      <c r="K74" s="182">
        <f t="shared" si="28"/>
        <v>174.74493445684527</v>
      </c>
      <c r="L74" s="182">
        <f t="shared" si="28"/>
        <v>163.45481540922623</v>
      </c>
      <c r="M74" s="182">
        <f t="shared" si="28"/>
        <v>152.16469636160718</v>
      </c>
      <c r="N74" s="182">
        <f t="shared" si="28"/>
        <v>140.87457731398814</v>
      </c>
      <c r="O74" s="182">
        <f t="shared" si="28"/>
        <v>129.5844582663691</v>
      </c>
      <c r="P74" s="182">
        <f t="shared" si="28"/>
        <v>118.29433921875005</v>
      </c>
      <c r="Q74" s="182">
        <f t="shared" si="28"/>
        <v>107.00422017113101</v>
      </c>
      <c r="R74" s="182">
        <f t="shared" si="28"/>
        <v>95.714101123511966</v>
      </c>
      <c r="S74" s="182">
        <f t="shared" si="28"/>
        <v>84.423982075892923</v>
      </c>
      <c r="T74" s="182">
        <f t="shared" si="28"/>
        <v>73.133863028273879</v>
      </c>
      <c r="U74" s="182">
        <f t="shared" si="28"/>
        <v>61.843743980654828</v>
      </c>
      <c r="V74" s="182">
        <f t="shared" si="28"/>
        <v>50.553624933035778</v>
      </c>
      <c r="W74" s="182">
        <f t="shared" si="28"/>
        <v>39.263505885416727</v>
      </c>
      <c r="X74" s="182">
        <f t="shared" si="28"/>
        <v>27.973386837797676</v>
      </c>
      <c r="Y74" s="182">
        <f t="shared" si="28"/>
        <v>16.683267790178625</v>
      </c>
      <c r="Z74" s="183">
        <f t="shared" si="28"/>
        <v>5.3931487425595765</v>
      </c>
    </row>
    <row r="75" spans="2:27" x14ac:dyDescent="0.25">
      <c r="B75" s="14"/>
      <c r="C75" s="15"/>
      <c r="D75" s="15"/>
      <c r="E75" s="21"/>
      <c r="F75" s="175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1"/>
    </row>
    <row r="76" spans="2:27" x14ac:dyDescent="0.25">
      <c r="B76" s="14"/>
      <c r="C76" s="15" t="s">
        <v>96</v>
      </c>
      <c r="D76" s="15"/>
      <c r="E76" s="150"/>
      <c r="F76" s="166">
        <f t="shared" ref="F76:Z76" si="29">F37+F38-F62</f>
        <v>0</v>
      </c>
      <c r="G76" s="37">
        <f t="shared" si="29"/>
        <v>0</v>
      </c>
      <c r="H76" s="37">
        <f t="shared" si="29"/>
        <v>0</v>
      </c>
      <c r="I76" s="37">
        <f t="shared" si="29"/>
        <v>0</v>
      </c>
      <c r="J76" s="37">
        <f t="shared" si="29"/>
        <v>0</v>
      </c>
      <c r="K76" s="37">
        <f t="shared" si="29"/>
        <v>0</v>
      </c>
      <c r="L76" s="37">
        <f t="shared" si="29"/>
        <v>0</v>
      </c>
      <c r="M76" s="37">
        <f t="shared" si="29"/>
        <v>0</v>
      </c>
      <c r="N76" s="37">
        <f t="shared" si="29"/>
        <v>0</v>
      </c>
      <c r="O76" s="37">
        <f t="shared" si="29"/>
        <v>0</v>
      </c>
      <c r="P76" s="37">
        <f t="shared" si="29"/>
        <v>0</v>
      </c>
      <c r="Q76" s="37">
        <f t="shared" si="29"/>
        <v>0</v>
      </c>
      <c r="R76" s="37">
        <f t="shared" si="29"/>
        <v>0</v>
      </c>
      <c r="S76" s="37">
        <f t="shared" si="29"/>
        <v>0</v>
      </c>
      <c r="T76" s="37">
        <f t="shared" si="29"/>
        <v>0</v>
      </c>
      <c r="U76" s="37">
        <f t="shared" si="29"/>
        <v>0</v>
      </c>
      <c r="V76" s="37">
        <f t="shared" si="29"/>
        <v>0</v>
      </c>
      <c r="W76" s="37">
        <f t="shared" si="29"/>
        <v>0</v>
      </c>
      <c r="X76" s="37">
        <f t="shared" si="29"/>
        <v>0</v>
      </c>
      <c r="Y76" s="37">
        <f t="shared" si="29"/>
        <v>0</v>
      </c>
      <c r="Z76" s="167">
        <f t="shared" si="29"/>
        <v>0</v>
      </c>
    </row>
    <row r="77" spans="2:27" x14ac:dyDescent="0.25">
      <c r="B77" s="14"/>
      <c r="C77" s="15"/>
      <c r="D77" s="15"/>
      <c r="E77" s="21"/>
      <c r="F77" s="175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1"/>
    </row>
    <row r="78" spans="2:27" x14ac:dyDescent="0.25">
      <c r="B78" s="14"/>
      <c r="C78" s="15"/>
      <c r="D78" s="15"/>
      <c r="E78" s="21"/>
      <c r="F78" s="175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1"/>
    </row>
    <row r="79" spans="2:27" x14ac:dyDescent="0.25">
      <c r="B79" s="14"/>
      <c r="C79" s="15" t="s">
        <v>178</v>
      </c>
      <c r="D79" s="15"/>
      <c r="E79" s="21"/>
      <c r="F79" s="184">
        <v>3.7499999999999999E-2</v>
      </c>
      <c r="G79" s="185">
        <v>7.2190000000000004E-2</v>
      </c>
      <c r="H79" s="185">
        <v>6.6769999999999996E-2</v>
      </c>
      <c r="I79" s="185">
        <v>6.1769999999999999E-2</v>
      </c>
      <c r="J79" s="185">
        <v>5.713E-2</v>
      </c>
      <c r="K79" s="185">
        <v>5.2850000000000001E-2</v>
      </c>
      <c r="L79" s="185">
        <v>4.888E-2</v>
      </c>
      <c r="M79" s="185">
        <v>4.5220000000000003E-2</v>
      </c>
      <c r="N79" s="185">
        <v>4.462E-2</v>
      </c>
      <c r="O79" s="185">
        <v>4.4609999999999997E-2</v>
      </c>
      <c r="P79" s="185">
        <v>4.462E-2</v>
      </c>
      <c r="Q79" s="185">
        <v>4.4609999999999997E-2</v>
      </c>
      <c r="R79" s="185">
        <v>4.462E-2</v>
      </c>
      <c r="S79" s="185">
        <v>4.4609999999999997E-2</v>
      </c>
      <c r="T79" s="185">
        <v>4.462E-2</v>
      </c>
      <c r="U79" s="185">
        <v>4.4609999999999997E-2</v>
      </c>
      <c r="V79" s="185">
        <v>4.462E-2</v>
      </c>
      <c r="W79" s="185">
        <v>4.4609999999999997E-2</v>
      </c>
      <c r="X79" s="185">
        <v>4.462E-2</v>
      </c>
      <c r="Y79" s="185">
        <v>4.4609999999999997E-2</v>
      </c>
      <c r="Z79" s="186">
        <v>2.231E-2</v>
      </c>
    </row>
    <row r="80" spans="2:27" x14ac:dyDescent="0.25">
      <c r="B80" s="14"/>
      <c r="C80" s="15"/>
      <c r="D80" s="15"/>
      <c r="E80" s="21"/>
      <c r="F80" s="175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1"/>
    </row>
    <row r="81" spans="2:26" x14ac:dyDescent="0.25">
      <c r="B81" s="14"/>
      <c r="C81" s="15"/>
      <c r="D81" s="15"/>
      <c r="E81" s="21"/>
      <c r="F81" s="176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0"/>
      <c r="W81" s="20"/>
      <c r="X81" s="20"/>
      <c r="Y81" s="20"/>
      <c r="Z81" s="21">
        <v>0</v>
      </c>
    </row>
    <row r="82" spans="2:26" x14ac:dyDescent="0.25">
      <c r="B82" s="14"/>
      <c r="C82" s="15"/>
      <c r="D82" s="15"/>
      <c r="E82" s="21"/>
      <c r="F82" s="175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1"/>
    </row>
    <row r="83" spans="2:26" x14ac:dyDescent="0.25">
      <c r="B83" s="14"/>
      <c r="C83" s="15"/>
      <c r="D83" s="15"/>
      <c r="E83" s="21"/>
      <c r="F83" s="188">
        <f>(1-G13)*G12+G13</f>
        <v>0.21</v>
      </c>
      <c r="G83" s="192" t="s">
        <v>212</v>
      </c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1"/>
    </row>
    <row r="84" spans="2:26" x14ac:dyDescent="0.25">
      <c r="B84" s="14"/>
      <c r="C84" s="15"/>
      <c r="D84" s="15"/>
      <c r="E84" s="21"/>
      <c r="F84" s="191">
        <f>1-F83</f>
        <v>0.79</v>
      </c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1"/>
    </row>
    <row r="85" spans="2:26" ht="15.75" thickBot="1" x14ac:dyDescent="0.3">
      <c r="B85" s="31"/>
      <c r="C85" s="32"/>
      <c r="D85" s="32"/>
      <c r="E85" s="157"/>
      <c r="F85" s="189"/>
      <c r="G85" s="190"/>
      <c r="H85" s="190"/>
      <c r="I85" s="190"/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190"/>
      <c r="U85" s="190"/>
      <c r="V85" s="190"/>
      <c r="W85" s="190"/>
      <c r="X85" s="190"/>
      <c r="Y85" s="190"/>
      <c r="Z85" s="157"/>
    </row>
  </sheetData>
  <mergeCells count="1">
    <mergeCell ref="F1:G1"/>
  </mergeCells>
  <printOptions horizontalCentered="1"/>
  <pageMargins left="0.7" right="0.7" top="0.75" bottom="0.75" header="0.3" footer="0.3"/>
  <pageSetup orientation="portrait" r:id="rId1"/>
  <headerFooter>
    <oddHeader>&amp;RExh. RJW-1T Wyman WP3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79998168889431442"/>
  </sheetPr>
  <dimension ref="A1:V85"/>
  <sheetViews>
    <sheetView zoomScaleNormal="100" workbookViewId="0">
      <selection activeCell="L8" sqref="L8"/>
    </sheetView>
  </sheetViews>
  <sheetFormatPr defaultColWidth="10.28515625" defaultRowHeight="15" x14ac:dyDescent="0.25"/>
  <cols>
    <col min="1" max="1" width="2.140625" style="10" customWidth="1"/>
    <col min="2" max="3" width="5.7109375" style="8" customWidth="1"/>
    <col min="4" max="4" width="28.42578125" style="8" customWidth="1"/>
    <col min="5" max="21" width="13.7109375" style="10" customWidth="1"/>
    <col min="22" max="16384" width="10.28515625" style="10"/>
  </cols>
  <sheetData>
    <row r="1" spans="1:14" x14ac:dyDescent="0.2">
      <c r="A1" s="7" t="s">
        <v>28</v>
      </c>
      <c r="E1" s="9"/>
      <c r="F1" s="217"/>
      <c r="G1" s="217"/>
      <c r="J1" s="11"/>
    </row>
    <row r="2" spans="1:14" ht="15.75" thickBot="1" x14ac:dyDescent="0.3">
      <c r="A2" s="8" t="s">
        <v>29</v>
      </c>
      <c r="E2" s="9"/>
      <c r="F2" s="9"/>
      <c r="G2" s="11"/>
      <c r="H2" s="11"/>
    </row>
    <row r="3" spans="1:14" ht="15.75" thickBot="1" x14ac:dyDescent="0.3">
      <c r="A3" s="130" t="s">
        <v>211</v>
      </c>
      <c r="E3" s="9"/>
      <c r="F3" s="9"/>
      <c r="G3" s="133" t="s">
        <v>31</v>
      </c>
      <c r="H3" s="11"/>
      <c r="J3" s="131"/>
      <c r="K3" s="60"/>
      <c r="L3" s="60"/>
      <c r="M3" s="60"/>
    </row>
    <row r="4" spans="1:14" ht="36" customHeight="1" x14ac:dyDescent="0.25">
      <c r="B4" s="134" t="s">
        <v>32</v>
      </c>
      <c r="C4" s="135"/>
      <c r="D4" s="135"/>
      <c r="E4" s="136" t="s">
        <v>33</v>
      </c>
      <c r="F4" s="136" t="s">
        <v>34</v>
      </c>
      <c r="G4" s="137" t="s">
        <v>34</v>
      </c>
      <c r="H4" s="13"/>
      <c r="J4" s="131"/>
      <c r="K4" s="131"/>
      <c r="L4" s="132"/>
      <c r="M4" s="132"/>
    </row>
    <row r="5" spans="1:14" x14ac:dyDescent="0.25">
      <c r="B5" s="14"/>
      <c r="C5" s="15"/>
      <c r="D5" s="15"/>
      <c r="E5" s="18"/>
      <c r="F5" s="18"/>
      <c r="G5" s="19"/>
      <c r="H5" s="17"/>
      <c r="I5" s="62"/>
      <c r="N5" s="66"/>
    </row>
    <row r="6" spans="1:14" x14ac:dyDescent="0.25">
      <c r="B6" s="14"/>
      <c r="C6" s="15"/>
      <c r="D6" s="15"/>
      <c r="E6" s="20"/>
      <c r="F6" s="20"/>
      <c r="G6" s="21"/>
      <c r="H6" s="20"/>
      <c r="N6" s="40"/>
    </row>
    <row r="7" spans="1:14" x14ac:dyDescent="0.25">
      <c r="B7" s="14" t="s">
        <v>206</v>
      </c>
      <c r="C7" s="15"/>
      <c r="D7" s="15"/>
      <c r="E7" s="22">
        <f>'Meter COS'!E7</f>
        <v>0.5</v>
      </c>
      <c r="F7" s="22">
        <f>'Meter COS'!F7</f>
        <v>4.5969999999999997E-2</v>
      </c>
      <c r="G7" s="23">
        <f>'Meter COS'!G7</f>
        <v>2.299E-2</v>
      </c>
      <c r="H7" s="22"/>
      <c r="K7" s="64" t="s">
        <v>34</v>
      </c>
      <c r="L7" s="64" t="s">
        <v>134</v>
      </c>
      <c r="M7" s="65"/>
      <c r="N7" s="40"/>
    </row>
    <row r="8" spans="1:14" x14ac:dyDescent="0.25">
      <c r="B8" s="14" t="s">
        <v>207</v>
      </c>
      <c r="C8" s="15"/>
      <c r="D8" s="15"/>
      <c r="E8" s="22">
        <f>'Meter COS'!E8</f>
        <v>0.01</v>
      </c>
      <c r="F8" s="22">
        <f>'Meter COS'!F8</f>
        <v>7.5599999999999999E-3</v>
      </c>
      <c r="G8" s="23">
        <f>'Meter COS'!G8</f>
        <v>8.0000000000000007E-5</v>
      </c>
      <c r="H8" s="22"/>
      <c r="J8" s="210" t="s">
        <v>169</v>
      </c>
      <c r="K8" s="67">
        <f>'AAMR Cost'!C16</f>
        <v>3060.2022030728012</v>
      </c>
      <c r="L8" s="214">
        <f>-E47</f>
        <v>30.242487452102591</v>
      </c>
      <c r="M8" s="211" t="s">
        <v>214</v>
      </c>
      <c r="N8" s="40"/>
    </row>
    <row r="9" spans="1:14" ht="15.75" thickBot="1" x14ac:dyDescent="0.3">
      <c r="B9" s="14" t="s">
        <v>208</v>
      </c>
      <c r="C9" s="15"/>
      <c r="D9" s="15"/>
      <c r="E9" s="22">
        <f>'Meter COS'!E9</f>
        <v>0.49</v>
      </c>
      <c r="F9" s="22">
        <f>'Meter COS'!F9</f>
        <v>9.4E-2</v>
      </c>
      <c r="G9" s="23">
        <f>'Meter COS'!G9</f>
        <v>4.6059999999999997E-2</v>
      </c>
      <c r="H9" s="22"/>
      <c r="J9" s="210" t="s">
        <v>213</v>
      </c>
      <c r="K9" s="212" t="s">
        <v>217</v>
      </c>
      <c r="L9" s="213">
        <f>'AAMR Cost'!C13</f>
        <v>18</v>
      </c>
      <c r="M9" s="211" t="s">
        <v>215</v>
      </c>
      <c r="N9" s="40"/>
    </row>
    <row r="10" spans="1:14" ht="16.5" thickTop="1" thickBot="1" x14ac:dyDescent="0.3">
      <c r="B10" s="14"/>
      <c r="C10" s="15"/>
      <c r="D10" s="15"/>
      <c r="E10" s="207">
        <f>E7+E8+E9</f>
        <v>1</v>
      </c>
      <c r="F10" s="22"/>
      <c r="G10" s="208">
        <f>G7+G8+G9</f>
        <v>6.9129999999999997E-2</v>
      </c>
      <c r="H10" s="22"/>
      <c r="J10" s="63"/>
      <c r="K10" s="67"/>
      <c r="L10" s="215">
        <f>L8+L9</f>
        <v>48.242487452102594</v>
      </c>
      <c r="M10" s="73" t="s">
        <v>216</v>
      </c>
      <c r="N10" s="40"/>
    </row>
    <row r="11" spans="1:14" ht="15.75" thickTop="1" x14ac:dyDescent="0.25">
      <c r="B11" s="14"/>
      <c r="C11" s="15"/>
      <c r="D11" s="15"/>
      <c r="E11" s="20"/>
      <c r="F11" s="20"/>
      <c r="G11" s="21"/>
      <c r="H11" s="20"/>
      <c r="J11" s="63"/>
      <c r="K11" s="67"/>
      <c r="L11" s="73"/>
      <c r="M11" s="58"/>
      <c r="N11" s="40"/>
    </row>
    <row r="12" spans="1:14" x14ac:dyDescent="0.25">
      <c r="B12" s="14" t="s">
        <v>36</v>
      </c>
      <c r="C12" s="15"/>
      <c r="D12" s="15"/>
      <c r="E12" s="20"/>
      <c r="F12" s="20"/>
      <c r="G12" s="143">
        <v>0</v>
      </c>
      <c r="H12" s="22"/>
      <c r="J12" s="63"/>
      <c r="K12" s="67"/>
      <c r="L12" s="73"/>
      <c r="M12" s="58"/>
      <c r="N12" s="40"/>
    </row>
    <row r="13" spans="1:14" x14ac:dyDescent="0.25">
      <c r="B13" s="14" t="s">
        <v>37</v>
      </c>
      <c r="C13" s="15"/>
      <c r="D13" s="15"/>
      <c r="E13" s="20"/>
      <c r="F13" s="20"/>
      <c r="G13" s="144">
        <v>0.21</v>
      </c>
      <c r="H13" s="22"/>
      <c r="J13" s="63"/>
      <c r="K13" s="67"/>
      <c r="L13" s="73"/>
      <c r="M13" s="58"/>
      <c r="N13" s="40"/>
    </row>
    <row r="14" spans="1:14" x14ac:dyDescent="0.25">
      <c r="B14" s="14" t="s">
        <v>38</v>
      </c>
      <c r="C14" s="15"/>
      <c r="D14" s="15"/>
      <c r="E14" s="20"/>
      <c r="F14" s="20"/>
      <c r="G14" s="145">
        <f>'Meter COS'!G14</f>
        <v>4.052E-2</v>
      </c>
      <c r="H14" s="27"/>
      <c r="J14" s="63"/>
      <c r="K14" s="67"/>
      <c r="L14" s="73"/>
      <c r="M14" s="58"/>
      <c r="N14" s="40"/>
    </row>
    <row r="15" spans="1:14" x14ac:dyDescent="0.25">
      <c r="B15" s="14" t="s">
        <v>39</v>
      </c>
      <c r="C15" s="15"/>
      <c r="D15" s="15"/>
      <c r="E15" s="20"/>
      <c r="F15" s="20"/>
      <c r="G15" s="146">
        <f>1/15</f>
        <v>6.6666666666666666E-2</v>
      </c>
      <c r="H15" s="28"/>
      <c r="J15" s="63"/>
      <c r="K15" s="67"/>
      <c r="L15" s="73"/>
      <c r="M15" s="58"/>
      <c r="N15" s="40"/>
    </row>
    <row r="16" spans="1:14" x14ac:dyDescent="0.25">
      <c r="B16" s="14" t="s">
        <v>40</v>
      </c>
      <c r="C16" s="15"/>
      <c r="D16" s="15"/>
      <c r="E16" s="20"/>
      <c r="F16" s="20"/>
      <c r="G16" s="147">
        <v>0</v>
      </c>
      <c r="H16" s="28"/>
      <c r="I16" s="28"/>
      <c r="J16" s="63"/>
      <c r="K16" s="67"/>
      <c r="L16" s="73"/>
      <c r="M16" s="59"/>
      <c r="N16" s="40"/>
    </row>
    <row r="17" spans="2:22" x14ac:dyDescent="0.25">
      <c r="B17" s="14" t="s">
        <v>41</v>
      </c>
      <c r="C17" s="15"/>
      <c r="D17" s="15"/>
      <c r="E17" s="20"/>
      <c r="F17" s="20"/>
      <c r="G17" s="29">
        <v>0</v>
      </c>
      <c r="H17" s="28"/>
      <c r="I17" s="28"/>
      <c r="J17" s="56"/>
      <c r="K17" s="60"/>
      <c r="L17" s="59"/>
      <c r="M17" s="61"/>
    </row>
    <row r="18" spans="2:22" x14ac:dyDescent="0.25">
      <c r="B18" s="14" t="s">
        <v>42</v>
      </c>
      <c r="C18" s="15"/>
      <c r="D18" s="15"/>
      <c r="E18" s="20"/>
      <c r="F18" s="20"/>
      <c r="G18" s="26">
        <v>0</v>
      </c>
      <c r="H18" s="28"/>
      <c r="I18" s="28"/>
      <c r="J18" s="56"/>
      <c r="K18" s="60"/>
      <c r="L18" s="59"/>
      <c r="M18" s="61"/>
    </row>
    <row r="19" spans="2:22" x14ac:dyDescent="0.25">
      <c r="B19" s="14" t="s">
        <v>43</v>
      </c>
      <c r="C19" s="15"/>
      <c r="D19" s="15"/>
      <c r="E19" s="20"/>
      <c r="F19" s="20"/>
      <c r="G19" s="30">
        <v>2</v>
      </c>
      <c r="H19" s="28"/>
      <c r="I19" s="28"/>
      <c r="J19" s="28"/>
      <c r="K19" s="28"/>
      <c r="L19" s="28"/>
      <c r="M19" s="28"/>
      <c r="N19" s="28"/>
      <c r="O19" s="28"/>
    </row>
    <row r="20" spans="2:22" x14ac:dyDescent="0.25">
      <c r="B20" s="14"/>
      <c r="C20" s="15"/>
      <c r="D20" s="15"/>
      <c r="E20" s="20"/>
      <c r="F20" s="20"/>
      <c r="G20" s="30"/>
      <c r="H20" s="28"/>
      <c r="I20" s="28"/>
      <c r="J20" s="28"/>
      <c r="K20" s="41"/>
      <c r="L20" s="47"/>
      <c r="M20" s="47"/>
      <c r="N20" s="47"/>
      <c r="O20" s="47"/>
      <c r="P20" s="47"/>
      <c r="Q20" s="47"/>
    </row>
    <row r="21" spans="2:22" ht="15.75" thickBot="1" x14ac:dyDescent="0.3">
      <c r="B21" s="31" t="s">
        <v>44</v>
      </c>
      <c r="C21" s="32"/>
      <c r="D21" s="32"/>
      <c r="E21" s="32"/>
      <c r="F21" s="68"/>
      <c r="G21" s="209">
        <f>K8</f>
        <v>3060.2022030728012</v>
      </c>
      <c r="K21" s="33"/>
    </row>
    <row r="23" spans="2:22" ht="15.75" thickBot="1" x14ac:dyDescent="0.3">
      <c r="C23" s="10"/>
      <c r="D23" s="10"/>
      <c r="E23" s="34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</row>
    <row r="24" spans="2:22" x14ac:dyDescent="0.25">
      <c r="B24" s="125"/>
      <c r="C24" s="12"/>
      <c r="D24" s="12"/>
      <c r="E24" s="149"/>
      <c r="F24" s="160" t="s">
        <v>45</v>
      </c>
      <c r="G24" s="161" t="s">
        <v>46</v>
      </c>
      <c r="H24" s="161" t="s">
        <v>47</v>
      </c>
      <c r="I24" s="161" t="s">
        <v>48</v>
      </c>
      <c r="J24" s="161" t="s">
        <v>49</v>
      </c>
      <c r="K24" s="161" t="s">
        <v>50</v>
      </c>
      <c r="L24" s="161" t="s">
        <v>51</v>
      </c>
      <c r="M24" s="161" t="s">
        <v>52</v>
      </c>
      <c r="N24" s="161" t="s">
        <v>53</v>
      </c>
      <c r="O24" s="161" t="s">
        <v>54</v>
      </c>
      <c r="P24" s="161" t="s">
        <v>55</v>
      </c>
      <c r="Q24" s="161" t="s">
        <v>56</v>
      </c>
      <c r="R24" s="161" t="s">
        <v>57</v>
      </c>
      <c r="S24" s="161" t="s">
        <v>58</v>
      </c>
      <c r="T24" s="161" t="s">
        <v>59</v>
      </c>
      <c r="U24" s="162" t="s">
        <v>60</v>
      </c>
    </row>
    <row r="25" spans="2:22" x14ac:dyDescent="0.25">
      <c r="B25" s="14"/>
      <c r="C25" s="15"/>
      <c r="D25" s="15"/>
      <c r="E25" s="150"/>
      <c r="F25" s="163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5"/>
    </row>
    <row r="26" spans="2:22" x14ac:dyDescent="0.25">
      <c r="B26" s="151">
        <v>1</v>
      </c>
      <c r="C26" s="15" t="s">
        <v>66</v>
      </c>
      <c r="D26" s="15"/>
      <c r="E26" s="150"/>
      <c r="F26" s="166">
        <f t="shared" ref="F26:T26" si="0">$G21*$G15</f>
        <v>204.01348020485341</v>
      </c>
      <c r="G26" s="37">
        <f>$G21*$G15</f>
        <v>204.01348020485341</v>
      </c>
      <c r="H26" s="37">
        <f t="shared" si="0"/>
        <v>204.01348020485341</v>
      </c>
      <c r="I26" s="37">
        <f t="shared" si="0"/>
        <v>204.01348020485341</v>
      </c>
      <c r="J26" s="37">
        <f t="shared" si="0"/>
        <v>204.01348020485341</v>
      </c>
      <c r="K26" s="37">
        <f t="shared" si="0"/>
        <v>204.01348020485341</v>
      </c>
      <c r="L26" s="37">
        <f t="shared" si="0"/>
        <v>204.01348020485341</v>
      </c>
      <c r="M26" s="37">
        <f t="shared" si="0"/>
        <v>204.01348020485341</v>
      </c>
      <c r="N26" s="37">
        <f t="shared" si="0"/>
        <v>204.01348020485341</v>
      </c>
      <c r="O26" s="37">
        <f t="shared" si="0"/>
        <v>204.01348020485341</v>
      </c>
      <c r="P26" s="37">
        <f t="shared" si="0"/>
        <v>204.01348020485341</v>
      </c>
      <c r="Q26" s="37">
        <f t="shared" si="0"/>
        <v>204.01348020485341</v>
      </c>
      <c r="R26" s="37">
        <f t="shared" si="0"/>
        <v>204.01348020485341</v>
      </c>
      <c r="S26" s="37">
        <f t="shared" si="0"/>
        <v>204.01348020485341</v>
      </c>
      <c r="T26" s="37">
        <f t="shared" si="0"/>
        <v>204.01348020485341</v>
      </c>
      <c r="U26" s="167">
        <f t="shared" ref="U26" si="1">$G21*$G15</f>
        <v>204.01348020485341</v>
      </c>
      <c r="V26" s="42">
        <f>SUM(F26:U26)</f>
        <v>3264.2156832776536</v>
      </c>
    </row>
    <row r="27" spans="2:22" x14ac:dyDescent="0.25">
      <c r="B27" s="151">
        <f>+B26+1</f>
        <v>2</v>
      </c>
      <c r="C27" s="15" t="s">
        <v>67</v>
      </c>
      <c r="D27" s="15"/>
      <c r="E27" s="150"/>
      <c r="F27" s="166">
        <f>+G17</f>
        <v>0</v>
      </c>
      <c r="G27" s="37">
        <f>+F27*(1+$G$18)</f>
        <v>0</v>
      </c>
      <c r="H27" s="37">
        <f t="shared" ref="H27:U27" si="2">+G27*(1+$G$18)</f>
        <v>0</v>
      </c>
      <c r="I27" s="37">
        <f t="shared" si="2"/>
        <v>0</v>
      </c>
      <c r="J27" s="37">
        <f t="shared" si="2"/>
        <v>0</v>
      </c>
      <c r="K27" s="37">
        <f t="shared" si="2"/>
        <v>0</v>
      </c>
      <c r="L27" s="37">
        <f t="shared" si="2"/>
        <v>0</v>
      </c>
      <c r="M27" s="37">
        <f t="shared" si="2"/>
        <v>0</v>
      </c>
      <c r="N27" s="37">
        <f t="shared" si="2"/>
        <v>0</v>
      </c>
      <c r="O27" s="37">
        <f t="shared" si="2"/>
        <v>0</v>
      </c>
      <c r="P27" s="37">
        <f t="shared" si="2"/>
        <v>0</v>
      </c>
      <c r="Q27" s="37">
        <f t="shared" si="2"/>
        <v>0</v>
      </c>
      <c r="R27" s="37">
        <f t="shared" si="2"/>
        <v>0</v>
      </c>
      <c r="S27" s="37">
        <f t="shared" si="2"/>
        <v>0</v>
      </c>
      <c r="T27" s="37">
        <f t="shared" si="2"/>
        <v>0</v>
      </c>
      <c r="U27" s="167">
        <f t="shared" si="2"/>
        <v>0</v>
      </c>
    </row>
    <row r="28" spans="2:22" x14ac:dyDescent="0.25">
      <c r="B28" s="151">
        <f>+B27+1</f>
        <v>3</v>
      </c>
      <c r="C28" s="15" t="s">
        <v>68</v>
      </c>
      <c r="D28" s="15"/>
      <c r="E28" s="150"/>
      <c r="F28" s="166">
        <f>F74*$G16</f>
        <v>0</v>
      </c>
      <c r="G28" s="37">
        <f t="shared" ref="G28:T28" si="3">G74*$G16</f>
        <v>0</v>
      </c>
      <c r="H28" s="37">
        <f t="shared" si="3"/>
        <v>0</v>
      </c>
      <c r="I28" s="37">
        <f t="shared" si="3"/>
        <v>0</v>
      </c>
      <c r="J28" s="37">
        <f t="shared" si="3"/>
        <v>0</v>
      </c>
      <c r="K28" s="37">
        <f t="shared" si="3"/>
        <v>0</v>
      </c>
      <c r="L28" s="37">
        <f t="shared" si="3"/>
        <v>0</v>
      </c>
      <c r="M28" s="37">
        <f t="shared" si="3"/>
        <v>0</v>
      </c>
      <c r="N28" s="37">
        <f t="shared" si="3"/>
        <v>0</v>
      </c>
      <c r="O28" s="37">
        <f t="shared" si="3"/>
        <v>0</v>
      </c>
      <c r="P28" s="37">
        <f t="shared" si="3"/>
        <v>0</v>
      </c>
      <c r="Q28" s="37">
        <f t="shared" si="3"/>
        <v>0</v>
      </c>
      <c r="R28" s="37">
        <f t="shared" si="3"/>
        <v>0</v>
      </c>
      <c r="S28" s="37">
        <f t="shared" si="3"/>
        <v>0</v>
      </c>
      <c r="T28" s="37">
        <f t="shared" si="3"/>
        <v>0</v>
      </c>
      <c r="U28" s="167">
        <f t="shared" ref="U28" si="4">U74*$G16</f>
        <v>0</v>
      </c>
    </row>
    <row r="29" spans="2:22" x14ac:dyDescent="0.25">
      <c r="B29" s="14"/>
      <c r="C29" s="15"/>
      <c r="D29" s="15"/>
      <c r="E29" s="150"/>
      <c r="F29" s="166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167"/>
    </row>
    <row r="30" spans="2:22" x14ac:dyDescent="0.25">
      <c r="B30" s="14"/>
      <c r="C30" s="15" t="s">
        <v>69</v>
      </c>
      <c r="D30" s="15"/>
      <c r="E30" s="150"/>
      <c r="F30" s="166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167"/>
    </row>
    <row r="31" spans="2:22" x14ac:dyDescent="0.25">
      <c r="B31" s="151">
        <f>+B28+1</f>
        <v>4</v>
      </c>
      <c r="C31" s="15"/>
      <c r="D31" s="15" t="s">
        <v>70</v>
      </c>
      <c r="E31" s="150"/>
      <c r="F31" s="166">
        <f>F59</f>
        <v>0</v>
      </c>
      <c r="G31" s="37">
        <f>G59</f>
        <v>0</v>
      </c>
      <c r="H31" s="37">
        <f>H59</f>
        <v>0</v>
      </c>
      <c r="I31" s="37">
        <f t="shared" ref="I31:T31" si="5">I59</f>
        <v>0</v>
      </c>
      <c r="J31" s="37">
        <f t="shared" si="5"/>
        <v>0</v>
      </c>
      <c r="K31" s="37">
        <f t="shared" si="5"/>
        <v>0</v>
      </c>
      <c r="L31" s="37">
        <f t="shared" si="5"/>
        <v>0</v>
      </c>
      <c r="M31" s="37">
        <f t="shared" si="5"/>
        <v>0</v>
      </c>
      <c r="N31" s="37">
        <f t="shared" si="5"/>
        <v>0</v>
      </c>
      <c r="O31" s="37">
        <f t="shared" si="5"/>
        <v>0</v>
      </c>
      <c r="P31" s="37">
        <f t="shared" si="5"/>
        <v>0</v>
      </c>
      <c r="Q31" s="37">
        <f t="shared" si="5"/>
        <v>0</v>
      </c>
      <c r="R31" s="37">
        <f t="shared" si="5"/>
        <v>0</v>
      </c>
      <c r="S31" s="37">
        <f t="shared" si="5"/>
        <v>0</v>
      </c>
      <c r="T31" s="37">
        <f t="shared" si="5"/>
        <v>0</v>
      </c>
      <c r="U31" s="167">
        <f t="shared" ref="U31" si="6">U59</f>
        <v>0</v>
      </c>
    </row>
    <row r="32" spans="2:22" x14ac:dyDescent="0.25">
      <c r="B32" s="151">
        <f>+B31+1</f>
        <v>5</v>
      </c>
      <c r="C32" s="15"/>
      <c r="D32" s="15" t="s">
        <v>71</v>
      </c>
      <c r="E32" s="150"/>
      <c r="F32" s="168">
        <f>F61</f>
        <v>36.348138334875237</v>
      </c>
      <c r="G32" s="36">
        <f>G61</f>
        <v>33.799921460129276</v>
      </c>
      <c r="H32" s="36">
        <f>H61</f>
        <v>31.111798189400268</v>
      </c>
      <c r="I32" s="36">
        <f t="shared" ref="I32:T32" si="7">I61</f>
        <v>28.494613372972523</v>
      </c>
      <c r="J32" s="36">
        <f t="shared" si="7"/>
        <v>25.941273165415911</v>
      </c>
      <c r="K32" s="36">
        <f t="shared" si="7"/>
        <v>23.445866028872004</v>
      </c>
      <c r="L32" s="36">
        <f t="shared" si="7"/>
        <v>20.991051452289369</v>
      </c>
      <c r="M32" s="36">
        <f t="shared" si="7"/>
        <v>18.549242258995296</v>
      </c>
      <c r="N32" s="36">
        <f t="shared" si="7"/>
        <v>16.107038963177331</v>
      </c>
      <c r="O32" s="36">
        <f t="shared" si="7"/>
        <v>13.664835667359366</v>
      </c>
      <c r="P32" s="36">
        <f t="shared" si="7"/>
        <v>11.222632371541401</v>
      </c>
      <c r="Q32" s="36">
        <f t="shared" si="7"/>
        <v>8.7804290757234345</v>
      </c>
      <c r="R32" s="36">
        <f t="shared" si="7"/>
        <v>6.3382257799054678</v>
      </c>
      <c r="S32" s="36">
        <f t="shared" si="7"/>
        <v>3.8960224840875011</v>
      </c>
      <c r="T32" s="36">
        <f t="shared" si="7"/>
        <v>1.4538191882695346</v>
      </c>
      <c r="U32" s="169">
        <f t="shared" ref="U32" si="8">U61</f>
        <v>-0.87212386299914124</v>
      </c>
    </row>
    <row r="33" spans="2:21" x14ac:dyDescent="0.25">
      <c r="B33" s="151">
        <f>+B32+1</f>
        <v>6</v>
      </c>
      <c r="C33" s="15"/>
      <c r="D33" s="15" t="s">
        <v>72</v>
      </c>
      <c r="E33" s="150"/>
      <c r="F33" s="166">
        <f>F31+F32</f>
        <v>36.348138334875237</v>
      </c>
      <c r="G33" s="37">
        <f>G31+G32</f>
        <v>33.799921460129276</v>
      </c>
      <c r="H33" s="37">
        <f>H31+H32</f>
        <v>31.111798189400268</v>
      </c>
      <c r="I33" s="37">
        <f t="shared" ref="I33:T33" si="9">I31+I32</f>
        <v>28.494613372972523</v>
      </c>
      <c r="J33" s="37">
        <f t="shared" si="9"/>
        <v>25.941273165415911</v>
      </c>
      <c r="K33" s="37">
        <f t="shared" si="9"/>
        <v>23.445866028872004</v>
      </c>
      <c r="L33" s="37">
        <f t="shared" si="9"/>
        <v>20.991051452289369</v>
      </c>
      <c r="M33" s="37">
        <f t="shared" si="9"/>
        <v>18.549242258995296</v>
      </c>
      <c r="N33" s="37">
        <f t="shared" si="9"/>
        <v>16.107038963177331</v>
      </c>
      <c r="O33" s="37">
        <f t="shared" si="9"/>
        <v>13.664835667359366</v>
      </c>
      <c r="P33" s="37">
        <f t="shared" si="9"/>
        <v>11.222632371541401</v>
      </c>
      <c r="Q33" s="37">
        <f t="shared" si="9"/>
        <v>8.7804290757234345</v>
      </c>
      <c r="R33" s="37">
        <f t="shared" si="9"/>
        <v>6.3382257799054678</v>
      </c>
      <c r="S33" s="37">
        <f t="shared" si="9"/>
        <v>3.8960224840875011</v>
      </c>
      <c r="T33" s="37">
        <f t="shared" si="9"/>
        <v>1.4538191882695346</v>
      </c>
      <c r="U33" s="167">
        <f t="shared" ref="U33" si="10">U31+U32</f>
        <v>-0.87212386299914124</v>
      </c>
    </row>
    <row r="34" spans="2:21" x14ac:dyDescent="0.25">
      <c r="B34" s="14"/>
      <c r="C34" s="15"/>
      <c r="D34" s="15"/>
      <c r="E34" s="150"/>
      <c r="F34" s="166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167"/>
    </row>
    <row r="35" spans="2:21" x14ac:dyDescent="0.25">
      <c r="B35" s="14"/>
      <c r="C35" s="15" t="s">
        <v>73</v>
      </c>
      <c r="D35" s="15"/>
      <c r="E35" s="150"/>
      <c r="F35" s="166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167"/>
    </row>
    <row r="36" spans="2:21" x14ac:dyDescent="0.25">
      <c r="B36" s="151">
        <f>+B33+1</f>
        <v>7</v>
      </c>
      <c r="C36" s="15"/>
      <c r="D36" s="15" t="s">
        <v>174</v>
      </c>
      <c r="E36" s="150"/>
      <c r="F36" s="166">
        <f t="shared" ref="F36:T36" si="11">F55*$G7</f>
        <v>68.132033278824039</v>
      </c>
      <c r="G36" s="37">
        <f t="shared" si="11"/>
        <v>63.355579659319879</v>
      </c>
      <c r="H36" s="37">
        <f t="shared" si="11"/>
        <v>58.316881323477901</v>
      </c>
      <c r="I36" s="37">
        <f t="shared" si="11"/>
        <v>53.411152139581844</v>
      </c>
      <c r="J36" s="37">
        <f t="shared" si="11"/>
        <v>48.625095192437136</v>
      </c>
      <c r="K36" s="37">
        <f t="shared" si="11"/>
        <v>43.947629719381617</v>
      </c>
      <c r="L36" s="37">
        <f t="shared" si="11"/>
        <v>39.346252149939602</v>
      </c>
      <c r="M36" s="37">
        <f t="shared" si="11"/>
        <v>34.769252258354342</v>
      </c>
      <c r="N36" s="37">
        <f t="shared" si="11"/>
        <v>30.191513649258265</v>
      </c>
      <c r="O36" s="37">
        <f t="shared" si="11"/>
        <v>25.613775040162196</v>
      </c>
      <c r="P36" s="37">
        <f t="shared" si="11"/>
        <v>21.036036431066123</v>
      </c>
      <c r="Q36" s="37">
        <f t="shared" si="11"/>
        <v>16.458297821970049</v>
      </c>
      <c r="R36" s="37">
        <f t="shared" si="11"/>
        <v>11.880559212873978</v>
      </c>
      <c r="S36" s="37">
        <f t="shared" si="11"/>
        <v>7.3028206037779038</v>
      </c>
      <c r="T36" s="37">
        <f t="shared" si="11"/>
        <v>2.7250819946818292</v>
      </c>
      <c r="U36" s="167">
        <f t="shared" ref="U36" si="12">U55*$G7</f>
        <v>-1.6347349487250713</v>
      </c>
    </row>
    <row r="37" spans="2:21" x14ac:dyDescent="0.25">
      <c r="B37" s="151">
        <f>+B36+1</f>
        <v>8</v>
      </c>
      <c r="C37" s="15"/>
      <c r="D37" s="15" t="s">
        <v>173</v>
      </c>
      <c r="E37" s="150"/>
      <c r="F37" s="166">
        <f t="shared" ref="F37:T37" si="13">F55*$G8</f>
        <v>0.23708406534606019</v>
      </c>
      <c r="G37" s="37">
        <f t="shared" si="13"/>
        <v>0.2204630871137708</v>
      </c>
      <c r="H37" s="37">
        <f t="shared" si="13"/>
        <v>0.20292955658452511</v>
      </c>
      <c r="I37" s="37">
        <f t="shared" si="13"/>
        <v>0.18585872862838398</v>
      </c>
      <c r="J37" s="37">
        <f t="shared" si="13"/>
        <v>0.16920433298803703</v>
      </c>
      <c r="K37" s="37">
        <f t="shared" si="13"/>
        <v>0.15292781111572551</v>
      </c>
      <c r="L37" s="37">
        <f t="shared" si="13"/>
        <v>0.13691605793802386</v>
      </c>
      <c r="M37" s="37">
        <f t="shared" si="13"/>
        <v>0.12098913356539136</v>
      </c>
      <c r="N37" s="37">
        <f t="shared" si="13"/>
        <v>0.10505963862290829</v>
      </c>
      <c r="O37" s="37">
        <f t="shared" si="13"/>
        <v>8.9130143680425211E-2</v>
      </c>
      <c r="P37" s="37">
        <f t="shared" si="13"/>
        <v>7.3200648737942145E-2</v>
      </c>
      <c r="Q37" s="37">
        <f t="shared" si="13"/>
        <v>5.7271153795459072E-2</v>
      </c>
      <c r="R37" s="37">
        <f t="shared" si="13"/>
        <v>4.1341658852975999E-2</v>
      </c>
      <c r="S37" s="37">
        <f t="shared" si="13"/>
        <v>2.5412163910492926E-2</v>
      </c>
      <c r="T37" s="37">
        <f t="shared" si="13"/>
        <v>9.4826689680098473E-3</v>
      </c>
      <c r="U37" s="167">
        <f t="shared" ref="U37" si="14">U55*$G8</f>
        <v>-5.6885078685517928E-3</v>
      </c>
    </row>
    <row r="38" spans="2:21" x14ac:dyDescent="0.25">
      <c r="B38" s="151">
        <f>+B37+1</f>
        <v>9</v>
      </c>
      <c r="C38" s="15"/>
      <c r="D38" s="15" t="s">
        <v>35</v>
      </c>
      <c r="E38" s="150"/>
      <c r="F38" s="168">
        <f t="shared" ref="F38:T38" si="15">F55*$G9</f>
        <v>136.50115062299412</v>
      </c>
      <c r="G38" s="36">
        <f t="shared" si="15"/>
        <v>126.93162240575352</v>
      </c>
      <c r="H38" s="36">
        <f t="shared" si="15"/>
        <v>116.83669220354031</v>
      </c>
      <c r="I38" s="36">
        <f t="shared" si="15"/>
        <v>107.00816300779206</v>
      </c>
      <c r="J38" s="36">
        <f t="shared" si="15"/>
        <v>97.419394717862303</v>
      </c>
      <c r="K38" s="36">
        <f t="shared" si="15"/>
        <v>88.04818724987895</v>
      </c>
      <c r="L38" s="36">
        <f t="shared" si="15"/>
        <v>78.829420357817227</v>
      </c>
      <c r="M38" s="36">
        <f t="shared" si="15"/>
        <v>69.659493650274058</v>
      </c>
      <c r="N38" s="36">
        <f t="shared" si="15"/>
        <v>60.488086937139435</v>
      </c>
      <c r="O38" s="36">
        <f t="shared" si="15"/>
        <v>51.316680224004813</v>
      </c>
      <c r="P38" s="36">
        <f t="shared" si="15"/>
        <v>42.145273510870183</v>
      </c>
      <c r="Q38" s="36">
        <f t="shared" si="15"/>
        <v>32.973866797735553</v>
      </c>
      <c r="R38" s="36">
        <f t="shared" si="15"/>
        <v>23.802460084600927</v>
      </c>
      <c r="S38" s="36">
        <f t="shared" si="15"/>
        <v>14.631053371466299</v>
      </c>
      <c r="T38" s="36">
        <f t="shared" si="15"/>
        <v>5.4596466583316685</v>
      </c>
      <c r="U38" s="169">
        <f t="shared" ref="U38" si="16">U55*$G9</f>
        <v>-3.275158405318694</v>
      </c>
    </row>
    <row r="39" spans="2:21" x14ac:dyDescent="0.25">
      <c r="B39" s="151">
        <f>+B38+1</f>
        <v>10</v>
      </c>
      <c r="C39" s="15"/>
      <c r="D39" s="15" t="s">
        <v>74</v>
      </c>
      <c r="E39" s="150"/>
      <c r="F39" s="166">
        <f>F36+F37+F38</f>
        <v>204.87026796716421</v>
      </c>
      <c r="G39" s="37">
        <f>G36+G37+G38</f>
        <v>190.50766515218717</v>
      </c>
      <c r="H39" s="37">
        <f>H36+H37+H38</f>
        <v>175.35650308360272</v>
      </c>
      <c r="I39" s="37">
        <f t="shared" ref="I39:T39" si="17">I36+I37+I38</f>
        <v>160.60517387600228</v>
      </c>
      <c r="J39" s="37">
        <f t="shared" si="17"/>
        <v>146.21369424328748</v>
      </c>
      <c r="K39" s="37">
        <f t="shared" si="17"/>
        <v>132.14874478037629</v>
      </c>
      <c r="L39" s="37">
        <f t="shared" si="17"/>
        <v>118.31258856569485</v>
      </c>
      <c r="M39" s="37">
        <f t="shared" si="17"/>
        <v>104.54973504219379</v>
      </c>
      <c r="N39" s="37">
        <f t="shared" si="17"/>
        <v>90.784660225020616</v>
      </c>
      <c r="O39" s="37">
        <f t="shared" si="17"/>
        <v>77.01958540784743</v>
      </c>
      <c r="P39" s="37">
        <f t="shared" si="17"/>
        <v>63.254510590674244</v>
      </c>
      <c r="Q39" s="37">
        <f t="shared" si="17"/>
        <v>49.489435773501057</v>
      </c>
      <c r="R39" s="37">
        <f t="shared" si="17"/>
        <v>35.724360956327885</v>
      </c>
      <c r="S39" s="37">
        <f t="shared" si="17"/>
        <v>21.959286139154695</v>
      </c>
      <c r="T39" s="37">
        <f t="shared" si="17"/>
        <v>8.1942113219815074</v>
      </c>
      <c r="U39" s="167">
        <f t="shared" ref="U39" si="18">U36+U37+U38</f>
        <v>-4.9155818619123171</v>
      </c>
    </row>
    <row r="40" spans="2:21" x14ac:dyDescent="0.25">
      <c r="B40" s="14"/>
      <c r="C40" s="15"/>
      <c r="D40" s="15"/>
      <c r="E40" s="150"/>
      <c r="F40" s="166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167"/>
    </row>
    <row r="41" spans="2:21" x14ac:dyDescent="0.25">
      <c r="B41" s="151">
        <f>+B39+1</f>
        <v>11</v>
      </c>
      <c r="C41" s="15" t="s">
        <v>75</v>
      </c>
      <c r="D41" s="15"/>
      <c r="E41" s="150"/>
      <c r="F41" s="166">
        <f>F26+F28+F33+F39+F27</f>
        <v>445.23188650689286</v>
      </c>
      <c r="G41" s="37">
        <f t="shared" ref="G41:T41" si="19">G26+G28+G33+G39+G27</f>
        <v>428.32106681716982</v>
      </c>
      <c r="H41" s="37">
        <f t="shared" si="19"/>
        <v>410.48178147785643</v>
      </c>
      <c r="I41" s="37">
        <f t="shared" si="19"/>
        <v>393.11326745382826</v>
      </c>
      <c r="J41" s="37">
        <f t="shared" si="19"/>
        <v>376.16844761355679</v>
      </c>
      <c r="K41" s="37">
        <f t="shared" si="19"/>
        <v>359.60809101410166</v>
      </c>
      <c r="L41" s="37">
        <f t="shared" si="19"/>
        <v>343.31712022283762</v>
      </c>
      <c r="M41" s="37">
        <f t="shared" si="19"/>
        <v>327.11245750604246</v>
      </c>
      <c r="N41" s="37">
        <f t="shared" si="19"/>
        <v>310.90517939305136</v>
      </c>
      <c r="O41" s="37">
        <f t="shared" si="19"/>
        <v>294.69790128006019</v>
      </c>
      <c r="P41" s="37">
        <f t="shared" si="19"/>
        <v>278.49062316706909</v>
      </c>
      <c r="Q41" s="37">
        <f t="shared" si="19"/>
        <v>262.28334505407793</v>
      </c>
      <c r="R41" s="37">
        <f t="shared" si="19"/>
        <v>246.07606694108676</v>
      </c>
      <c r="S41" s="37">
        <f t="shared" si="19"/>
        <v>229.8687888280956</v>
      </c>
      <c r="T41" s="37">
        <f t="shared" si="19"/>
        <v>213.66151071510444</v>
      </c>
      <c r="U41" s="167">
        <f t="shared" ref="U41" si="20">U26+U28+U33+U39+U27</f>
        <v>198.22577447994195</v>
      </c>
    </row>
    <row r="42" spans="2:21" x14ac:dyDescent="0.25">
      <c r="B42" s="151">
        <f>+B41+1</f>
        <v>12</v>
      </c>
      <c r="C42" s="15" t="s">
        <v>76</v>
      </c>
      <c r="D42" s="15"/>
      <c r="E42" s="150"/>
      <c r="F42" s="168">
        <f t="shared" ref="F42:T42" si="21">F41/(1-$G14)-F41</f>
        <v>18.802680661670195</v>
      </c>
      <c r="G42" s="36">
        <f t="shared" si="21"/>
        <v>18.088516308241651</v>
      </c>
      <c r="H42" s="36">
        <f t="shared" si="21"/>
        <v>17.335141728313999</v>
      </c>
      <c r="I42" s="36">
        <f t="shared" si="21"/>
        <v>16.601648389991567</v>
      </c>
      <c r="J42" s="36">
        <f t="shared" si="21"/>
        <v>15.886048169113792</v>
      </c>
      <c r="K42" s="36">
        <f t="shared" si="21"/>
        <v>15.186684295546968</v>
      </c>
      <c r="L42" s="36">
        <f t="shared" si="21"/>
        <v>14.498696910231956</v>
      </c>
      <c r="M42" s="36">
        <f t="shared" si="21"/>
        <v>13.81435441921127</v>
      </c>
      <c r="N42" s="36">
        <f t="shared" si="21"/>
        <v>13.129901476848318</v>
      </c>
      <c r="O42" s="36">
        <f t="shared" si="21"/>
        <v>12.445448534485365</v>
      </c>
      <c r="P42" s="36">
        <f t="shared" si="21"/>
        <v>11.760995592122413</v>
      </c>
      <c r="Q42" s="36">
        <f t="shared" si="21"/>
        <v>11.076542649759517</v>
      </c>
      <c r="R42" s="36">
        <f t="shared" si="21"/>
        <v>10.392089707396565</v>
      </c>
      <c r="S42" s="36">
        <f t="shared" si="21"/>
        <v>9.707636765033584</v>
      </c>
      <c r="T42" s="36">
        <f t="shared" si="21"/>
        <v>9.02318382267066</v>
      </c>
      <c r="U42" s="169">
        <f t="shared" ref="U42" si="22">U41/(1-$G14)-U41</f>
        <v>8.37131402627179</v>
      </c>
    </row>
    <row r="43" spans="2:21" x14ac:dyDescent="0.25">
      <c r="B43" s="14"/>
      <c r="C43" s="15"/>
      <c r="D43" s="15"/>
      <c r="E43" s="150"/>
      <c r="F43" s="170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6"/>
    </row>
    <row r="44" spans="2:21" ht="15.75" thickBot="1" x14ac:dyDescent="0.3">
      <c r="B44" s="151">
        <f>+B42+1</f>
        <v>13</v>
      </c>
      <c r="C44" s="15" t="s">
        <v>77</v>
      </c>
      <c r="D44" s="15"/>
      <c r="E44" s="21"/>
      <c r="F44" s="171">
        <f>F41+F42</f>
        <v>464.03456716856306</v>
      </c>
      <c r="G44" s="38">
        <f>G41+G42</f>
        <v>446.40958312541147</v>
      </c>
      <c r="H44" s="38">
        <f>H41+H42</f>
        <v>427.81692320617043</v>
      </c>
      <c r="I44" s="38">
        <f t="shared" ref="I44:T44" si="23">I41+I42</f>
        <v>409.71491584381982</v>
      </c>
      <c r="J44" s="38">
        <f t="shared" si="23"/>
        <v>392.05449578267059</v>
      </c>
      <c r="K44" s="38">
        <f t="shared" si="23"/>
        <v>374.79477530964863</v>
      </c>
      <c r="L44" s="38">
        <f t="shared" si="23"/>
        <v>357.81581713306957</v>
      </c>
      <c r="M44" s="38">
        <f t="shared" si="23"/>
        <v>340.92681192525373</v>
      </c>
      <c r="N44" s="38">
        <f t="shared" si="23"/>
        <v>324.03508086989967</v>
      </c>
      <c r="O44" s="38">
        <f t="shared" si="23"/>
        <v>307.14334981454556</v>
      </c>
      <c r="P44" s="38">
        <f t="shared" si="23"/>
        <v>290.2516187591915</v>
      </c>
      <c r="Q44" s="38">
        <f t="shared" si="23"/>
        <v>273.35988770383744</v>
      </c>
      <c r="R44" s="38">
        <f t="shared" si="23"/>
        <v>256.46815664848333</v>
      </c>
      <c r="S44" s="38">
        <f t="shared" si="23"/>
        <v>239.57642559312919</v>
      </c>
      <c r="T44" s="38">
        <f t="shared" si="23"/>
        <v>222.6846945377751</v>
      </c>
      <c r="U44" s="172">
        <f t="shared" ref="U44" si="24">U41+U42</f>
        <v>206.59708850621374</v>
      </c>
    </row>
    <row r="45" spans="2:21" ht="15.75" thickTop="1" x14ac:dyDescent="0.25">
      <c r="B45" s="151"/>
      <c r="C45" s="15"/>
      <c r="D45" s="15" t="s">
        <v>78</v>
      </c>
      <c r="E45" s="154">
        <f>NPV(G10,F44:T44)</f>
        <v>3323.5917491940368</v>
      </c>
      <c r="F45" s="173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174"/>
    </row>
    <row r="46" spans="2:21" ht="15.75" thickBot="1" x14ac:dyDescent="0.3">
      <c r="B46" s="151"/>
      <c r="C46" s="15"/>
      <c r="D46" s="15" t="s">
        <v>79</v>
      </c>
      <c r="E46" s="154">
        <f>PMT(G10,15,E45)</f>
        <v>-362.90984942523107</v>
      </c>
      <c r="F46" s="173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174"/>
    </row>
    <row r="47" spans="2:21" ht="15.75" thickBot="1" x14ac:dyDescent="0.3">
      <c r="B47" s="151"/>
      <c r="C47" s="15"/>
      <c r="D47" s="158" t="s">
        <v>80</v>
      </c>
      <c r="E47" s="159">
        <f>E46/12</f>
        <v>-30.242487452102591</v>
      </c>
      <c r="F47" s="173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174"/>
    </row>
    <row r="48" spans="2:21" x14ac:dyDescent="0.25">
      <c r="B48" s="151"/>
      <c r="C48" s="15"/>
      <c r="D48" s="15"/>
      <c r="E48" s="154"/>
      <c r="F48" s="173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174"/>
    </row>
    <row r="49" spans="2:21" x14ac:dyDescent="0.25">
      <c r="B49" s="14"/>
      <c r="C49" s="15"/>
      <c r="D49" s="15"/>
      <c r="E49" s="21"/>
      <c r="F49" s="170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6"/>
    </row>
    <row r="50" spans="2:21" x14ac:dyDescent="0.25">
      <c r="B50" s="14"/>
      <c r="C50" s="15"/>
      <c r="D50" s="15"/>
      <c r="E50" s="21"/>
      <c r="F50" s="175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174"/>
    </row>
    <row r="51" spans="2:21" x14ac:dyDescent="0.25">
      <c r="B51" s="151">
        <f>+B44+1</f>
        <v>14</v>
      </c>
      <c r="C51" s="15" t="s">
        <v>81</v>
      </c>
      <c r="D51" s="20"/>
      <c r="E51" s="21"/>
      <c r="F51" s="176">
        <f>+F44/$G$21</f>
        <v>0.15163526341580241</v>
      </c>
      <c r="G51" s="27">
        <f t="shared" ref="G51:T51" si="25">+G44/$G$21</f>
        <v>0.14587584528798914</v>
      </c>
      <c r="H51" s="27">
        <f t="shared" si="25"/>
        <v>0.13980021410892135</v>
      </c>
      <c r="I51" s="27">
        <f t="shared" si="25"/>
        <v>0.13388491630795446</v>
      </c>
      <c r="J51" s="27">
        <f t="shared" si="25"/>
        <v>0.12811391854727833</v>
      </c>
      <c r="K51" s="27">
        <f t="shared" si="25"/>
        <v>0.12247385971205131</v>
      </c>
      <c r="L51" s="27">
        <f t="shared" si="25"/>
        <v>0.11692554719873759</v>
      </c>
      <c r="M51" s="27">
        <f t="shared" si="25"/>
        <v>0.11140662913807568</v>
      </c>
      <c r="N51" s="27">
        <f t="shared" si="25"/>
        <v>0.10588682033642434</v>
      </c>
      <c r="O51" s="27">
        <f t="shared" si="25"/>
        <v>0.100367011534773</v>
      </c>
      <c r="P51" s="27">
        <f t="shared" si="25"/>
        <v>9.4847202733121652E-2</v>
      </c>
      <c r="Q51" s="27">
        <f t="shared" si="25"/>
        <v>8.9327393931470322E-2</v>
      </c>
      <c r="R51" s="27">
        <f t="shared" si="25"/>
        <v>8.3807585129818965E-2</v>
      </c>
      <c r="S51" s="27">
        <f t="shared" si="25"/>
        <v>7.8287776328167594E-2</v>
      </c>
      <c r="T51" s="27">
        <f t="shared" si="25"/>
        <v>7.276796752651625E-2</v>
      </c>
      <c r="U51" s="26">
        <f t="shared" ref="U51" si="26">+U44/$G$21</f>
        <v>6.7510927316752498E-2</v>
      </c>
    </row>
    <row r="52" spans="2:21" x14ac:dyDescent="0.25">
      <c r="B52" s="151"/>
      <c r="C52" s="15"/>
      <c r="D52" s="15"/>
      <c r="E52" s="21"/>
      <c r="F52" s="175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174"/>
    </row>
    <row r="53" spans="2:21" x14ac:dyDescent="0.25">
      <c r="B53" s="14"/>
      <c r="C53" s="15"/>
      <c r="D53" s="15"/>
      <c r="E53" s="21"/>
      <c r="F53" s="175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174"/>
    </row>
    <row r="54" spans="2:21" x14ac:dyDescent="0.25">
      <c r="B54" s="14"/>
      <c r="C54" s="15"/>
      <c r="D54" s="15"/>
      <c r="E54" s="21"/>
      <c r="F54" s="175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174"/>
    </row>
    <row r="55" spans="2:21" x14ac:dyDescent="0.25">
      <c r="B55" s="155" t="s">
        <v>82</v>
      </c>
      <c r="C55" s="15"/>
      <c r="D55" s="15"/>
      <c r="E55" s="150"/>
      <c r="F55" s="177">
        <f>G21-F26/2-F68/2</f>
        <v>2963.550816825752</v>
      </c>
      <c r="G55" s="178">
        <f t="shared" ref="G55:U55" si="27">+F55-F26/2-G26/2-F68/2-G68/2</f>
        <v>2755.7885889221347</v>
      </c>
      <c r="H55" s="178">
        <f t="shared" si="27"/>
        <v>2536.6194573065636</v>
      </c>
      <c r="I55" s="178">
        <f t="shared" si="27"/>
        <v>2323.2341078547997</v>
      </c>
      <c r="J55" s="178">
        <f t="shared" si="27"/>
        <v>2115.0541623504628</v>
      </c>
      <c r="K55" s="178">
        <f t="shared" si="27"/>
        <v>1911.5976389465688</v>
      </c>
      <c r="L55" s="178">
        <f t="shared" si="27"/>
        <v>1711.450724225298</v>
      </c>
      <c r="M55" s="178">
        <f t="shared" si="27"/>
        <v>1512.3641695673919</v>
      </c>
      <c r="N55" s="178">
        <f t="shared" si="27"/>
        <v>1313.2454827863535</v>
      </c>
      <c r="O55" s="178">
        <f t="shared" si="27"/>
        <v>1114.1267960053151</v>
      </c>
      <c r="P55" s="178">
        <f t="shared" si="27"/>
        <v>915.00810922427672</v>
      </c>
      <c r="Q55" s="178">
        <f t="shared" si="27"/>
        <v>715.88942244323835</v>
      </c>
      <c r="R55" s="178">
        <f t="shared" si="27"/>
        <v>516.77073566219997</v>
      </c>
      <c r="S55" s="178">
        <f t="shared" si="27"/>
        <v>317.65204888116153</v>
      </c>
      <c r="T55" s="178">
        <f t="shared" si="27"/>
        <v>118.53336210012307</v>
      </c>
      <c r="U55" s="179">
        <f t="shared" si="27"/>
        <v>-71.106348356897399</v>
      </c>
    </row>
    <row r="56" spans="2:21" x14ac:dyDescent="0.25">
      <c r="B56" s="14"/>
      <c r="C56" s="15"/>
      <c r="D56" s="15"/>
      <c r="E56" s="150"/>
      <c r="F56" s="180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9"/>
    </row>
    <row r="57" spans="2:21" x14ac:dyDescent="0.25">
      <c r="B57" s="14" t="s">
        <v>83</v>
      </c>
      <c r="C57" s="15"/>
      <c r="D57" s="15"/>
      <c r="E57" s="150"/>
      <c r="F57" s="180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6"/>
    </row>
    <row r="58" spans="2:21" x14ac:dyDescent="0.25">
      <c r="B58" s="14"/>
      <c r="C58" s="15" t="s">
        <v>84</v>
      </c>
      <c r="D58" s="15"/>
      <c r="E58" s="150"/>
      <c r="F58" s="166">
        <f t="shared" ref="F58:T58" si="28">(F38+F37)/$F$84</f>
        <v>173.08637302321543</v>
      </c>
      <c r="G58" s="37">
        <f t="shared" si="28"/>
        <v>160.95200695299656</v>
      </c>
      <c r="H58" s="37">
        <f t="shared" si="28"/>
        <v>148.15141994952509</v>
      </c>
      <c r="I58" s="37">
        <f t="shared" si="28"/>
        <v>135.68863510939298</v>
      </c>
      <c r="J58" s="37">
        <f t="shared" si="28"/>
        <v>123.52987221626624</v>
      </c>
      <c r="K58" s="37">
        <f t="shared" si="28"/>
        <v>111.64698108986669</v>
      </c>
      <c r="L58" s="37">
        <f t="shared" si="28"/>
        <v>99.95738786804462</v>
      </c>
      <c r="M58" s="37">
        <f t="shared" si="28"/>
        <v>88.329725042834738</v>
      </c>
      <c r="N58" s="37">
        <f t="shared" si="28"/>
        <v>76.700185538939678</v>
      </c>
      <c r="O58" s="37">
        <f t="shared" si="28"/>
        <v>65.070646035044604</v>
      </c>
      <c r="P58" s="37">
        <f t="shared" si="28"/>
        <v>53.441106531149529</v>
      </c>
      <c r="Q58" s="37">
        <f t="shared" si="28"/>
        <v>41.811567027254448</v>
      </c>
      <c r="R58" s="37">
        <f t="shared" si="28"/>
        <v>30.18202752335937</v>
      </c>
      <c r="S58" s="37">
        <f t="shared" si="28"/>
        <v>18.552488019464292</v>
      </c>
      <c r="T58" s="37">
        <f t="shared" si="28"/>
        <v>6.922948515569213</v>
      </c>
      <c r="U58" s="167">
        <f t="shared" ref="U58" si="29">(U38+U37)/$F$84</f>
        <v>-4.152970776186387</v>
      </c>
    </row>
    <row r="59" spans="2:21" x14ac:dyDescent="0.25">
      <c r="B59" s="14"/>
      <c r="C59" s="15" t="s">
        <v>85</v>
      </c>
      <c r="D59" s="15"/>
      <c r="E59" s="150"/>
      <c r="F59" s="168">
        <f t="shared" ref="F59:T59" si="30">F58*$G12</f>
        <v>0</v>
      </c>
      <c r="G59" s="36">
        <f t="shared" si="30"/>
        <v>0</v>
      </c>
      <c r="H59" s="36">
        <f t="shared" si="30"/>
        <v>0</v>
      </c>
      <c r="I59" s="36">
        <f t="shared" si="30"/>
        <v>0</v>
      </c>
      <c r="J59" s="36">
        <f t="shared" si="30"/>
        <v>0</v>
      </c>
      <c r="K59" s="36">
        <f t="shared" si="30"/>
        <v>0</v>
      </c>
      <c r="L59" s="36">
        <f t="shared" si="30"/>
        <v>0</v>
      </c>
      <c r="M59" s="36">
        <f t="shared" si="30"/>
        <v>0</v>
      </c>
      <c r="N59" s="36">
        <f t="shared" si="30"/>
        <v>0</v>
      </c>
      <c r="O59" s="36">
        <f t="shared" si="30"/>
        <v>0</v>
      </c>
      <c r="P59" s="36">
        <f t="shared" si="30"/>
        <v>0</v>
      </c>
      <c r="Q59" s="36">
        <f t="shared" si="30"/>
        <v>0</v>
      </c>
      <c r="R59" s="36">
        <f t="shared" si="30"/>
        <v>0</v>
      </c>
      <c r="S59" s="36">
        <f t="shared" si="30"/>
        <v>0</v>
      </c>
      <c r="T59" s="36">
        <f t="shared" si="30"/>
        <v>0</v>
      </c>
      <c r="U59" s="169">
        <f t="shared" ref="U59" si="31">U58*$G12</f>
        <v>0</v>
      </c>
    </row>
    <row r="60" spans="2:21" x14ac:dyDescent="0.25">
      <c r="B60" s="14"/>
      <c r="C60" s="15" t="s">
        <v>86</v>
      </c>
      <c r="D60" s="15"/>
      <c r="E60" s="150"/>
      <c r="F60" s="166">
        <f>F58-F59</f>
        <v>173.08637302321543</v>
      </c>
      <c r="G60" s="37">
        <f>G58-G59</f>
        <v>160.95200695299656</v>
      </c>
      <c r="H60" s="37">
        <f>H58-H59</f>
        <v>148.15141994952509</v>
      </c>
      <c r="I60" s="37">
        <f t="shared" ref="I60:T60" si="32">I58-I59</f>
        <v>135.68863510939298</v>
      </c>
      <c r="J60" s="37">
        <f t="shared" si="32"/>
        <v>123.52987221626624</v>
      </c>
      <c r="K60" s="37">
        <f t="shared" si="32"/>
        <v>111.64698108986669</v>
      </c>
      <c r="L60" s="37">
        <f t="shared" si="32"/>
        <v>99.95738786804462</v>
      </c>
      <c r="M60" s="37">
        <f t="shared" si="32"/>
        <v>88.329725042834738</v>
      </c>
      <c r="N60" s="37">
        <f t="shared" si="32"/>
        <v>76.700185538939678</v>
      </c>
      <c r="O60" s="37">
        <f t="shared" si="32"/>
        <v>65.070646035044604</v>
      </c>
      <c r="P60" s="37">
        <f t="shared" si="32"/>
        <v>53.441106531149529</v>
      </c>
      <c r="Q60" s="37">
        <f t="shared" si="32"/>
        <v>41.811567027254448</v>
      </c>
      <c r="R60" s="37">
        <f t="shared" si="32"/>
        <v>30.18202752335937</v>
      </c>
      <c r="S60" s="37">
        <f t="shared" si="32"/>
        <v>18.552488019464292</v>
      </c>
      <c r="T60" s="37">
        <f t="shared" si="32"/>
        <v>6.922948515569213</v>
      </c>
      <c r="U60" s="167">
        <f t="shared" ref="U60" si="33">U58-U59</f>
        <v>-4.152970776186387</v>
      </c>
    </row>
    <row r="61" spans="2:21" x14ac:dyDescent="0.25">
      <c r="B61" s="14"/>
      <c r="C61" s="15" t="s">
        <v>87</v>
      </c>
      <c r="D61" s="15"/>
      <c r="E61" s="150"/>
      <c r="F61" s="168">
        <f t="shared" ref="F61:T61" si="34">F60*$G13</f>
        <v>36.348138334875237</v>
      </c>
      <c r="G61" s="36">
        <f t="shared" si="34"/>
        <v>33.799921460129276</v>
      </c>
      <c r="H61" s="36">
        <f t="shared" si="34"/>
        <v>31.111798189400268</v>
      </c>
      <c r="I61" s="36">
        <f t="shared" si="34"/>
        <v>28.494613372972523</v>
      </c>
      <c r="J61" s="36">
        <f t="shared" si="34"/>
        <v>25.941273165415911</v>
      </c>
      <c r="K61" s="36">
        <f t="shared" si="34"/>
        <v>23.445866028872004</v>
      </c>
      <c r="L61" s="36">
        <f t="shared" si="34"/>
        <v>20.991051452289369</v>
      </c>
      <c r="M61" s="36">
        <f t="shared" si="34"/>
        <v>18.549242258995296</v>
      </c>
      <c r="N61" s="36">
        <f t="shared" si="34"/>
        <v>16.107038963177331</v>
      </c>
      <c r="O61" s="36">
        <f t="shared" si="34"/>
        <v>13.664835667359366</v>
      </c>
      <c r="P61" s="36">
        <f t="shared" si="34"/>
        <v>11.222632371541401</v>
      </c>
      <c r="Q61" s="36">
        <f t="shared" si="34"/>
        <v>8.7804290757234345</v>
      </c>
      <c r="R61" s="36">
        <f t="shared" si="34"/>
        <v>6.3382257799054678</v>
      </c>
      <c r="S61" s="36">
        <f t="shared" si="34"/>
        <v>3.8960224840875011</v>
      </c>
      <c r="T61" s="36">
        <f t="shared" si="34"/>
        <v>1.4538191882695346</v>
      </c>
      <c r="U61" s="169">
        <f t="shared" ref="U61" si="35">U60*$G13</f>
        <v>-0.87212386299914124</v>
      </c>
    </row>
    <row r="62" spans="2:21" x14ac:dyDescent="0.25">
      <c r="B62" s="14"/>
      <c r="C62" s="15" t="s">
        <v>88</v>
      </c>
      <c r="D62" s="15"/>
      <c r="E62" s="150"/>
      <c r="F62" s="166">
        <f>F58-F59-F61</f>
        <v>136.73823468834019</v>
      </c>
      <c r="G62" s="37">
        <f>G58-G59-G61</f>
        <v>127.15208549286729</v>
      </c>
      <c r="H62" s="37">
        <f>H58-H59-H61</f>
        <v>117.03962176012482</v>
      </c>
      <c r="I62" s="37">
        <f t="shared" ref="I62:T62" si="36">I58-I59-I61</f>
        <v>107.19402173642045</v>
      </c>
      <c r="J62" s="37">
        <f t="shared" si="36"/>
        <v>97.588599050850334</v>
      </c>
      <c r="K62" s="37">
        <f t="shared" si="36"/>
        <v>88.201115060994681</v>
      </c>
      <c r="L62" s="37">
        <f t="shared" si="36"/>
        <v>78.966336415755251</v>
      </c>
      <c r="M62" s="37">
        <f t="shared" si="36"/>
        <v>69.780482783839446</v>
      </c>
      <c r="N62" s="37">
        <f t="shared" si="36"/>
        <v>60.593146575762347</v>
      </c>
      <c r="O62" s="37">
        <f t="shared" si="36"/>
        <v>51.405810367685234</v>
      </c>
      <c r="P62" s="37">
        <f t="shared" si="36"/>
        <v>42.218474159608128</v>
      </c>
      <c r="Q62" s="37">
        <f t="shared" si="36"/>
        <v>33.031137951531015</v>
      </c>
      <c r="R62" s="37">
        <f t="shared" si="36"/>
        <v>23.843801743453902</v>
      </c>
      <c r="S62" s="37">
        <f t="shared" si="36"/>
        <v>14.656465535376791</v>
      </c>
      <c r="T62" s="37">
        <f t="shared" si="36"/>
        <v>5.4691293272996786</v>
      </c>
      <c r="U62" s="167">
        <f t="shared" ref="U62" si="37">U58-U59-U61</f>
        <v>-3.2808469131872458</v>
      </c>
    </row>
    <row r="63" spans="2:21" x14ac:dyDescent="0.25">
      <c r="B63" s="14"/>
      <c r="C63" s="15"/>
      <c r="D63" s="15"/>
      <c r="E63" s="21"/>
      <c r="F63" s="175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1"/>
    </row>
    <row r="64" spans="2:21" x14ac:dyDescent="0.25">
      <c r="B64" s="14" t="s">
        <v>89</v>
      </c>
      <c r="C64" s="15"/>
      <c r="D64" s="15"/>
      <c r="E64" s="150"/>
      <c r="F64" s="181"/>
      <c r="G64" s="182"/>
      <c r="H64" s="182"/>
      <c r="I64" s="182"/>
      <c r="J64" s="182"/>
      <c r="K64" s="182"/>
      <c r="L64" s="182"/>
      <c r="M64" s="182"/>
      <c r="N64" s="182"/>
      <c r="O64" s="182"/>
      <c r="P64" s="182"/>
      <c r="Q64" s="182"/>
      <c r="R64" s="182"/>
      <c r="S64" s="182"/>
      <c r="T64" s="182"/>
      <c r="U64" s="183"/>
    </row>
    <row r="65" spans="2:22" x14ac:dyDescent="0.25">
      <c r="B65" s="14"/>
      <c r="C65" s="15" t="s">
        <v>90</v>
      </c>
      <c r="D65" s="15"/>
      <c r="E65" s="150"/>
      <c r="F65" s="166">
        <f>F26</f>
        <v>204.01348020485341</v>
      </c>
      <c r="G65" s="37">
        <f>G26</f>
        <v>204.01348020485341</v>
      </c>
      <c r="H65" s="37">
        <f>H26</f>
        <v>204.01348020485341</v>
      </c>
      <c r="I65" s="37">
        <f t="shared" ref="I65:T65" si="38">I26</f>
        <v>204.01348020485341</v>
      </c>
      <c r="J65" s="37">
        <f t="shared" si="38"/>
        <v>204.01348020485341</v>
      </c>
      <c r="K65" s="37">
        <f t="shared" si="38"/>
        <v>204.01348020485341</v>
      </c>
      <c r="L65" s="37">
        <f t="shared" si="38"/>
        <v>204.01348020485341</v>
      </c>
      <c r="M65" s="37">
        <f t="shared" si="38"/>
        <v>204.01348020485341</v>
      </c>
      <c r="N65" s="37">
        <f t="shared" si="38"/>
        <v>204.01348020485341</v>
      </c>
      <c r="O65" s="37">
        <f t="shared" si="38"/>
        <v>204.01348020485341</v>
      </c>
      <c r="P65" s="37">
        <f t="shared" si="38"/>
        <v>204.01348020485341</v>
      </c>
      <c r="Q65" s="37">
        <f t="shared" si="38"/>
        <v>204.01348020485341</v>
      </c>
      <c r="R65" s="37">
        <f t="shared" si="38"/>
        <v>204.01348020485341</v>
      </c>
      <c r="S65" s="37">
        <f t="shared" si="38"/>
        <v>204.01348020485341</v>
      </c>
      <c r="T65" s="37">
        <f t="shared" si="38"/>
        <v>204.01348020485341</v>
      </c>
      <c r="U65" s="167">
        <f t="shared" ref="U65" si="39">U26</f>
        <v>204.01348020485341</v>
      </c>
    </row>
    <row r="66" spans="2:22" x14ac:dyDescent="0.25">
      <c r="B66" s="14"/>
      <c r="C66" s="15" t="s">
        <v>91</v>
      </c>
      <c r="D66" s="15"/>
      <c r="E66" s="150"/>
      <c r="F66" s="166">
        <f t="shared" ref="F66:T66" si="40">$G21*F71</f>
        <v>153.01011015364006</v>
      </c>
      <c r="G66" s="37">
        <f t="shared" si="40"/>
        <v>290.71920929191612</v>
      </c>
      <c r="H66" s="37">
        <f t="shared" si="40"/>
        <v>261.64728836272451</v>
      </c>
      <c r="I66" s="37">
        <f t="shared" si="40"/>
        <v>235.63556963660568</v>
      </c>
      <c r="J66" s="37">
        <f t="shared" si="40"/>
        <v>212.07201267294514</v>
      </c>
      <c r="K66" s="37">
        <f t="shared" si="40"/>
        <v>190.65059725143553</v>
      </c>
      <c r="L66" s="37">
        <f t="shared" si="40"/>
        <v>180.55192998129527</v>
      </c>
      <c r="M66" s="37">
        <f t="shared" si="40"/>
        <v>180.55192998129527</v>
      </c>
      <c r="N66" s="37">
        <f t="shared" si="40"/>
        <v>180.85795020160256</v>
      </c>
      <c r="O66" s="37">
        <f t="shared" si="40"/>
        <v>180.55192998129527</v>
      </c>
      <c r="P66" s="37">
        <f t="shared" si="40"/>
        <v>180.85795020160256</v>
      </c>
      <c r="Q66" s="37">
        <f t="shared" si="40"/>
        <v>180.55192998129527</v>
      </c>
      <c r="R66" s="37">
        <f t="shared" si="40"/>
        <v>180.85795020160256</v>
      </c>
      <c r="S66" s="37">
        <f t="shared" si="40"/>
        <v>180.55192998129527</v>
      </c>
      <c r="T66" s="37">
        <f t="shared" si="40"/>
        <v>180.85795020160256</v>
      </c>
      <c r="U66" s="167">
        <f t="shared" ref="U66" si="41">$G21*U71</f>
        <v>90.275964990647637</v>
      </c>
    </row>
    <row r="67" spans="2:22" x14ac:dyDescent="0.25">
      <c r="B67" s="14"/>
      <c r="C67" s="15" t="s">
        <v>92</v>
      </c>
      <c r="D67" s="15"/>
      <c r="E67" s="21"/>
      <c r="F67" s="166">
        <f>F66-F65</f>
        <v>-51.003370051213352</v>
      </c>
      <c r="G67" s="37">
        <f>G66-G65</f>
        <v>86.705729087062707</v>
      </c>
      <c r="H67" s="37">
        <f>H66-H65</f>
        <v>57.633808157871101</v>
      </c>
      <c r="I67" s="37">
        <f t="shared" ref="I67:T67" si="42">I66-I65</f>
        <v>31.622089431752272</v>
      </c>
      <c r="J67" s="37">
        <f t="shared" si="42"/>
        <v>8.0585324680917267</v>
      </c>
      <c r="K67" s="37">
        <f t="shared" si="42"/>
        <v>-13.362882953417881</v>
      </c>
      <c r="L67" s="37">
        <f t="shared" si="42"/>
        <v>-23.461550223558135</v>
      </c>
      <c r="M67" s="37">
        <f t="shared" si="42"/>
        <v>-23.461550223558135</v>
      </c>
      <c r="N67" s="37">
        <f t="shared" si="42"/>
        <v>-23.155530003250846</v>
      </c>
      <c r="O67" s="37">
        <f t="shared" si="42"/>
        <v>-23.461550223558135</v>
      </c>
      <c r="P67" s="37">
        <f t="shared" si="42"/>
        <v>-23.155530003250846</v>
      </c>
      <c r="Q67" s="37">
        <f t="shared" si="42"/>
        <v>-23.461550223558135</v>
      </c>
      <c r="R67" s="37">
        <f t="shared" si="42"/>
        <v>-23.155530003250846</v>
      </c>
      <c r="S67" s="37">
        <f t="shared" si="42"/>
        <v>-23.461550223558135</v>
      </c>
      <c r="T67" s="37">
        <f t="shared" si="42"/>
        <v>-23.155530003250846</v>
      </c>
      <c r="U67" s="167">
        <f t="shared" ref="U67" si="43">U66-U65</f>
        <v>-113.73751521420577</v>
      </c>
    </row>
    <row r="68" spans="2:22" x14ac:dyDescent="0.25">
      <c r="B68" s="14"/>
      <c r="C68" s="15" t="s">
        <v>93</v>
      </c>
      <c r="D68" s="15"/>
      <c r="E68" s="150"/>
      <c r="F68" s="166">
        <f t="shared" ref="F68:T68" si="44">F67*$F$83</f>
        <v>-10.710707710754804</v>
      </c>
      <c r="G68" s="37">
        <f t="shared" si="44"/>
        <v>18.208203108283168</v>
      </c>
      <c r="H68" s="37">
        <f t="shared" si="44"/>
        <v>12.103099713152931</v>
      </c>
      <c r="I68" s="37">
        <f t="shared" si="44"/>
        <v>6.6406387806679765</v>
      </c>
      <c r="J68" s="37">
        <f t="shared" si="44"/>
        <v>1.6922918182992626</v>
      </c>
      <c r="K68" s="37">
        <f t="shared" si="44"/>
        <v>-2.8062054202177547</v>
      </c>
      <c r="L68" s="37">
        <f t="shared" si="44"/>
        <v>-4.9269255469472082</v>
      </c>
      <c r="M68" s="37">
        <f t="shared" si="44"/>
        <v>-4.9269255469472082</v>
      </c>
      <c r="N68" s="37">
        <f t="shared" si="44"/>
        <v>-4.8626613006826771</v>
      </c>
      <c r="O68" s="37">
        <f t="shared" si="44"/>
        <v>-4.9269255469472082</v>
      </c>
      <c r="P68" s="37">
        <f t="shared" si="44"/>
        <v>-4.8626613006826771</v>
      </c>
      <c r="Q68" s="37">
        <f t="shared" si="44"/>
        <v>-4.9269255469472082</v>
      </c>
      <c r="R68" s="37">
        <f t="shared" si="44"/>
        <v>-4.8626613006826771</v>
      </c>
      <c r="S68" s="37">
        <f t="shared" si="44"/>
        <v>-4.9269255469472082</v>
      </c>
      <c r="T68" s="37">
        <f t="shared" si="44"/>
        <v>-4.8626613006826771</v>
      </c>
      <c r="U68" s="167">
        <f t="shared" ref="U68" si="45">U67*$F$83</f>
        <v>-23.884878194983212</v>
      </c>
      <c r="V68" s="42">
        <f>SUM(F68:U68)</f>
        <v>-42.842830843019179</v>
      </c>
    </row>
    <row r="69" spans="2:22" x14ac:dyDescent="0.25">
      <c r="B69" s="14"/>
      <c r="C69" s="15"/>
      <c r="D69" s="15"/>
      <c r="E69" s="150"/>
      <c r="F69" s="166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167"/>
    </row>
    <row r="70" spans="2:22" x14ac:dyDescent="0.25">
      <c r="B70" s="14"/>
      <c r="C70" s="15"/>
      <c r="D70" s="15"/>
      <c r="E70" s="21"/>
      <c r="F70" s="181"/>
      <c r="G70" s="182"/>
      <c r="H70" s="182"/>
      <c r="I70" s="182"/>
      <c r="J70" s="182"/>
      <c r="K70" s="182"/>
      <c r="L70" s="182"/>
      <c r="M70" s="182"/>
      <c r="N70" s="182"/>
      <c r="O70" s="182"/>
      <c r="P70" s="182"/>
      <c r="Q70" s="182"/>
      <c r="R70" s="182"/>
      <c r="S70" s="182"/>
      <c r="T70" s="182"/>
      <c r="U70" s="183"/>
    </row>
    <row r="71" spans="2:22" s="43" customFormat="1" ht="12.75" x14ac:dyDescent="0.25">
      <c r="B71" s="14"/>
      <c r="C71" s="15" t="s">
        <v>94</v>
      </c>
      <c r="D71" s="15"/>
      <c r="E71" s="156"/>
      <c r="F71" s="184">
        <f t="shared" ref="F71:T71" si="46">IF($G$19=1,F81,F79)</f>
        <v>0.05</v>
      </c>
      <c r="G71" s="185">
        <f t="shared" si="46"/>
        <v>9.5000000000000001E-2</v>
      </c>
      <c r="H71" s="185">
        <f t="shared" si="46"/>
        <v>8.5500000000000007E-2</v>
      </c>
      <c r="I71" s="185">
        <f t="shared" si="46"/>
        <v>7.6999999999999999E-2</v>
      </c>
      <c r="J71" s="185">
        <f t="shared" si="46"/>
        <v>6.93E-2</v>
      </c>
      <c r="K71" s="185">
        <f t="shared" si="46"/>
        <v>6.2300000000000001E-2</v>
      </c>
      <c r="L71" s="185">
        <f t="shared" si="46"/>
        <v>5.8999999999999997E-2</v>
      </c>
      <c r="M71" s="185">
        <f t="shared" si="46"/>
        <v>5.8999999999999997E-2</v>
      </c>
      <c r="N71" s="185">
        <f t="shared" si="46"/>
        <v>5.91E-2</v>
      </c>
      <c r="O71" s="185">
        <f t="shared" si="46"/>
        <v>5.8999999999999997E-2</v>
      </c>
      <c r="P71" s="185">
        <f t="shared" si="46"/>
        <v>5.91E-2</v>
      </c>
      <c r="Q71" s="185">
        <f t="shared" si="46"/>
        <v>5.8999999999999997E-2</v>
      </c>
      <c r="R71" s="185">
        <f t="shared" si="46"/>
        <v>5.91E-2</v>
      </c>
      <c r="S71" s="185">
        <f t="shared" si="46"/>
        <v>5.8999999999999997E-2</v>
      </c>
      <c r="T71" s="185">
        <f t="shared" si="46"/>
        <v>5.91E-2</v>
      </c>
      <c r="U71" s="186">
        <f t="shared" ref="U71" si="47">IF($G$19=1,U81,U79)</f>
        <v>2.9499999999999998E-2</v>
      </c>
    </row>
    <row r="72" spans="2:22" x14ac:dyDescent="0.25">
      <c r="B72" s="14"/>
      <c r="C72" s="15"/>
      <c r="D72" s="15"/>
      <c r="E72" s="21"/>
      <c r="F72" s="181"/>
      <c r="G72" s="182"/>
      <c r="H72" s="182"/>
      <c r="I72" s="182"/>
      <c r="J72" s="182"/>
      <c r="K72" s="182"/>
      <c r="L72" s="182"/>
      <c r="M72" s="182"/>
      <c r="N72" s="182"/>
      <c r="O72" s="182"/>
      <c r="P72" s="182"/>
      <c r="Q72" s="182"/>
      <c r="R72" s="182"/>
      <c r="S72" s="182"/>
      <c r="T72" s="182"/>
      <c r="U72" s="183"/>
    </row>
    <row r="73" spans="2:22" x14ac:dyDescent="0.25">
      <c r="B73" s="14"/>
      <c r="C73" s="15"/>
      <c r="D73" s="15"/>
      <c r="E73" s="21"/>
      <c r="F73" s="181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2"/>
      <c r="U73" s="183"/>
    </row>
    <row r="74" spans="2:22" x14ac:dyDescent="0.25">
      <c r="B74" s="14"/>
      <c r="C74" s="15" t="s">
        <v>95</v>
      </c>
      <c r="D74" s="15"/>
      <c r="E74" s="21"/>
      <c r="F74" s="187">
        <f>+F55+F68</f>
        <v>2952.8401091149972</v>
      </c>
      <c r="G74" s="182">
        <f t="shared" ref="G74:U74" si="48">+F74-G26</f>
        <v>2748.8266289101439</v>
      </c>
      <c r="H74" s="182">
        <f t="shared" si="48"/>
        <v>2544.8131487052906</v>
      </c>
      <c r="I74" s="182">
        <f t="shared" si="48"/>
        <v>2340.7996685004373</v>
      </c>
      <c r="J74" s="182">
        <f t="shared" si="48"/>
        <v>2136.786188295584</v>
      </c>
      <c r="K74" s="182">
        <f t="shared" si="48"/>
        <v>1932.7727080907307</v>
      </c>
      <c r="L74" s="182">
        <f t="shared" si="48"/>
        <v>1728.7592278858774</v>
      </c>
      <c r="M74" s="182">
        <f t="shared" si="48"/>
        <v>1524.7457476810241</v>
      </c>
      <c r="N74" s="182">
        <f t="shared" si="48"/>
        <v>1320.7322674761708</v>
      </c>
      <c r="O74" s="182">
        <f t="shared" si="48"/>
        <v>1116.7187872713175</v>
      </c>
      <c r="P74" s="182">
        <f t="shared" si="48"/>
        <v>912.70530706646412</v>
      </c>
      <c r="Q74" s="182">
        <f t="shared" si="48"/>
        <v>708.69182686161071</v>
      </c>
      <c r="R74" s="182">
        <f t="shared" si="48"/>
        <v>504.6783466567573</v>
      </c>
      <c r="S74" s="182">
        <f t="shared" si="48"/>
        <v>300.66486645190389</v>
      </c>
      <c r="T74" s="182">
        <f t="shared" si="48"/>
        <v>96.651386247050482</v>
      </c>
      <c r="U74" s="183">
        <f t="shared" si="48"/>
        <v>-107.36209395780293</v>
      </c>
    </row>
    <row r="75" spans="2:22" x14ac:dyDescent="0.25">
      <c r="B75" s="14"/>
      <c r="C75" s="15"/>
      <c r="D75" s="15"/>
      <c r="E75" s="21"/>
      <c r="F75" s="175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1"/>
    </row>
    <row r="76" spans="2:22" x14ac:dyDescent="0.25">
      <c r="B76" s="14"/>
      <c r="C76" s="15" t="s">
        <v>96</v>
      </c>
      <c r="D76" s="15"/>
      <c r="E76" s="150"/>
      <c r="F76" s="166">
        <f t="shared" ref="F76:T76" si="49">F37+F38-F62</f>
        <v>0</v>
      </c>
      <c r="G76" s="37">
        <f t="shared" si="49"/>
        <v>0</v>
      </c>
      <c r="H76" s="37">
        <f t="shared" si="49"/>
        <v>0</v>
      </c>
      <c r="I76" s="37">
        <f t="shared" si="49"/>
        <v>0</v>
      </c>
      <c r="J76" s="37">
        <f t="shared" si="49"/>
        <v>0</v>
      </c>
      <c r="K76" s="37">
        <f t="shared" si="49"/>
        <v>0</v>
      </c>
      <c r="L76" s="37">
        <f t="shared" si="49"/>
        <v>0</v>
      </c>
      <c r="M76" s="37">
        <f t="shared" si="49"/>
        <v>0</v>
      </c>
      <c r="N76" s="37">
        <f t="shared" si="49"/>
        <v>0</v>
      </c>
      <c r="O76" s="37">
        <f t="shared" si="49"/>
        <v>0</v>
      </c>
      <c r="P76" s="37">
        <f t="shared" si="49"/>
        <v>0</v>
      </c>
      <c r="Q76" s="37">
        <f t="shared" si="49"/>
        <v>0</v>
      </c>
      <c r="R76" s="37">
        <f t="shared" si="49"/>
        <v>0</v>
      </c>
      <c r="S76" s="37">
        <f t="shared" si="49"/>
        <v>0</v>
      </c>
      <c r="T76" s="37">
        <f t="shared" si="49"/>
        <v>0</v>
      </c>
      <c r="U76" s="167">
        <f t="shared" ref="U76" si="50">U37+U38-U62</f>
        <v>0</v>
      </c>
    </row>
    <row r="77" spans="2:22" x14ac:dyDescent="0.25">
      <c r="B77" s="14"/>
      <c r="C77" s="15"/>
      <c r="D77" s="15"/>
      <c r="E77" s="21"/>
      <c r="F77" s="175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1"/>
    </row>
    <row r="78" spans="2:22" x14ac:dyDescent="0.25">
      <c r="B78" s="14"/>
      <c r="C78" s="15"/>
      <c r="D78" s="15"/>
      <c r="E78" s="21"/>
      <c r="F78" s="175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1"/>
    </row>
    <row r="79" spans="2:22" x14ac:dyDescent="0.25">
      <c r="B79" s="14"/>
      <c r="C79" s="15" t="s">
        <v>94</v>
      </c>
      <c r="D79" s="15"/>
      <c r="E79" s="21"/>
      <c r="F79" s="184">
        <v>0.05</v>
      </c>
      <c r="G79" s="185">
        <v>9.5000000000000001E-2</v>
      </c>
      <c r="H79" s="185">
        <v>8.5500000000000007E-2</v>
      </c>
      <c r="I79" s="185">
        <v>7.6999999999999999E-2</v>
      </c>
      <c r="J79" s="185">
        <v>6.93E-2</v>
      </c>
      <c r="K79" s="185">
        <v>6.2300000000000001E-2</v>
      </c>
      <c r="L79" s="185">
        <v>5.8999999999999997E-2</v>
      </c>
      <c r="M79" s="185">
        <v>5.8999999999999997E-2</v>
      </c>
      <c r="N79" s="185">
        <v>5.91E-2</v>
      </c>
      <c r="O79" s="185">
        <v>5.8999999999999997E-2</v>
      </c>
      <c r="P79" s="185">
        <v>5.91E-2</v>
      </c>
      <c r="Q79" s="185">
        <v>5.8999999999999997E-2</v>
      </c>
      <c r="R79" s="185">
        <v>5.91E-2</v>
      </c>
      <c r="S79" s="185">
        <v>5.8999999999999997E-2</v>
      </c>
      <c r="T79" s="185">
        <v>5.91E-2</v>
      </c>
      <c r="U79" s="21">
        <v>2.9499999999999998E-2</v>
      </c>
    </row>
    <row r="80" spans="2:22" x14ac:dyDescent="0.25">
      <c r="B80" s="14"/>
      <c r="C80" s="15"/>
      <c r="D80" s="15"/>
      <c r="E80" s="21"/>
      <c r="F80" s="175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1"/>
    </row>
    <row r="81" spans="2:21" x14ac:dyDescent="0.25">
      <c r="B81" s="14"/>
      <c r="C81" s="15"/>
      <c r="D81" s="15"/>
      <c r="E81" s="21"/>
      <c r="F81" s="176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6"/>
    </row>
    <row r="82" spans="2:21" x14ac:dyDescent="0.25">
      <c r="B82" s="14"/>
      <c r="C82" s="15"/>
      <c r="D82" s="15"/>
      <c r="E82" s="21"/>
      <c r="F82" s="175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1"/>
    </row>
    <row r="83" spans="2:21" x14ac:dyDescent="0.25">
      <c r="B83" s="14"/>
      <c r="C83" s="15"/>
      <c r="D83" s="15"/>
      <c r="E83" s="21"/>
      <c r="F83" s="188">
        <f>(1-G13)*G12+G13</f>
        <v>0.21</v>
      </c>
      <c r="G83" s="192" t="s">
        <v>212</v>
      </c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1"/>
    </row>
    <row r="84" spans="2:21" x14ac:dyDescent="0.25">
      <c r="B84" s="14"/>
      <c r="C84" s="15"/>
      <c r="D84" s="15"/>
      <c r="E84" s="21"/>
      <c r="F84" s="191">
        <f>1-F83</f>
        <v>0.79</v>
      </c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1"/>
    </row>
    <row r="85" spans="2:21" ht="15.75" thickBot="1" x14ac:dyDescent="0.3">
      <c r="B85" s="31"/>
      <c r="C85" s="32"/>
      <c r="D85" s="32"/>
      <c r="E85" s="157"/>
      <c r="F85" s="189"/>
      <c r="G85" s="190"/>
      <c r="H85" s="190"/>
      <c r="I85" s="190"/>
      <c r="J85" s="190"/>
      <c r="K85" s="190"/>
      <c r="L85" s="190"/>
      <c r="M85" s="190"/>
      <c r="N85" s="190"/>
      <c r="O85" s="190"/>
      <c r="P85" s="190"/>
      <c r="Q85" s="190"/>
      <c r="R85" s="190"/>
      <c r="S85" s="190"/>
      <c r="T85" s="190"/>
      <c r="U85" s="157"/>
    </row>
  </sheetData>
  <mergeCells count="1">
    <mergeCell ref="F1:G1"/>
  </mergeCells>
  <printOptions horizontalCentered="1"/>
  <pageMargins left="0.7" right="0.7" top="0.75" bottom="0.75" header="0.3" footer="0.3"/>
  <pageSetup orientation="portrait" r:id="rId1"/>
  <headerFooter>
    <oddHeader>&amp;RExh. RJW-1T Wyman WP3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79998168889431442"/>
  </sheetPr>
  <dimension ref="A1:Q59"/>
  <sheetViews>
    <sheetView zoomScaleNormal="100" workbookViewId="0">
      <selection activeCell="L8" sqref="L8"/>
    </sheetView>
  </sheetViews>
  <sheetFormatPr defaultColWidth="8.85546875" defaultRowHeight="15" x14ac:dyDescent="0.25"/>
  <cols>
    <col min="1" max="1" width="2.28515625" style="10" customWidth="1"/>
    <col min="2" max="2" width="15.28515625" style="10" customWidth="1"/>
    <col min="3" max="3" width="15.28515625" style="10" bestFit="1" customWidth="1"/>
    <col min="4" max="5" width="8.85546875" style="10"/>
    <col min="6" max="6" width="13.42578125" style="10" customWidth="1"/>
    <col min="7" max="7" width="17.42578125" style="10" bestFit="1" customWidth="1"/>
    <col min="8" max="8" width="12.85546875" style="10" bestFit="1" customWidth="1"/>
    <col min="9" max="9" width="13.28515625" style="10" bestFit="1" customWidth="1"/>
    <col min="10" max="10" width="8.28515625" style="10" bestFit="1" customWidth="1"/>
    <col min="11" max="11" width="8.5703125" style="10" bestFit="1" customWidth="1"/>
    <col min="12" max="12" width="13.28515625" style="10" bestFit="1" customWidth="1"/>
    <col min="13" max="16384" width="8.85546875" style="10"/>
  </cols>
  <sheetData>
    <row r="1" spans="1:12" x14ac:dyDescent="0.2">
      <c r="A1" s="7" t="s">
        <v>28</v>
      </c>
    </row>
    <row r="2" spans="1:12" x14ac:dyDescent="0.25">
      <c r="A2" s="8" t="s">
        <v>29</v>
      </c>
    </row>
    <row r="3" spans="1:12" x14ac:dyDescent="0.25">
      <c r="A3" s="8"/>
    </row>
    <row r="4" spans="1:12" ht="17.45" customHeight="1" x14ac:dyDescent="0.35">
      <c r="B4" s="205" t="s">
        <v>132</v>
      </c>
      <c r="F4" s="206" t="s">
        <v>101</v>
      </c>
      <c r="G4" s="50"/>
      <c r="H4" s="50"/>
      <c r="I4"/>
      <c r="J4"/>
      <c r="K4"/>
      <c r="L4"/>
    </row>
    <row r="5" spans="1:12" x14ac:dyDescent="0.25">
      <c r="F5" s="51" t="s">
        <v>102</v>
      </c>
      <c r="G5"/>
      <c r="H5"/>
      <c r="I5"/>
      <c r="J5"/>
      <c r="K5"/>
      <c r="L5"/>
    </row>
    <row r="6" spans="1:12" x14ac:dyDescent="0.25">
      <c r="B6" s="204" t="s">
        <v>30</v>
      </c>
      <c r="C6" s="204" t="s">
        <v>97</v>
      </c>
      <c r="F6"/>
      <c r="G6"/>
      <c r="H6"/>
      <c r="I6"/>
      <c r="J6"/>
      <c r="K6"/>
      <c r="L6"/>
    </row>
    <row r="7" spans="1:12" x14ac:dyDescent="0.25">
      <c r="B7" s="201">
        <v>250</v>
      </c>
      <c r="C7" s="203">
        <f>AVERAGE(L10:L13)</f>
        <v>237.09250000000003</v>
      </c>
      <c r="F7" s="218" t="s">
        <v>103</v>
      </c>
      <c r="G7" s="218"/>
      <c r="H7" s="218"/>
      <c r="I7" s="218"/>
      <c r="J7" s="218"/>
      <c r="K7" s="218"/>
      <c r="L7" s="218"/>
    </row>
    <row r="8" spans="1:12" ht="60" x14ac:dyDescent="0.25">
      <c r="B8" s="201">
        <v>630</v>
      </c>
      <c r="C8" s="203">
        <f>AVERAGE(L16:L17)</f>
        <v>676.44499999999994</v>
      </c>
      <c r="F8" s="52" t="s">
        <v>104</v>
      </c>
      <c r="G8" s="52" t="s">
        <v>105</v>
      </c>
      <c r="H8" s="52" t="s">
        <v>106</v>
      </c>
      <c r="I8" s="52" t="s">
        <v>107</v>
      </c>
      <c r="J8" s="52" t="s">
        <v>108</v>
      </c>
      <c r="K8" s="52" t="s">
        <v>109</v>
      </c>
      <c r="L8" s="52" t="s">
        <v>110</v>
      </c>
    </row>
    <row r="9" spans="1:12" x14ac:dyDescent="0.25">
      <c r="B9" s="201">
        <v>1000</v>
      </c>
      <c r="C9" s="203">
        <f>AVERAGE(L19:L20)</f>
        <v>1161.02</v>
      </c>
      <c r="F9" s="218" t="s">
        <v>111</v>
      </c>
      <c r="G9" s="218"/>
      <c r="H9"/>
      <c r="I9"/>
      <c r="J9"/>
      <c r="K9"/>
      <c r="L9"/>
    </row>
    <row r="10" spans="1:12" x14ac:dyDescent="0.25">
      <c r="B10" s="202" t="s">
        <v>98</v>
      </c>
      <c r="C10" s="203">
        <f>AVERAGE(L22,L45)</f>
        <v>3117.1499999999996</v>
      </c>
      <c r="F10" s="53" t="s">
        <v>135</v>
      </c>
      <c r="G10" s="53">
        <v>250</v>
      </c>
      <c r="H10" s="53" t="s">
        <v>112</v>
      </c>
      <c r="I10" s="53" t="s">
        <v>113</v>
      </c>
      <c r="J10" s="53">
        <v>250</v>
      </c>
      <c r="K10" s="53">
        <v>3</v>
      </c>
      <c r="L10" s="70">
        <v>231.29</v>
      </c>
    </row>
    <row r="11" spans="1:12" x14ac:dyDescent="0.25">
      <c r="B11" s="201" t="s">
        <v>12</v>
      </c>
      <c r="C11" s="203">
        <f>AVERAGE(L23,L46)</f>
        <v>3364.3149999999996</v>
      </c>
      <c r="F11" s="53" t="s">
        <v>136</v>
      </c>
      <c r="G11" s="53"/>
      <c r="H11" s="53"/>
      <c r="I11" s="53"/>
      <c r="J11" s="53"/>
      <c r="K11" s="53"/>
      <c r="L11" s="70">
        <v>218.59</v>
      </c>
    </row>
    <row r="12" spans="1:12" x14ac:dyDescent="0.25">
      <c r="B12" s="201" t="s">
        <v>13</v>
      </c>
      <c r="C12" s="203">
        <f>AVERAGE(L24,L25,L42,L47)</f>
        <v>3785.9775</v>
      </c>
      <c r="F12" s="53" t="s">
        <v>137</v>
      </c>
      <c r="G12" s="53" t="s">
        <v>114</v>
      </c>
      <c r="H12" s="53" t="s">
        <v>112</v>
      </c>
      <c r="I12" s="53">
        <v>2</v>
      </c>
      <c r="J12" s="53">
        <v>602</v>
      </c>
      <c r="K12" s="53">
        <v>6</v>
      </c>
      <c r="L12" s="70">
        <v>218.81</v>
      </c>
    </row>
    <row r="13" spans="1:12" x14ac:dyDescent="0.25">
      <c r="B13" s="201" t="s">
        <v>14</v>
      </c>
      <c r="C13" s="203">
        <f>AVERAGE(L26,L27,L43,L48)</f>
        <v>3889.4049999999997</v>
      </c>
      <c r="F13" s="53" t="s">
        <v>138</v>
      </c>
      <c r="G13" s="53" t="s">
        <v>115</v>
      </c>
      <c r="H13" s="53" t="s">
        <v>112</v>
      </c>
      <c r="I13" s="53" t="s">
        <v>116</v>
      </c>
      <c r="J13" s="53">
        <v>602</v>
      </c>
      <c r="K13" s="53">
        <v>6</v>
      </c>
      <c r="L13" s="70">
        <v>279.68</v>
      </c>
    </row>
    <row r="14" spans="1:12" x14ac:dyDescent="0.25">
      <c r="B14" s="201" t="s">
        <v>15</v>
      </c>
      <c r="C14" s="203">
        <f>AVERAGE(L28,L29,L36,L49,L51)</f>
        <v>6025.7300000000005</v>
      </c>
      <c r="F14"/>
      <c r="G14" s="53" t="s">
        <v>117</v>
      </c>
      <c r="H14" s="53" t="s">
        <v>112</v>
      </c>
      <c r="I14" s="53" t="s">
        <v>116</v>
      </c>
      <c r="J14" s="53">
        <v>602</v>
      </c>
      <c r="K14" s="53">
        <v>6</v>
      </c>
      <c r="L14" s="70">
        <v>105.51</v>
      </c>
    </row>
    <row r="15" spans="1:12" x14ac:dyDescent="0.25">
      <c r="B15" s="201" t="s">
        <v>16</v>
      </c>
      <c r="C15" s="203">
        <f>AVERAGE(L37,L50,L52)</f>
        <v>7809.0499999999993</v>
      </c>
      <c r="F15" s="218" t="s">
        <v>118</v>
      </c>
      <c r="G15" s="218"/>
      <c r="H15"/>
      <c r="I15"/>
      <c r="J15"/>
      <c r="K15"/>
      <c r="L15"/>
    </row>
    <row r="16" spans="1:12" x14ac:dyDescent="0.25">
      <c r="B16" s="202" t="s">
        <v>17</v>
      </c>
      <c r="C16" s="203">
        <f>L55</f>
        <v>21697.32</v>
      </c>
      <c r="F16" s="53" t="s">
        <v>139</v>
      </c>
      <c r="G16" s="53" t="s">
        <v>119</v>
      </c>
      <c r="H16" s="53" t="s">
        <v>112</v>
      </c>
      <c r="I16" s="53">
        <v>2</v>
      </c>
      <c r="J16" s="54">
        <v>1516</v>
      </c>
      <c r="K16" s="53">
        <v>16</v>
      </c>
      <c r="L16" s="70">
        <v>671.98</v>
      </c>
    </row>
    <row r="17" spans="2:12" x14ac:dyDescent="0.25">
      <c r="B17" s="201" t="s">
        <v>18</v>
      </c>
      <c r="C17" s="203">
        <f>L56</f>
        <v>28736.799999999999</v>
      </c>
      <c r="F17" s="53" t="s">
        <v>140</v>
      </c>
      <c r="G17" s="53" t="s">
        <v>120</v>
      </c>
      <c r="H17" s="53" t="s">
        <v>112</v>
      </c>
      <c r="I17" s="53" t="s">
        <v>116</v>
      </c>
      <c r="J17" s="54">
        <v>1516</v>
      </c>
      <c r="K17" s="53">
        <v>16</v>
      </c>
      <c r="L17" s="70">
        <v>680.91</v>
      </c>
    </row>
    <row r="18" spans="2:12" x14ac:dyDescent="0.25">
      <c r="B18" s="56"/>
      <c r="C18" s="57"/>
      <c r="F18" s="218" t="s">
        <v>121</v>
      </c>
      <c r="G18" s="218"/>
      <c r="H18"/>
      <c r="I18"/>
      <c r="J18"/>
      <c r="K18"/>
      <c r="L18"/>
    </row>
    <row r="19" spans="2:12" x14ac:dyDescent="0.25">
      <c r="B19" s="56"/>
      <c r="C19" s="57"/>
      <c r="F19" s="53" t="s">
        <v>141</v>
      </c>
      <c r="G19" s="53" t="s">
        <v>122</v>
      </c>
      <c r="H19" s="53" t="s">
        <v>112</v>
      </c>
      <c r="I19" s="53" t="s">
        <v>116</v>
      </c>
      <c r="J19" s="54">
        <v>2407</v>
      </c>
      <c r="K19" s="53">
        <v>25</v>
      </c>
      <c r="L19" s="70">
        <v>1186.06</v>
      </c>
    </row>
    <row r="20" spans="2:12" x14ac:dyDescent="0.25">
      <c r="B20" s="56"/>
      <c r="C20" s="57"/>
      <c r="F20" s="53" t="s">
        <v>142</v>
      </c>
      <c r="G20" s="53" t="s">
        <v>123</v>
      </c>
      <c r="H20" s="53" t="s">
        <v>112</v>
      </c>
      <c r="I20" s="53" t="s">
        <v>116</v>
      </c>
      <c r="J20" s="54">
        <v>2407</v>
      </c>
      <c r="K20" s="53">
        <v>25</v>
      </c>
      <c r="L20" s="70">
        <v>1135.98</v>
      </c>
    </row>
    <row r="21" spans="2:12" x14ac:dyDescent="0.25">
      <c r="B21" s="56"/>
      <c r="C21" s="57"/>
      <c r="F21" s="218" t="s">
        <v>124</v>
      </c>
      <c r="G21" s="218"/>
      <c r="H21"/>
      <c r="I21"/>
      <c r="J21"/>
      <c r="K21"/>
      <c r="L21"/>
    </row>
    <row r="22" spans="2:12" x14ac:dyDescent="0.25">
      <c r="F22" s="53" t="s">
        <v>143</v>
      </c>
      <c r="G22" s="53" t="s">
        <v>125</v>
      </c>
      <c r="H22" s="53" t="s">
        <v>112</v>
      </c>
      <c r="I22" s="53">
        <v>2</v>
      </c>
      <c r="J22" s="54">
        <v>1729</v>
      </c>
      <c r="K22" s="53">
        <v>18</v>
      </c>
      <c r="L22" s="70">
        <v>2105.35</v>
      </c>
    </row>
    <row r="23" spans="2:12" x14ac:dyDescent="0.25">
      <c r="F23" s="53" t="s">
        <v>144</v>
      </c>
      <c r="G23" s="53" t="s">
        <v>126</v>
      </c>
      <c r="H23" s="53" t="s">
        <v>112</v>
      </c>
      <c r="I23" s="53">
        <v>2</v>
      </c>
      <c r="J23" s="54">
        <v>3361</v>
      </c>
      <c r="K23" s="53">
        <v>35</v>
      </c>
      <c r="L23" s="70">
        <v>2533.6799999999998</v>
      </c>
    </row>
    <row r="24" spans="2:12" x14ac:dyDescent="0.25">
      <c r="F24" s="53" t="s">
        <v>145</v>
      </c>
      <c r="G24" s="53" t="s">
        <v>127</v>
      </c>
      <c r="H24" s="53" t="s">
        <v>112</v>
      </c>
      <c r="I24" s="53">
        <v>2</v>
      </c>
      <c r="J24" s="54">
        <v>5666</v>
      </c>
      <c r="K24" s="53">
        <v>59</v>
      </c>
      <c r="L24" s="70">
        <v>2945.67</v>
      </c>
    </row>
    <row r="25" spans="2:12" x14ac:dyDescent="0.25">
      <c r="F25" s="53" t="s">
        <v>146</v>
      </c>
      <c r="G25" s="53" t="s">
        <v>127</v>
      </c>
      <c r="H25" s="53" t="s">
        <v>112</v>
      </c>
      <c r="I25" s="53">
        <v>2</v>
      </c>
      <c r="J25" s="54">
        <v>5666</v>
      </c>
      <c r="K25" s="53">
        <v>59</v>
      </c>
      <c r="L25" s="70">
        <v>3012.19</v>
      </c>
    </row>
    <row r="26" spans="2:12" x14ac:dyDescent="0.25">
      <c r="F26" s="53" t="s">
        <v>147</v>
      </c>
      <c r="G26" s="53" t="s">
        <v>128</v>
      </c>
      <c r="H26" s="53" t="s">
        <v>112</v>
      </c>
      <c r="I26" s="53">
        <v>2</v>
      </c>
      <c r="J26" s="54">
        <v>7875</v>
      </c>
      <c r="K26" s="53">
        <v>82</v>
      </c>
      <c r="L26" s="70">
        <v>3035.38</v>
      </c>
    </row>
    <row r="27" spans="2:12" x14ac:dyDescent="0.25">
      <c r="F27" s="53" t="s">
        <v>148</v>
      </c>
      <c r="G27" s="53" t="s">
        <v>128</v>
      </c>
      <c r="H27" s="53" t="s">
        <v>112</v>
      </c>
      <c r="I27" s="53">
        <v>2</v>
      </c>
      <c r="J27" s="54">
        <v>7875</v>
      </c>
      <c r="K27" s="53">
        <v>82</v>
      </c>
      <c r="L27" s="70">
        <v>3012.19</v>
      </c>
    </row>
    <row r="28" spans="2:12" x14ac:dyDescent="0.25">
      <c r="F28" s="53" t="s">
        <v>149</v>
      </c>
      <c r="G28" s="53" t="s">
        <v>129</v>
      </c>
      <c r="H28" s="53" t="s">
        <v>112</v>
      </c>
      <c r="I28" s="53">
        <v>2</v>
      </c>
      <c r="J28" s="54">
        <v>12478</v>
      </c>
      <c r="K28" s="53">
        <v>129</v>
      </c>
      <c r="L28" s="70">
        <v>3336.31</v>
      </c>
    </row>
    <row r="29" spans="2:12" x14ac:dyDescent="0.25">
      <c r="F29" s="53" t="s">
        <v>150</v>
      </c>
      <c r="G29" s="53" t="s">
        <v>129</v>
      </c>
      <c r="H29" s="53" t="s">
        <v>112</v>
      </c>
      <c r="I29" s="55">
        <v>2</v>
      </c>
      <c r="J29" s="54">
        <v>12478</v>
      </c>
      <c r="K29" s="53">
        <v>129</v>
      </c>
      <c r="L29" s="70">
        <v>5412.09</v>
      </c>
    </row>
    <row r="30" spans="2:12" x14ac:dyDescent="0.25">
      <c r="F30" s="218" t="s">
        <v>130</v>
      </c>
      <c r="G30" s="218"/>
      <c r="H30"/>
      <c r="I30"/>
      <c r="J30"/>
      <c r="K30"/>
      <c r="L30"/>
    </row>
    <row r="31" spans="2:12" x14ac:dyDescent="0.25">
      <c r="F31" s="53" t="s">
        <v>151</v>
      </c>
      <c r="G31" s="53" t="s">
        <v>114</v>
      </c>
      <c r="H31" s="53" t="s">
        <v>112</v>
      </c>
      <c r="I31" s="53">
        <v>2</v>
      </c>
      <c r="J31" s="53">
        <v>602</v>
      </c>
      <c r="K31" s="53">
        <v>6</v>
      </c>
      <c r="L31" s="70">
        <v>249.66</v>
      </c>
    </row>
    <row r="32" spans="2:12" x14ac:dyDescent="0.25">
      <c r="F32" s="53" t="s">
        <v>152</v>
      </c>
      <c r="G32" s="53" t="s">
        <v>119</v>
      </c>
      <c r="H32" s="53" t="s">
        <v>112</v>
      </c>
      <c r="I32" s="53">
        <v>2</v>
      </c>
      <c r="J32" s="54">
        <v>1516</v>
      </c>
      <c r="K32" s="53">
        <v>16</v>
      </c>
      <c r="L32" s="70">
        <v>668.06</v>
      </c>
    </row>
    <row r="33" spans="6:15" x14ac:dyDescent="0.25">
      <c r="F33"/>
      <c r="G33"/>
      <c r="H33"/>
      <c r="I33"/>
      <c r="J33"/>
      <c r="K33"/>
      <c r="L33"/>
    </row>
    <row r="34" spans="6:15" x14ac:dyDescent="0.25">
      <c r="F34" s="218" t="s">
        <v>131</v>
      </c>
      <c r="G34" s="218"/>
      <c r="H34" s="218"/>
      <c r="I34" s="218"/>
      <c r="J34" s="218"/>
      <c r="K34" s="218"/>
      <c r="L34" s="218"/>
    </row>
    <row r="35" spans="6:15" ht="60" x14ac:dyDescent="0.25">
      <c r="F35" s="52" t="s">
        <v>104</v>
      </c>
      <c r="G35" s="52" t="s">
        <v>105</v>
      </c>
      <c r="H35" s="52" t="s">
        <v>106</v>
      </c>
      <c r="I35" s="52" t="s">
        <v>107</v>
      </c>
      <c r="J35" s="52" t="s">
        <v>108</v>
      </c>
      <c r="K35" s="52" t="s">
        <v>109</v>
      </c>
      <c r="L35" s="52" t="s">
        <v>110</v>
      </c>
    </row>
    <row r="36" spans="6:15" x14ac:dyDescent="0.25">
      <c r="F36" s="53" t="s">
        <v>153</v>
      </c>
      <c r="G36" s="53" t="s">
        <v>15</v>
      </c>
      <c r="H36" s="53" t="s">
        <v>112</v>
      </c>
      <c r="I36" s="53">
        <v>5</v>
      </c>
      <c r="J36" s="54">
        <v>14716</v>
      </c>
      <c r="K36" s="53">
        <v>152</v>
      </c>
      <c r="L36" s="70">
        <v>7681.63</v>
      </c>
      <c r="O36" s="9"/>
    </row>
    <row r="37" spans="6:15" x14ac:dyDescent="0.25">
      <c r="F37" s="53" t="s">
        <v>153</v>
      </c>
      <c r="G37" s="53" t="s">
        <v>16</v>
      </c>
      <c r="H37" s="53" t="s">
        <v>112</v>
      </c>
      <c r="I37" s="53">
        <v>5</v>
      </c>
      <c r="J37" s="54">
        <v>21405</v>
      </c>
      <c r="K37" s="53">
        <v>221</v>
      </c>
      <c r="L37" s="70">
        <v>8318.6299999999992</v>
      </c>
    </row>
    <row r="38" spans="6:15" x14ac:dyDescent="0.25">
      <c r="F38" s="53" t="s">
        <v>153</v>
      </c>
      <c r="G38" s="53" t="s">
        <v>154</v>
      </c>
      <c r="H38" s="53" t="s">
        <v>112</v>
      </c>
      <c r="I38" s="53">
        <v>5</v>
      </c>
      <c r="J38" s="54">
        <v>30769</v>
      </c>
      <c r="K38" s="53">
        <v>318</v>
      </c>
      <c r="L38" s="70">
        <v>9401.6299999999992</v>
      </c>
    </row>
    <row r="39" spans="6:15" x14ac:dyDescent="0.25">
      <c r="F39" s="53" t="s">
        <v>155</v>
      </c>
      <c r="G39" s="53" t="s">
        <v>15</v>
      </c>
      <c r="H39" s="53" t="s">
        <v>112</v>
      </c>
      <c r="I39" s="53" t="s">
        <v>167</v>
      </c>
      <c r="J39" s="54">
        <v>40821</v>
      </c>
      <c r="K39" s="53">
        <v>421</v>
      </c>
      <c r="L39" s="70">
        <v>13777.81</v>
      </c>
    </row>
    <row r="40" spans="6:15" x14ac:dyDescent="0.25">
      <c r="F40" s="53" t="s">
        <v>155</v>
      </c>
      <c r="G40" s="53" t="s">
        <v>16</v>
      </c>
      <c r="H40" s="53" t="s">
        <v>112</v>
      </c>
      <c r="I40" s="53" t="s">
        <v>167</v>
      </c>
      <c r="J40" s="54">
        <v>59376</v>
      </c>
      <c r="K40" s="53">
        <v>613</v>
      </c>
      <c r="L40" s="70">
        <v>14411.81</v>
      </c>
    </row>
    <row r="41" spans="6:15" x14ac:dyDescent="0.25">
      <c r="F41" s="53" t="s">
        <v>155</v>
      </c>
      <c r="G41" s="53" t="s">
        <v>154</v>
      </c>
      <c r="H41" s="53" t="s">
        <v>112</v>
      </c>
      <c r="I41" s="53" t="s">
        <v>167</v>
      </c>
      <c r="J41" s="54">
        <v>85353</v>
      </c>
      <c r="K41" s="53">
        <v>881</v>
      </c>
      <c r="L41" s="70">
        <v>15494.81</v>
      </c>
    </row>
    <row r="42" spans="6:15" x14ac:dyDescent="0.25">
      <c r="F42" s="53" t="s">
        <v>156</v>
      </c>
      <c r="G42" s="53" t="s">
        <v>13</v>
      </c>
      <c r="H42" s="53" t="s">
        <v>112</v>
      </c>
      <c r="I42" s="53">
        <v>5</v>
      </c>
      <c r="J42" s="54">
        <v>6689</v>
      </c>
      <c r="K42" s="53">
        <v>69</v>
      </c>
      <c r="L42" s="70">
        <v>4604.62</v>
      </c>
    </row>
    <row r="43" spans="6:15" x14ac:dyDescent="0.25">
      <c r="F43" s="53" t="s">
        <v>157</v>
      </c>
      <c r="G43" s="53" t="s">
        <v>14</v>
      </c>
      <c r="H43" s="53" t="s">
        <v>112</v>
      </c>
      <c r="I43" s="53">
        <v>5</v>
      </c>
      <c r="J43" s="54">
        <v>9365</v>
      </c>
      <c r="K43" s="53">
        <v>97</v>
      </c>
      <c r="L43" s="70">
        <v>4766.62</v>
      </c>
    </row>
    <row r="44" spans="6:15" x14ac:dyDescent="0.25">
      <c r="F44" s="53" t="s">
        <v>158</v>
      </c>
      <c r="G44" s="53" t="s">
        <v>10</v>
      </c>
      <c r="H44" s="53" t="s">
        <v>112</v>
      </c>
      <c r="I44" s="53">
        <v>5</v>
      </c>
      <c r="J44" s="54">
        <v>1050</v>
      </c>
      <c r="K44" s="53">
        <v>11</v>
      </c>
      <c r="L44" s="70">
        <v>4073.95</v>
      </c>
    </row>
    <row r="45" spans="6:15" x14ac:dyDescent="0.25">
      <c r="F45" s="53" t="s">
        <v>158</v>
      </c>
      <c r="G45" s="53" t="s">
        <v>98</v>
      </c>
      <c r="H45" s="53" t="s">
        <v>112</v>
      </c>
      <c r="I45" s="53">
        <v>5</v>
      </c>
      <c r="J45" s="54">
        <v>2000</v>
      </c>
      <c r="K45" s="53">
        <v>21</v>
      </c>
      <c r="L45" s="70">
        <v>4128.95</v>
      </c>
    </row>
    <row r="46" spans="6:15" x14ac:dyDescent="0.25">
      <c r="F46" s="53" t="s">
        <v>158</v>
      </c>
      <c r="G46" s="53" t="s">
        <v>12</v>
      </c>
      <c r="H46" s="53" t="s">
        <v>112</v>
      </c>
      <c r="I46" s="53">
        <v>5</v>
      </c>
      <c r="J46" s="54">
        <v>4013</v>
      </c>
      <c r="K46" s="53">
        <v>41</v>
      </c>
      <c r="L46" s="117">
        <v>4194.95</v>
      </c>
    </row>
    <row r="47" spans="6:15" x14ac:dyDescent="0.25">
      <c r="F47" s="53" t="s">
        <v>159</v>
      </c>
      <c r="G47" s="53" t="s">
        <v>13</v>
      </c>
      <c r="H47" s="53" t="s">
        <v>112</v>
      </c>
      <c r="I47" s="53">
        <v>5</v>
      </c>
      <c r="J47" s="54">
        <v>6689</v>
      </c>
      <c r="K47" s="53">
        <v>69</v>
      </c>
      <c r="L47" s="70">
        <v>4581.43</v>
      </c>
    </row>
    <row r="48" spans="6:15" x14ac:dyDescent="0.25">
      <c r="F48" s="53" t="s">
        <v>160</v>
      </c>
      <c r="G48" s="53" t="s">
        <v>14</v>
      </c>
      <c r="H48" s="53" t="s">
        <v>112</v>
      </c>
      <c r="I48" s="53">
        <v>5</v>
      </c>
      <c r="J48" s="54">
        <v>9365</v>
      </c>
      <c r="K48" s="53">
        <v>97</v>
      </c>
      <c r="L48" s="70">
        <v>4743.43</v>
      </c>
    </row>
    <row r="49" spans="6:17" x14ac:dyDescent="0.25">
      <c r="F49" s="53" t="s">
        <v>161</v>
      </c>
      <c r="G49" s="53" t="s">
        <v>15</v>
      </c>
      <c r="H49" s="53" t="s">
        <v>112</v>
      </c>
      <c r="I49" s="53">
        <v>5</v>
      </c>
      <c r="J49" s="54">
        <v>14716</v>
      </c>
      <c r="K49" s="53">
        <v>152</v>
      </c>
      <c r="L49" s="70">
        <v>5240.1099999999997</v>
      </c>
    </row>
    <row r="50" spans="6:17" x14ac:dyDescent="0.25">
      <c r="F50" s="53" t="s">
        <v>161</v>
      </c>
      <c r="G50" s="53" t="s">
        <v>16</v>
      </c>
      <c r="H50" s="53" t="s">
        <v>112</v>
      </c>
      <c r="I50" s="53">
        <v>5</v>
      </c>
      <c r="J50" s="54">
        <v>21405</v>
      </c>
      <c r="K50" s="53">
        <v>221</v>
      </c>
      <c r="L50" s="70">
        <v>5877.11</v>
      </c>
    </row>
    <row r="51" spans="6:17" x14ac:dyDescent="0.25">
      <c r="F51" s="53" t="s">
        <v>162</v>
      </c>
      <c r="G51" s="53" t="s">
        <v>15</v>
      </c>
      <c r="H51" s="53" t="s">
        <v>112</v>
      </c>
      <c r="I51" s="53">
        <v>5</v>
      </c>
      <c r="J51" s="54">
        <v>14716</v>
      </c>
      <c r="K51" s="53">
        <v>152</v>
      </c>
      <c r="L51" s="70">
        <v>8458.51</v>
      </c>
    </row>
    <row r="52" spans="6:17" x14ac:dyDescent="0.25">
      <c r="F52" s="53" t="s">
        <v>162</v>
      </c>
      <c r="G52" s="53" t="s">
        <v>16</v>
      </c>
      <c r="H52" s="53" t="s">
        <v>112</v>
      </c>
      <c r="I52" s="53">
        <v>5</v>
      </c>
      <c r="J52" s="54">
        <v>21405</v>
      </c>
      <c r="K52" s="53">
        <v>221</v>
      </c>
      <c r="L52" s="70">
        <v>9231.41</v>
      </c>
    </row>
    <row r="53" spans="6:17" x14ac:dyDescent="0.25">
      <c r="F53" s="53" t="s">
        <v>162</v>
      </c>
      <c r="G53" s="53" t="s">
        <v>154</v>
      </c>
      <c r="H53" s="53" t="s">
        <v>112</v>
      </c>
      <c r="I53" s="53">
        <v>5</v>
      </c>
      <c r="J53" s="54">
        <v>30769</v>
      </c>
      <c r="K53" s="53">
        <v>318</v>
      </c>
      <c r="L53" s="70">
        <v>10314.41</v>
      </c>
    </row>
    <row r="54" spans="6:17" x14ac:dyDescent="0.25">
      <c r="F54" s="53" t="s">
        <v>162</v>
      </c>
      <c r="G54" s="53" t="s">
        <v>154</v>
      </c>
      <c r="H54" s="53" t="s">
        <v>112</v>
      </c>
      <c r="I54" s="53" t="s">
        <v>167</v>
      </c>
      <c r="J54" s="54">
        <v>30769</v>
      </c>
      <c r="K54" s="53">
        <v>318</v>
      </c>
      <c r="L54" s="70">
        <v>11969.51</v>
      </c>
    </row>
    <row r="55" spans="6:17" x14ac:dyDescent="0.25">
      <c r="F55" s="53" t="s">
        <v>163</v>
      </c>
      <c r="G55" s="53" t="s">
        <v>166</v>
      </c>
      <c r="H55" s="53" t="s">
        <v>112</v>
      </c>
      <c r="I55" s="53" t="s">
        <v>167</v>
      </c>
      <c r="J55" s="54">
        <v>85353</v>
      </c>
      <c r="K55" s="53">
        <v>881</v>
      </c>
      <c r="L55" s="70">
        <v>21697.32</v>
      </c>
      <c r="Q55" s="9"/>
    </row>
    <row r="56" spans="6:17" x14ac:dyDescent="0.25">
      <c r="F56" s="53" t="s">
        <v>164</v>
      </c>
      <c r="G56" s="53" t="s">
        <v>18</v>
      </c>
      <c r="H56" s="53" t="s">
        <v>112</v>
      </c>
      <c r="I56" s="53" t="s">
        <v>167</v>
      </c>
      <c r="J56" s="54">
        <v>141017</v>
      </c>
      <c r="K56" s="54">
        <v>1455</v>
      </c>
      <c r="L56" s="70">
        <v>28736.799999999999</v>
      </c>
    </row>
    <row r="57" spans="6:17" x14ac:dyDescent="0.25">
      <c r="F57" s="53" t="s">
        <v>165</v>
      </c>
      <c r="G57" s="53" t="s">
        <v>15</v>
      </c>
      <c r="H57" s="53" t="s">
        <v>112</v>
      </c>
      <c r="I57" s="53" t="s">
        <v>167</v>
      </c>
      <c r="J57" s="54">
        <v>40821</v>
      </c>
      <c r="K57" s="72">
        <v>421</v>
      </c>
      <c r="L57" s="70">
        <v>20537.63</v>
      </c>
    </row>
    <row r="58" spans="6:17" x14ac:dyDescent="0.25">
      <c r="F58" s="10" t="s">
        <v>165</v>
      </c>
      <c r="G58" s="72" t="s">
        <v>16</v>
      </c>
      <c r="H58" s="53" t="s">
        <v>112</v>
      </c>
      <c r="I58" s="53" t="s">
        <v>167</v>
      </c>
      <c r="J58" s="54">
        <v>59376</v>
      </c>
      <c r="K58" s="72">
        <v>613</v>
      </c>
      <c r="L58" s="70">
        <v>21174.63</v>
      </c>
    </row>
    <row r="59" spans="6:17" x14ac:dyDescent="0.25">
      <c r="F59" s="10" t="s">
        <v>165</v>
      </c>
      <c r="G59" s="72" t="s">
        <v>154</v>
      </c>
      <c r="H59" s="53" t="s">
        <v>112</v>
      </c>
      <c r="I59" s="53" t="s">
        <v>167</v>
      </c>
      <c r="J59" s="54">
        <v>85353</v>
      </c>
      <c r="K59" s="72">
        <v>881</v>
      </c>
      <c r="L59" s="71">
        <v>22257.63</v>
      </c>
    </row>
  </sheetData>
  <dataConsolidate/>
  <mergeCells count="7">
    <mergeCell ref="F34:L34"/>
    <mergeCell ref="F7:L7"/>
    <mergeCell ref="F9:G9"/>
    <mergeCell ref="F15:G15"/>
    <mergeCell ref="F18:G18"/>
    <mergeCell ref="F21:G21"/>
    <mergeCell ref="F30:G30"/>
  </mergeCells>
  <pageMargins left="0.7" right="0.7" top="0.75" bottom="0.75" header="0.3" footer="0.3"/>
  <pageSetup orientation="portrait" r:id="rId1"/>
  <headerFooter>
    <oddHeader>&amp;RExh. RJW-1T Wyman WP3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79998168889431442"/>
  </sheetPr>
  <dimension ref="A1:M21"/>
  <sheetViews>
    <sheetView tabSelected="1" zoomScaleNormal="100" workbookViewId="0">
      <selection activeCell="L8" sqref="L8"/>
    </sheetView>
  </sheetViews>
  <sheetFormatPr defaultRowHeight="15" x14ac:dyDescent="0.25"/>
  <cols>
    <col min="1" max="1" width="3.140625" customWidth="1"/>
    <col min="2" max="2" width="31.85546875" customWidth="1"/>
    <col min="3" max="4" width="10.7109375" customWidth="1"/>
    <col min="7" max="7" width="40.140625" bestFit="1" customWidth="1"/>
    <col min="8" max="8" width="16.7109375" bestFit="1" customWidth="1"/>
    <col min="9" max="9" width="12.7109375" bestFit="1" customWidth="1"/>
    <col min="11" max="11" width="3.5703125" bestFit="1" customWidth="1"/>
    <col min="12" max="12" width="12.28515625" bestFit="1" customWidth="1"/>
    <col min="13" max="13" width="10.140625" bestFit="1" customWidth="1"/>
    <col min="14" max="14" width="9.140625" bestFit="1" customWidth="1"/>
    <col min="15" max="15" width="11.28515625" customWidth="1"/>
  </cols>
  <sheetData>
    <row r="1" spans="1:13" x14ac:dyDescent="0.25">
      <c r="A1" s="7" t="s">
        <v>28</v>
      </c>
    </row>
    <row r="2" spans="1:13" x14ac:dyDescent="0.25">
      <c r="A2" s="8" t="s">
        <v>29</v>
      </c>
    </row>
    <row r="4" spans="1:13" ht="15.75" thickBot="1" x14ac:dyDescent="0.3">
      <c r="B4" s="103" t="s">
        <v>190</v>
      </c>
      <c r="C4" s="49" t="s">
        <v>34</v>
      </c>
      <c r="D4" s="102"/>
      <c r="L4" s="219" t="s">
        <v>187</v>
      </c>
      <c r="M4" s="219"/>
    </row>
    <row r="5" spans="1:13" s="48" customFormat="1" x14ac:dyDescent="0.25">
      <c r="A5" s="129"/>
      <c r="B5" s="105" t="s">
        <v>189</v>
      </c>
      <c r="C5" s="112">
        <f>SUMPRODUCT(L14:M21)/SUM(M14:M21)</f>
        <v>970.33142857142843</v>
      </c>
      <c r="D5" s="101" t="s">
        <v>218</v>
      </c>
      <c r="E5" s="100"/>
      <c r="L5" s="129" t="s">
        <v>185</v>
      </c>
      <c r="M5" s="129" t="s">
        <v>186</v>
      </c>
    </row>
    <row r="6" spans="1:13" s="48" customFormat="1" x14ac:dyDescent="0.25">
      <c r="A6" s="129"/>
      <c r="B6" s="106" t="s">
        <v>182</v>
      </c>
      <c r="C6" s="113">
        <v>1166.55</v>
      </c>
      <c r="D6" s="104" t="s">
        <v>192</v>
      </c>
      <c r="E6" s="100"/>
      <c r="L6" s="96">
        <v>154800</v>
      </c>
      <c r="M6">
        <v>360</v>
      </c>
    </row>
    <row r="7" spans="1:13" x14ac:dyDescent="0.25">
      <c r="B7" s="106" t="s">
        <v>183</v>
      </c>
      <c r="C7" s="113">
        <f>(355*H16)+(783*I16)+13.4</f>
        <v>488.09491525423721</v>
      </c>
      <c r="D7" s="101" t="s">
        <v>218</v>
      </c>
      <c r="E7" s="74"/>
      <c r="L7" s="96">
        <f>52770*2</f>
        <v>105540</v>
      </c>
      <c r="M7">
        <v>240</v>
      </c>
    </row>
    <row r="8" spans="1:13" x14ac:dyDescent="0.25">
      <c r="B8" s="106" t="s">
        <v>188</v>
      </c>
      <c r="C8" s="114">
        <f>SUMPRODUCT(L6:M8)/SUM(M6:M8)</f>
        <v>435.22585924713582</v>
      </c>
      <c r="D8" s="104" t="s">
        <v>195</v>
      </c>
      <c r="E8" s="74"/>
      <c r="L8" s="96">
        <v>4972</v>
      </c>
      <c r="M8">
        <v>11</v>
      </c>
    </row>
    <row r="9" spans="1:13" ht="75" x14ac:dyDescent="0.25">
      <c r="B9" s="107" t="s">
        <v>179</v>
      </c>
      <c r="C9" s="114">
        <f>2.25*115</f>
        <v>258.75</v>
      </c>
      <c r="D9" s="104" t="s">
        <v>180</v>
      </c>
      <c r="E9" s="100"/>
      <c r="G9" s="100"/>
    </row>
    <row r="10" spans="1:13" x14ac:dyDescent="0.25">
      <c r="B10" s="108" t="s">
        <v>197</v>
      </c>
      <c r="C10" s="114">
        <v>914.27777777777794</v>
      </c>
      <c r="D10" s="104" t="s">
        <v>181</v>
      </c>
      <c r="M10" s="97"/>
    </row>
    <row r="11" spans="1:13" ht="30.75" thickBot="1" x14ac:dyDescent="0.3">
      <c r="B11" s="109" t="s">
        <v>191</v>
      </c>
      <c r="C11" s="115">
        <f>195*0.5</f>
        <v>97.5</v>
      </c>
      <c r="D11" s="104" t="s">
        <v>184</v>
      </c>
      <c r="I11" s="99"/>
      <c r="M11" s="98"/>
    </row>
    <row r="12" spans="1:13" x14ac:dyDescent="0.25">
      <c r="B12" s="74"/>
      <c r="C12" s="78"/>
      <c r="D12" s="78"/>
      <c r="E12" s="74"/>
      <c r="H12" s="219" t="s">
        <v>201</v>
      </c>
      <c r="I12" s="219"/>
      <c r="L12" s="219" t="s">
        <v>198</v>
      </c>
      <c r="M12" s="219"/>
    </row>
    <row r="13" spans="1:13" ht="30" x14ac:dyDescent="0.25">
      <c r="B13" s="1" t="s">
        <v>196</v>
      </c>
      <c r="C13" s="110">
        <v>18</v>
      </c>
      <c r="D13" s="104" t="s">
        <v>194</v>
      </c>
      <c r="H13" s="116" t="s">
        <v>202</v>
      </c>
      <c r="I13" s="116" t="s">
        <v>203</v>
      </c>
      <c r="L13" s="116" t="s">
        <v>185</v>
      </c>
      <c r="M13" s="116" t="s">
        <v>186</v>
      </c>
    </row>
    <row r="14" spans="1:13" x14ac:dyDescent="0.25">
      <c r="D14" s="104" t="s">
        <v>0</v>
      </c>
      <c r="H14" s="118">
        <v>425</v>
      </c>
      <c r="I14" s="118">
        <v>165</v>
      </c>
      <c r="K14" s="220" t="s">
        <v>199</v>
      </c>
      <c r="L14" s="120">
        <f>805*M14</f>
        <v>64400</v>
      </c>
      <c r="M14" s="118">
        <v>80</v>
      </c>
    </row>
    <row r="15" spans="1:13" ht="14.45" customHeight="1" x14ac:dyDescent="0.25">
      <c r="B15" s="84" t="s">
        <v>168</v>
      </c>
      <c r="C15" s="85">
        <f>SUM(C9:C11)</f>
        <v>1270.5277777777778</v>
      </c>
      <c r="D15" s="104"/>
      <c r="G15" s="75"/>
      <c r="H15" s="121" t="s">
        <v>204</v>
      </c>
      <c r="I15" s="122">
        <f>SUM(H14:I14)</f>
        <v>590</v>
      </c>
      <c r="J15" s="76"/>
      <c r="K15" s="220"/>
      <c r="L15" s="120">
        <f t="shared" ref="L15:L17" si="0">805*M15</f>
        <v>265650</v>
      </c>
      <c r="M15" s="119">
        <v>330</v>
      </c>
    </row>
    <row r="16" spans="1:13" ht="30" x14ac:dyDescent="0.25">
      <c r="B16" s="86" t="s">
        <v>193</v>
      </c>
      <c r="C16" s="85">
        <f>SUM(C5:C8)</f>
        <v>3060.2022030728012</v>
      </c>
      <c r="D16" s="77"/>
      <c r="G16" s="123" t="s">
        <v>205</v>
      </c>
      <c r="H16" s="124">
        <f>H14/$I$15</f>
        <v>0.72033898305084743</v>
      </c>
      <c r="I16" s="124">
        <f>I14/$I$15</f>
        <v>0.27966101694915252</v>
      </c>
      <c r="K16" s="220"/>
      <c r="L16" s="120">
        <f t="shared" si="0"/>
        <v>64400</v>
      </c>
      <c r="M16" s="119">
        <v>80</v>
      </c>
    </row>
    <row r="17" spans="11:13" ht="14.45" customHeight="1" x14ac:dyDescent="0.25">
      <c r="K17" s="220"/>
      <c r="L17" s="120">
        <f t="shared" si="0"/>
        <v>4025</v>
      </c>
      <c r="M17" s="119">
        <v>5</v>
      </c>
    </row>
    <row r="18" spans="11:13" x14ac:dyDescent="0.25">
      <c r="K18" s="220" t="s">
        <v>200</v>
      </c>
      <c r="L18" s="120">
        <f>1571.88*M18</f>
        <v>31437.600000000002</v>
      </c>
      <c r="M18" s="118">
        <v>20</v>
      </c>
    </row>
    <row r="19" spans="11:13" ht="14.45" customHeight="1" x14ac:dyDescent="0.25">
      <c r="K19" s="220"/>
      <c r="L19" s="120">
        <f t="shared" ref="L19:L21" si="1">1571.88*M19</f>
        <v>110031.6</v>
      </c>
      <c r="M19" s="118">
        <v>70</v>
      </c>
    </row>
    <row r="20" spans="11:13" x14ac:dyDescent="0.25">
      <c r="K20" s="220"/>
      <c r="L20" s="120">
        <f t="shared" si="1"/>
        <v>62875.200000000004</v>
      </c>
      <c r="M20" s="118">
        <v>40</v>
      </c>
    </row>
    <row r="21" spans="11:13" x14ac:dyDescent="0.25">
      <c r="K21" s="220"/>
      <c r="L21" s="120">
        <f t="shared" si="1"/>
        <v>7859.4000000000005</v>
      </c>
      <c r="M21" s="118">
        <v>5</v>
      </c>
    </row>
  </sheetData>
  <mergeCells count="5">
    <mergeCell ref="L4:M4"/>
    <mergeCell ref="K14:K17"/>
    <mergeCell ref="K18:K21"/>
    <mergeCell ref="L12:M12"/>
    <mergeCell ref="H12:I12"/>
  </mergeCells>
  <pageMargins left="0.7" right="0.7" top="0.75" bottom="0.75" header="0.3" footer="0.3"/>
  <pageSetup orientation="portrait" r:id="rId1"/>
  <headerFooter>
    <oddHeader>&amp;RExh. RJW-1T Wyman WP3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2020-12-18T08:00:00+00:00</OpenedDate>
    <SignificantOrder xmlns="dc463f71-b30c-4ab2-9473-d307f9d35888">false</SignificantOrder>
    <Date1 xmlns="dc463f71-b30c-4ab2-9473-d307f9d35888">2020-12-18T08:00:00+00:00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200994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EEC80525953A745BD9B79DC421B8604" ma:contentTypeVersion="52" ma:contentTypeDescription="" ma:contentTypeScope="" ma:versionID="661ebdd58a449a96898bb3f3afaf286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B56E73-CA19-4F35-BFD4-DECD7AE0105D}">
  <ds:schemaRefs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150B3256-8D74-43C9-AA00-478518F07D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DB495C-303B-46B1-BC53-8D877C1C99CD}"/>
</file>

<file path=customXml/itemProps4.xml><?xml version="1.0" encoding="utf-8"?>
<ds:datastoreItem xmlns:ds="http://schemas.openxmlformats.org/officeDocument/2006/customXml" ds:itemID="{BF93D06F-439D-4A87-81B7-071EC14D05B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Schedule 10-Proposed Rates</vt:lpstr>
      <vt:lpstr>Meter COS</vt:lpstr>
      <vt:lpstr>AAMR COS </vt:lpstr>
      <vt:lpstr>Meter Cost</vt:lpstr>
      <vt:lpstr>AAMR Cost</vt:lpstr>
      <vt:lpstr>'AAMR COS '!Print_Area</vt:lpstr>
      <vt:lpstr>'Meter COS'!Print_Area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NWN User</dc:creator>
  <cp:lastModifiedBy>Lee-Pella, Erica N.</cp:lastModifiedBy>
  <cp:lastPrinted>2020-12-17T23:21:36Z</cp:lastPrinted>
  <dcterms:created xsi:type="dcterms:W3CDTF">2014-06-16T22:39:22Z</dcterms:created>
  <dcterms:modified xsi:type="dcterms:W3CDTF">2020-12-17T23:21:41Z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0x0101006E56B4D1795A2E4DB2F0B01679ED314A008EEC80525953A745BD9B79DC421B8604</vt:lpwstr>
  </property>
  <property fmtid="{D5CDD505-2E9C-101B-9397-08002B2CF9AE}" pid="3" name="_dlc_DocIdItemGuid">
    <vt:lpwstr>d2af49df-9de0-498e-a05d-7d3dbbb80d2a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