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70" yWindow="-15" windowWidth="10035" windowHeight="9885" firstSheet="1" activeTab="1"/>
  </bookViews>
  <sheets>
    <sheet name="Embedded PGA" sheetId="14" state="hidden" r:id="rId1"/>
    <sheet name="PDE-10, Page 1" sheetId="15" r:id="rId2"/>
    <sheet name="PDE-10, Page 2" sheetId="16" r:id="rId3"/>
    <sheet name="PDE-10, Page 3" sheetId="18" r:id="rId4"/>
    <sheet name="PDE-10, Page 4" sheetId="1" r:id="rId5"/>
  </sheets>
  <externalReferences>
    <externalReference r:id="rId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'Embedded PGA'!$A$1:$S$84</definedName>
    <definedName name="_xlnm.Print_Area" localSheetId="2">'PDE-10, Page 2'!$A$1:$E$20</definedName>
    <definedName name="_xlnm.Print_Area" localSheetId="4">'PDE-10, Page 4'!$A$1:$P$39</definedName>
    <definedName name="_xlnm.Print_Titles" localSheetId="4">'PDE-10, Page 4'!$A:$B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P30" i="1"/>
  <c r="P20" i="18"/>
  <c r="E13" i="16"/>
  <c r="D13"/>
  <c r="C13"/>
  <c r="D9"/>
  <c r="E9"/>
  <c r="G19" i="15"/>
  <c r="C9"/>
  <c r="H8"/>
  <c r="H10" s="1"/>
  <c r="C8" l="1"/>
  <c r="G20" l="1"/>
  <c r="F20"/>
  <c r="E20"/>
  <c r="D20"/>
  <c r="E11" i="16" l="1"/>
  <c r="G31" i="1" l="1"/>
  <c r="H31"/>
  <c r="J31"/>
  <c r="K31"/>
  <c r="L31"/>
  <c r="N31"/>
  <c r="O31"/>
  <c r="O14" l="1"/>
  <c r="K14"/>
  <c r="G14"/>
  <c r="H14"/>
  <c r="D14"/>
  <c r="N14"/>
  <c r="J14"/>
  <c r="F14"/>
  <c r="L14"/>
  <c r="Q13"/>
  <c r="Q12"/>
  <c r="M14"/>
  <c r="I14"/>
  <c r="E14"/>
  <c r="M31"/>
  <c r="I31"/>
  <c r="E31"/>
  <c r="Q29"/>
  <c r="F31"/>
  <c r="Q25"/>
  <c r="Q30" s="1"/>
  <c r="D31"/>
  <c r="P31" l="1"/>
  <c r="B15" i="16" l="1"/>
  <c r="B16"/>
  <c r="B17"/>
  <c r="B18"/>
  <c r="E14" i="15"/>
  <c r="F14"/>
  <c r="G14"/>
  <c r="D14"/>
  <c r="Q45" i="14"/>
  <c r="Q48" s="1"/>
  <c r="Q63" s="1"/>
  <c r="R65"/>
  <c r="R64"/>
  <c r="Q64"/>
  <c r="R48"/>
  <c r="R58"/>
  <c r="R54"/>
  <c r="R55"/>
  <c r="R56"/>
  <c r="R53"/>
  <c r="P48"/>
  <c r="Q62" s="1"/>
  <c r="P46"/>
  <c r="Q44"/>
  <c r="P43"/>
  <c r="P40"/>
  <c r="P39"/>
  <c r="P38"/>
  <c r="P35"/>
  <c r="O43"/>
  <c r="O38"/>
  <c r="O35"/>
  <c r="Q34"/>
  <c r="P33"/>
  <c r="P29"/>
  <c r="Q28"/>
  <c r="P27"/>
  <c r="P23"/>
  <c r="P22"/>
  <c r="P16"/>
  <c r="K15"/>
  <c r="K16" s="1"/>
  <c r="K84"/>
  <c r="K43"/>
  <c r="K38"/>
  <c r="K35"/>
  <c r="K14"/>
  <c r="N48"/>
  <c r="L80" l="1"/>
  <c r="K74"/>
  <c r="L78"/>
  <c r="L77"/>
  <c r="L76"/>
  <c r="L75"/>
  <c r="L74"/>
  <c r="L73"/>
  <c r="K72"/>
  <c r="K71"/>
  <c r="L72"/>
  <c r="L71"/>
  <c r="L69"/>
  <c r="L70"/>
  <c r="L68"/>
  <c r="K65"/>
  <c r="L65"/>
  <c r="L64"/>
  <c r="L63"/>
  <c r="L62"/>
  <c r="L54"/>
  <c r="L55"/>
  <c r="L56"/>
  <c r="L53"/>
  <c r="K47"/>
  <c r="L47"/>
  <c r="L46"/>
  <c r="L45"/>
  <c r="L44"/>
  <c r="L43"/>
  <c r="L39"/>
  <c r="L40"/>
  <c r="L38"/>
  <c r="K36"/>
  <c r="K48" s="1"/>
  <c r="L34"/>
  <c r="L35"/>
  <c r="L36" s="1"/>
  <c r="L33"/>
  <c r="K30"/>
  <c r="L30"/>
  <c r="L28"/>
  <c r="L29"/>
  <c r="L27"/>
  <c r="K24"/>
  <c r="L22"/>
  <c r="L23"/>
  <c r="L21"/>
  <c r="L24" s="1"/>
  <c r="K17"/>
  <c r="L15"/>
  <c r="L16"/>
  <c r="L14"/>
  <c r="L17" l="1"/>
  <c r="L48"/>
  <c r="K50"/>
  <c r="K58" s="1"/>
  <c r="L50" l="1"/>
  <c r="L58" s="1"/>
  <c r="Q49" l="1"/>
  <c r="R66"/>
  <c r="Q65" s="1"/>
  <c r="P64" s="1"/>
  <c r="R49"/>
  <c r="O48"/>
  <c r="P49"/>
  <c r="A2" i="18"/>
  <c r="P63" i="14" l="1"/>
  <c r="P62"/>
  <c r="S49"/>
  <c r="Q50" s="1"/>
  <c r="P65" l="1"/>
  <c r="S50"/>
  <c r="P50"/>
  <c r="R50"/>
  <c r="P15" i="18"/>
  <c r="N16" s="1"/>
  <c r="P11"/>
  <c r="N12" s="1"/>
  <c r="A9"/>
  <c r="A10" s="1"/>
  <c r="A11" s="1"/>
  <c r="A12" s="1"/>
  <c r="D11" i="16"/>
  <c r="C20" i="15"/>
  <c r="C18"/>
  <c r="C12"/>
  <c r="A13" i="18" l="1"/>
  <c r="A14" s="1"/>
  <c r="A15" s="1"/>
  <c r="A16" s="1"/>
  <c r="E12"/>
  <c r="G12"/>
  <c r="I12"/>
  <c r="K12"/>
  <c r="M12"/>
  <c r="O12"/>
  <c r="E16"/>
  <c r="G16"/>
  <c r="I16"/>
  <c r="K16"/>
  <c r="M16"/>
  <c r="O16"/>
  <c r="D12"/>
  <c r="F12"/>
  <c r="H12"/>
  <c r="J12"/>
  <c r="L12"/>
  <c r="D16"/>
  <c r="F16"/>
  <c r="H16"/>
  <c r="J16"/>
  <c r="L16"/>
  <c r="E10" i="15"/>
  <c r="G10"/>
  <c r="D10"/>
  <c r="F10"/>
  <c r="C10" l="1"/>
  <c r="C14"/>
  <c r="P12" i="18"/>
  <c r="A17"/>
  <c r="A18" s="1"/>
  <c r="A19" s="1"/>
  <c r="A20" s="1"/>
  <c r="A21" s="1"/>
  <c r="A22" s="1"/>
  <c r="A23" s="1"/>
  <c r="A24" s="1"/>
  <c r="A25" s="1"/>
  <c r="A26" s="1"/>
  <c r="A27" s="1"/>
  <c r="P16"/>
  <c r="D16" i="15"/>
  <c r="D22" s="1"/>
  <c r="G16"/>
  <c r="G22" s="1"/>
  <c r="F16"/>
  <c r="F22" s="1"/>
  <c r="E16"/>
  <c r="E22" l="1"/>
  <c r="C22" s="1"/>
  <c r="C16"/>
  <c r="C21" i="18" l="1"/>
  <c r="P24" l="1"/>
  <c r="E15" i="16"/>
  <c r="D17" l="1"/>
  <c r="D18"/>
  <c r="D15"/>
  <c r="J25" i="18"/>
  <c r="J26" i="1" s="1"/>
  <c r="J27" s="1"/>
  <c r="J33" s="1"/>
  <c r="G25" i="18"/>
  <c r="G26" i="1" s="1"/>
  <c r="G27" s="1"/>
  <c r="G33" s="1"/>
  <c r="N25" i="18"/>
  <c r="N26" i="1" s="1"/>
  <c r="N27" s="1"/>
  <c r="N33" s="1"/>
  <c r="I25" i="18"/>
  <c r="I26" i="1" s="1"/>
  <c r="I27" s="1"/>
  <c r="I33" s="1"/>
  <c r="F25" i="18"/>
  <c r="F26" i="1" s="1"/>
  <c r="F27" s="1"/>
  <c r="F33" s="1"/>
  <c r="M25" i="18"/>
  <c r="M26" i="1" s="1"/>
  <c r="M27" s="1"/>
  <c r="M33" s="1"/>
  <c r="K25" i="18"/>
  <c r="K26" i="1" s="1"/>
  <c r="K27" s="1"/>
  <c r="K33" s="1"/>
  <c r="D25" i="18"/>
  <c r="D26" i="1" s="1"/>
  <c r="D27" s="1"/>
  <c r="L25" i="18"/>
  <c r="L26" i="1" s="1"/>
  <c r="L27" s="1"/>
  <c r="L33" s="1"/>
  <c r="E25" i="18"/>
  <c r="E26" i="1" s="1"/>
  <c r="E27" s="1"/>
  <c r="E33" s="1"/>
  <c r="O25" i="18"/>
  <c r="O26" i="1" s="1"/>
  <c r="O27" s="1"/>
  <c r="O33" s="1"/>
  <c r="H25" i="18"/>
  <c r="H26" i="1" s="1"/>
  <c r="H27" s="1"/>
  <c r="H33" s="1"/>
  <c r="D16" i="16"/>
  <c r="D33" i="1" l="1"/>
  <c r="P27"/>
  <c r="E16" i="16"/>
  <c r="E21" i="18"/>
  <c r="E9" i="1" s="1"/>
  <c r="M21" i="18"/>
  <c r="M9" i="1" s="1"/>
  <c r="K21" i="18"/>
  <c r="K9" i="1" s="1"/>
  <c r="I21" i="18"/>
  <c r="I9" i="1" s="1"/>
  <c r="N21" i="18"/>
  <c r="N9" i="1" s="1"/>
  <c r="G21" i="18"/>
  <c r="G9" i="1" s="1"/>
  <c r="H21" i="18"/>
  <c r="H9" i="1" s="1"/>
  <c r="O21" i="18"/>
  <c r="O9" i="1" s="1"/>
  <c r="J21" i="18"/>
  <c r="J9" i="1" s="1"/>
  <c r="D21" i="18"/>
  <c r="L21"/>
  <c r="L9" i="1" s="1"/>
  <c r="F21" i="18"/>
  <c r="F9" i="1" s="1"/>
  <c r="P25" i="18"/>
  <c r="P33" i="1" l="1"/>
  <c r="D35"/>
  <c r="D37" s="1"/>
  <c r="E17" i="16"/>
  <c r="E18"/>
  <c r="D9" i="1"/>
  <c r="P21" i="18"/>
  <c r="C25"/>
  <c r="E35" i="1" l="1"/>
  <c r="E37" s="1"/>
  <c r="C17" i="16"/>
  <c r="C18"/>
  <c r="A15"/>
  <c r="A16" s="1"/>
  <c r="A17" s="1"/>
  <c r="A18" s="1"/>
  <c r="C15"/>
  <c r="C16"/>
  <c r="F35" i="1" l="1"/>
  <c r="F37" s="1"/>
  <c r="G35" l="1"/>
  <c r="G37" s="1"/>
  <c r="H35" l="1"/>
  <c r="H37" s="1"/>
  <c r="I35" l="1"/>
  <c r="I37" s="1"/>
  <c r="Q8"/>
  <c r="J35" l="1"/>
  <c r="J37" s="1"/>
  <c r="E5"/>
  <c r="F5" s="1"/>
  <c r="G5" s="1"/>
  <c r="H5" s="1"/>
  <c r="I5" s="1"/>
  <c r="J5" s="1"/>
  <c r="K5" s="1"/>
  <c r="L5" s="1"/>
  <c r="M5" s="1"/>
  <c r="N5" s="1"/>
  <c r="O5" s="1"/>
  <c r="H10"/>
  <c r="J10"/>
  <c r="L10"/>
  <c r="N10"/>
  <c r="A9"/>
  <c r="A10" s="1"/>
  <c r="F10"/>
  <c r="D10"/>
  <c r="E10"/>
  <c r="G10"/>
  <c r="I10"/>
  <c r="K10"/>
  <c r="M10"/>
  <c r="O10"/>
  <c r="K35" l="1"/>
  <c r="K37" s="1"/>
  <c r="C10"/>
  <c r="O16"/>
  <c r="G16"/>
  <c r="D16"/>
  <c r="D18" s="1"/>
  <c r="K16"/>
  <c r="P10"/>
  <c r="M16"/>
  <c r="I16"/>
  <c r="E16"/>
  <c r="P14"/>
  <c r="F16"/>
  <c r="N16"/>
  <c r="L16"/>
  <c r="J16"/>
  <c r="H16"/>
  <c r="L35" l="1"/>
  <c r="L37" s="1"/>
  <c r="P16"/>
  <c r="C14" l="1"/>
  <c r="M35"/>
  <c r="M37" s="1"/>
  <c r="C16"/>
  <c r="N35" l="1"/>
  <c r="N37" s="1"/>
  <c r="O35" l="1"/>
  <c r="P35" s="1"/>
  <c r="C20"/>
  <c r="O37" l="1"/>
  <c r="A26"/>
  <c r="A27" s="1"/>
  <c r="C27" l="1"/>
  <c r="A30" l="1"/>
  <c r="A31" s="1"/>
  <c r="C33" s="1"/>
  <c r="C31" l="1"/>
  <c r="D20"/>
  <c r="E18" l="1"/>
  <c r="E20" s="1"/>
  <c r="C37" l="1"/>
  <c r="F18"/>
  <c r="F20" s="1"/>
  <c r="G18" l="1"/>
  <c r="G20" s="1"/>
  <c r="H18" l="1"/>
  <c r="H20" s="1"/>
  <c r="I18" l="1"/>
  <c r="I20" s="1"/>
  <c r="J18" l="1"/>
  <c r="J20" s="1"/>
  <c r="K18" l="1"/>
  <c r="K20" s="1"/>
  <c r="L18" l="1"/>
  <c r="L20" s="1"/>
  <c r="M18" l="1"/>
  <c r="M20" s="1"/>
  <c r="N18" l="1"/>
  <c r="N20" s="1"/>
  <c r="O18" l="1"/>
  <c r="P18" s="1"/>
  <c r="O20" l="1"/>
</calcChain>
</file>

<file path=xl/sharedStrings.xml><?xml version="1.0" encoding="utf-8"?>
<sst xmlns="http://schemas.openxmlformats.org/spreadsheetml/2006/main" count="249" uniqueCount="176">
  <si>
    <t>Cumulative Deferral</t>
  </si>
  <si>
    <t>Interest on Deferral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</si>
  <si>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</si>
  <si>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</si>
  <si>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</si>
  <si>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</si>
  <si>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</si>
  <si>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</si>
  <si>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</si>
  <si>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</si>
  <si>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</si>
  <si>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</si>
  <si>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</si>
  <si>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</si>
  <si>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</si>
  <si>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</si>
  <si>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</si>
  <si>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</si>
  <si>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</si>
  <si>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</si>
  <si>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</si>
  <si>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</si>
  <si>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</si>
  <si>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>WITH PRESENT RATES</t>
  </si>
  <si>
    <t>WITH PROPOSED RATES</t>
  </si>
  <si>
    <t>Actual Per</t>
  </si>
  <si>
    <t>Pro Forma</t>
  </si>
  <si>
    <t>Line</t>
  </si>
  <si>
    <t xml:space="preserve">Results </t>
  </si>
  <si>
    <t>Revenues &amp;</t>
  </si>
  <si>
    <t>No.</t>
  </si>
  <si>
    <t>DESCRIPTION</t>
  </si>
  <si>
    <t>Report</t>
  </si>
  <si>
    <t>Adjustments</t>
  </si>
  <si>
    <t>Related Exp</t>
  </si>
  <si>
    <t>Revenue/Cost</t>
  </si>
  <si>
    <t>a</t>
  </si>
  <si>
    <t>b</t>
  </si>
  <si>
    <t>c</t>
  </si>
  <si>
    <t>d</t>
  </si>
  <si>
    <t>e</t>
  </si>
  <si>
    <t>f</t>
  </si>
  <si>
    <t>h</t>
  </si>
  <si>
    <t>REVENUES</t>
  </si>
  <si>
    <t>Total General Business</t>
  </si>
  <si>
    <t>EXPENSES</t>
  </si>
  <si>
    <t>Operating Expenses</t>
  </si>
  <si>
    <t>Taxes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</si>
  <si>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</si>
  <si>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</si>
  <si>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</si>
  <si>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</si>
  <si>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</si>
  <si>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</si>
  <si>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</si>
  <si>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OPERATING INCOME BEFORE FIT</t>
  </si>
  <si>
    <t>FEDERAL INCOME TAX</t>
  </si>
  <si>
    <t>Current Accrual</t>
  </si>
  <si>
    <t>NET OPERATING INCOME</t>
  </si>
  <si>
    <t>Total Plant in Service</t>
  </si>
  <si>
    <t xml:space="preserve"> </t>
  </si>
  <si>
    <t>RESIDENTIAL</t>
  </si>
  <si>
    <t xml:space="preserve">GENERAL SVC. </t>
  </si>
  <si>
    <t>LG. GEN. SVC.</t>
  </si>
  <si>
    <t>TOTAL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</si>
  <si>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</si>
  <si>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</si>
  <si>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</si>
  <si>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</si>
  <si>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</si>
  <si>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</si>
  <si>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</si>
  <si>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</si>
  <si>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</si>
  <si>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</si>
  <si>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</si>
  <si>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</si>
  <si>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</si>
  <si>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- % of Annual Total</t>
  </si>
  <si>
    <t>MV</t>
  </si>
  <si>
    <t>TWELVE MONTHS ENDED DECEMBER 31, 2011</t>
  </si>
  <si>
    <t>Allowed</t>
  </si>
  <si>
    <t>Delivery</t>
  </si>
  <si>
    <t>Depreciation/Amortization</t>
  </si>
  <si>
    <t>Debt Interest</t>
  </si>
  <si>
    <t>Revenue Data</t>
  </si>
  <si>
    <t>Monthly Test Year</t>
  </si>
  <si>
    <t>Rev Related</t>
  </si>
  <si>
    <t>Expense excl</t>
  </si>
  <si>
    <t>Depreciation</t>
  </si>
  <si>
    <t>Rate Base</t>
  </si>
  <si>
    <t>January 1, 2013</t>
  </si>
  <si>
    <t>Proposed</t>
  </si>
  <si>
    <t>Total Transportation</t>
  </si>
  <si>
    <t>Other Revenues</t>
  </si>
  <si>
    <t>Total Gas Revenues</t>
  </si>
  <si>
    <t xml:space="preserve">Production Expenses </t>
  </si>
  <si>
    <t>City Gate Purchases</t>
  </si>
  <si>
    <t>Purchased Gas Expense</t>
  </si>
  <si>
    <t>Net Nat Gas Storage Trans</t>
  </si>
  <si>
    <t>Total Production</t>
  </si>
  <si>
    <t>Underground Storage</t>
  </si>
  <si>
    <t>Total Underground Storage</t>
  </si>
  <si>
    <t>Regulatory Amortizations</t>
  </si>
  <si>
    <t>Total Gas Expense</t>
  </si>
  <si>
    <t>Deferred FIT</t>
  </si>
  <si>
    <t>Amort ITC</t>
  </si>
  <si>
    <t>RATE BASE: PLANT IN SERVICE</t>
  </si>
  <si>
    <t>Distribution Plant</t>
  </si>
  <si>
    <t>General Plant</t>
  </si>
  <si>
    <t>ACCUMULATED DEPREC/AMORT</t>
  </si>
  <si>
    <t>Total Accum. Depreciation/Amort.</t>
  </si>
  <si>
    <t>NET PLANT</t>
  </si>
  <si>
    <t>DEFERRED FIT</t>
  </si>
  <si>
    <t>Net Plant After DFIT</t>
  </si>
  <si>
    <t>GAS INVENTORY</t>
  </si>
  <si>
    <t>GAIN ON SALE OF BUILDING</t>
  </si>
  <si>
    <t>OTHER</t>
  </si>
  <si>
    <t>WORKING CAPITAL</t>
  </si>
  <si>
    <t>TOTAL RATE BASE</t>
  </si>
  <si>
    <t>RATE OF RETURN</t>
  </si>
  <si>
    <t>AVISTA UTILITIES</t>
  </si>
  <si>
    <t xml:space="preserve">WASHINGTON NATURAL GAS RESULTS </t>
  </si>
  <si>
    <t xml:space="preserve">(000'S OF DOLLARS)   </t>
  </si>
  <si>
    <t>UG-120437 Segregation of Allowed Revenue/Cost</t>
  </si>
  <si>
    <t>PGA</t>
  </si>
  <si>
    <t>Related</t>
  </si>
  <si>
    <t>Sales Therms</t>
  </si>
  <si>
    <t>PGA Revenue per Therm</t>
  </si>
  <si>
    <t>Add back Special Contract Rev to Transport</t>
  </si>
  <si>
    <t>SCHEDULE 101</t>
  </si>
  <si>
    <t>SCH. 111,112</t>
  </si>
  <si>
    <t>SCH. 121,122</t>
  </si>
  <si>
    <t>INTERRUPTIBLE</t>
  </si>
  <si>
    <t>PGA Revenue</t>
  </si>
  <si>
    <t>PGA Rates</t>
  </si>
  <si>
    <t>Decoupling Mechanism</t>
  </si>
  <si>
    <t xml:space="preserve"> - Weather-Normalized Therm Delivery Volume</t>
  </si>
  <si>
    <t>Natural Gas Delivery Volume</t>
  </si>
  <si>
    <t>FERC Rate</t>
  </si>
  <si>
    <t xml:space="preserve">*Sales Schedules 111, 112, 121, 122, 131, 132.  </t>
  </si>
  <si>
    <t>Non-Residential Sales*</t>
  </si>
  <si>
    <t>Proposed Fixed Charges</t>
  </si>
  <si>
    <t>% of Total</t>
  </si>
  <si>
    <t>Natural Gas Decoupling Mechanism</t>
  </si>
  <si>
    <t>Development of Allowed Delivery Revenue by Rate Schedule - Natural Gas</t>
  </si>
  <si>
    <t>Total Normalized Revenue (Exhibit PDE-7, p.1)</t>
  </si>
  <si>
    <t>SCH 131/132</t>
  </si>
  <si>
    <t>Proposed Revenue Increase</t>
  </si>
  <si>
    <t>SCHEDULES</t>
  </si>
  <si>
    <t>146 &amp; 148</t>
  </si>
  <si>
    <t>Normalized Therms (Test Year)</t>
  </si>
  <si>
    <t>Total Proposed Revenue (January 1, 2015)</t>
  </si>
  <si>
    <t>Allowed Non-PGA Revenue</t>
  </si>
  <si>
    <t>Total Revenue Excluding Gas Costs  (Ln 3 - Ln 6)</t>
  </si>
  <si>
    <t>Fixed Charge Revenue (Ln 8 * Ln 9)</t>
  </si>
  <si>
    <t>Development of Annual Non-PGA Revenue Per Customer - Natural Gas</t>
  </si>
  <si>
    <t>PDE-10, Page 1</t>
  </si>
  <si>
    <t>Allowed non-PGA Revenue Per Customer</t>
  </si>
  <si>
    <t>'Development of Monthly Allowed Non-PGA Revenue Per Customer - Natural Gas</t>
  </si>
  <si>
    <t>Test Year # of Customers</t>
  </si>
  <si>
    <t xml:space="preserve">  - 2015 Allowed Non-PGA Revenues Per Customer</t>
  </si>
  <si>
    <t>PDE-10, P. 2 L. 3</t>
  </si>
  <si>
    <t xml:space="preserve">  - 2015 Monthly Allowed Non-PGA Rev. Per Customer</t>
  </si>
  <si>
    <t>Monthly Allowed Non-PGA Revenue Per Customer</t>
  </si>
  <si>
    <t>Illustrative</t>
  </si>
  <si>
    <t>Actual Customers</t>
  </si>
  <si>
    <t>Monthly Allowed Non-PGA Revenue per Customer</t>
  </si>
  <si>
    <t>PDE-10, P. 3</t>
  </si>
  <si>
    <t>Actual Monthly Revenue (Excluding Gas Costs)</t>
  </si>
  <si>
    <t>Actual Fixed Charge Revenue</t>
  </si>
  <si>
    <t>Actual Non-PGA Revenue</t>
  </si>
  <si>
    <t>Development of Natural Gas Deferrals (Calendar Year 2015)</t>
  </si>
  <si>
    <t>Residential Group</t>
  </si>
  <si>
    <t>Non-Residential Group</t>
  </si>
  <si>
    <t>Deferral - Surcharge (Rebate)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</si>
</sst>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[$-409]mmm\-yy;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_(* #,##0.000_);_(* \(#,##0.000\);_(* &quot;-&quot;??_);_(@_)"/>
    <numFmt numFmtId="177" formatCode="#.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_(&quot;$&quot;* #,##0.0_);_(&quot;$&quot;* \(#,##0.0\);_(&quot;$&quot;* &quot;-&quot;??_);_(@_)"/>
    <numFmt numFmtId="185" formatCode="0.0000_);\(0.0000\)"/>
    <numFmt numFmtId="186" formatCode="0.00_)"/>
    <numFmt numFmtId="187" formatCode="&quot;$&quot;#,##0;\-&quot;$&quot;#,##0"/>
    <numFmt numFmtId="188" formatCode="_(&quot;$&quot;* #,##0.000000_);_(&quot;$&quot;* \(#,##0.000000\);_(&quot;$&quot;* &quot;-&quot;??????_);_(@_)"/>
    <numFmt numFmtId="189" formatCode="#,##0.00\ ;\(#,##0.00\)"/>
    <numFmt numFmtId="190" formatCode="0\ &quot; HR&quot;"/>
    <numFmt numFmtId="191" formatCode="0000000"/>
    <numFmt numFmtId="192" formatCode="0.0000%"/>
    <numFmt numFmtId="193" formatCode="0.00000%"/>
    <numFmt numFmtId="194" formatCode="mmm\-yyyy"/>
    <numFmt numFmtId="195" formatCode="_(&quot;$&quot;* #,##0.000_);_(&quot;$&quot;* \(#,##0.000\);_(&quot;$&quot;* &quot;-&quot;??_);_(@_)"/>
    <numFmt numFmtId="196" formatCode="m/yy"/>
    <numFmt numFmtId="197" formatCode="_(&quot;$&quot;* #,##0.0000_);_(&quot;$&quot;* \(#,##0.0000\);_(&quot;$&quot;* &quot;-&quot;????_);_(@_)"/>
    <numFmt numFmtId="198" formatCode="0.0%"/>
    <numFmt numFmtId="199" formatCode="_(* #,##0.0_);_(* \(#,##0.0\);_(* &quot;-&quot;_);_(@_)"/>
    <numFmt numFmtId="200" formatCode="0.000%"/>
    <numFmt numFmtId="201" formatCode="&quot;$&quot;#,##0.00"/>
    <numFmt numFmtId="203" formatCode="_(&quot;$&quot;#,###_);_(&quot;$&quot;\ \(#,###\);_(* _);_(@_)"/>
    <numFmt numFmtId="204" formatCode="#,###_);\(#,###\)"/>
    <numFmt numFmtId="205" formatCode="0.00000"/>
    <numFmt numFmtId="206" formatCode="_(* #,##0.000000_);_(* \(#,##0.000000\);_(* &quot;-&quot;_);_(@_)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9"/>
      <color rgb="FFC00000"/>
      <name val="Times New Roman"/>
      <family val="1"/>
    </font>
    <font>
      <sz val="9"/>
      <color rgb="FF00000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0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gray0625">
        <bgColor theme="0"/>
      </patternFill>
    </fill>
    <fill>
      <patternFill patternType="gray0625"/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3" fillId="0" borderId="0"/>
    <xf numFmtId="0" fontId="23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3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3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3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23" fillId="0" borderId="0"/>
    <xf numFmtId="0" fontId="23" fillId="0" borderId="0"/>
    <xf numFmtId="172" fontId="25" fillId="0" borderId="0">
      <alignment horizontal="left"/>
    </xf>
    <xf numFmtId="173" fontId="26" fillId="0" borderId="0">
      <alignment horizontal="left"/>
    </xf>
    <xf numFmtId="0" fontId="27" fillId="0" borderId="11"/>
    <xf numFmtId="0" fontId="2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4" fillId="0" borderId="0">
      <alignment horizontal="left" wrapText="1"/>
    </xf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9" fontId="24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34" borderId="0" applyNumberFormat="0" applyBorder="0" applyAlignment="0" applyProtection="0"/>
    <xf numFmtId="169" fontId="24" fillId="0" borderId="0">
      <alignment horizontal="left" wrapText="1"/>
    </xf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4" fillId="0" borderId="0">
      <alignment horizontal="left" wrapText="1"/>
    </xf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9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6" borderId="0" applyNumberFormat="0" applyBorder="0" applyAlignment="0" applyProtection="0"/>
    <xf numFmtId="169" fontId="24" fillId="0" borderId="0">
      <alignment horizontal="left" wrapText="1"/>
    </xf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4" fillId="0" borderId="0">
      <alignment horizontal="left" wrapText="1"/>
    </xf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4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38" borderId="0" applyNumberFormat="0" applyBorder="0" applyAlignment="0" applyProtection="0"/>
    <xf numFmtId="169" fontId="24" fillId="0" borderId="0">
      <alignment horizontal="left" wrapText="1"/>
    </xf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4" fillId="0" borderId="0">
      <alignment horizontal="left" wrapText="1"/>
    </xf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9" fontId="24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40" borderId="0" applyNumberFormat="0" applyBorder="0" applyAlignment="0" applyProtection="0"/>
    <xf numFmtId="169" fontId="24" fillId="0" borderId="0">
      <alignment horizontal="left" wrapText="1"/>
    </xf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4" fillId="0" borderId="0">
      <alignment horizontal="left" wrapText="1"/>
    </xf>
    <xf numFmtId="0" fontId="2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4" fillId="0" borderId="0">
      <alignment horizontal="left" wrapText="1"/>
    </xf>
    <xf numFmtId="0" fontId="2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4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41" borderId="0" applyNumberFormat="0" applyBorder="0" applyAlignment="0" applyProtection="0"/>
    <xf numFmtId="169" fontId="24" fillId="0" borderId="0">
      <alignment horizontal="left" wrapText="1"/>
    </xf>
    <xf numFmtId="0" fontId="29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4" fillId="0" borderId="0">
      <alignment horizontal="left" wrapText="1"/>
    </xf>
    <xf numFmtId="0" fontId="2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35" borderId="0" applyNumberFormat="0" applyBorder="0" applyAlignment="0" applyProtection="0"/>
    <xf numFmtId="169" fontId="24" fillId="0" borderId="0">
      <alignment horizontal="left" wrapText="1"/>
    </xf>
    <xf numFmtId="0" fontId="29" fillId="35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4" fillId="0" borderId="0">
      <alignment horizontal="left" wrapText="1"/>
    </xf>
    <xf numFmtId="0" fontId="2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4" fillId="0" borderId="0">
      <alignment horizontal="left" wrapText="1"/>
    </xf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9" fontId="24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9" fillId="43" borderId="0" applyNumberFormat="0" applyBorder="0" applyAlignment="0" applyProtection="0"/>
    <xf numFmtId="169" fontId="24" fillId="0" borderId="0">
      <alignment horizontal="left" wrapText="1"/>
    </xf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4" fillId="0" borderId="0">
      <alignment horizontal="left" wrapText="1"/>
    </xf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9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40" borderId="0" applyNumberFormat="0" applyBorder="0" applyAlignment="0" applyProtection="0"/>
    <xf numFmtId="169" fontId="24" fillId="0" borderId="0">
      <alignment horizontal="left" wrapText="1"/>
    </xf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4" fillId="0" borderId="0">
      <alignment horizontal="left" wrapText="1"/>
    </xf>
    <xf numFmtId="0" fontId="2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35" borderId="0" applyNumberFormat="0" applyBorder="0" applyAlignment="0" applyProtection="0"/>
    <xf numFmtId="169" fontId="24" fillId="0" borderId="0">
      <alignment horizontal="left" wrapText="1"/>
    </xf>
    <xf numFmtId="0" fontId="29" fillId="35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4" fillId="0" borderId="0">
      <alignment horizontal="left" wrapText="1"/>
    </xf>
    <xf numFmtId="0" fontId="2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4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45" borderId="0" applyNumberFormat="0" applyBorder="0" applyAlignment="0" applyProtection="0"/>
    <xf numFmtId="169" fontId="24" fillId="0" borderId="0">
      <alignment horizontal="left" wrapText="1"/>
    </xf>
    <xf numFmtId="0" fontId="29" fillId="45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0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0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4" fillId="0" borderId="0">
      <alignment horizontal="left" wrapText="1"/>
    </xf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4" fillId="0" borderId="0">
      <alignment horizontal="left" wrapText="1"/>
    </xf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4" fillId="0" borderId="0">
      <alignment horizontal="left" wrapText="1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4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69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4" fillId="0" borderId="0">
      <alignment horizontal="left" wrapText="1"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1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4" fontId="32" fillId="0" borderId="0" applyFill="0" applyBorder="0" applyAlignment="0"/>
    <xf numFmtId="174" fontId="32" fillId="0" borderId="0" applyFill="0" applyBorder="0" applyAlignment="0"/>
    <xf numFmtId="169" fontId="24" fillId="0" borderId="0">
      <alignment horizontal="left" wrapText="1"/>
    </xf>
    <xf numFmtId="169" fontId="24" fillId="0" borderId="0">
      <alignment horizontal="left" wrapText="1"/>
    </xf>
    <xf numFmtId="174" fontId="32" fillId="0" borderId="0" applyFill="0" applyBorder="0" applyAlignment="0"/>
    <xf numFmtId="41" fontId="20" fillId="67" borderId="0"/>
    <xf numFmtId="0" fontId="33" fillId="68" borderId="12" applyNumberFormat="0" applyAlignment="0" applyProtection="0"/>
    <xf numFmtId="169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1" fontId="20" fillId="67" borderId="0"/>
    <xf numFmtId="169" fontId="24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4" fillId="69" borderId="4" applyNumberFormat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1" fontId="20" fillId="67" borderId="0"/>
    <xf numFmtId="41" fontId="20" fillId="67" borderId="0"/>
    <xf numFmtId="169" fontId="24" fillId="0" borderId="0">
      <alignment horizontal="left" wrapText="1"/>
    </xf>
    <xf numFmtId="41" fontId="20" fillId="67" borderId="0"/>
    <xf numFmtId="169" fontId="24" fillId="0" borderId="0">
      <alignment horizontal="left" wrapText="1"/>
    </xf>
    <xf numFmtId="41" fontId="20" fillId="67" borderId="0"/>
    <xf numFmtId="169" fontId="24" fillId="0" borderId="0">
      <alignment horizontal="left" wrapText="1"/>
    </xf>
    <xf numFmtId="41" fontId="20" fillId="67" borderId="0"/>
    <xf numFmtId="169" fontId="24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9" fontId="24" fillId="0" borderId="0">
      <alignment horizontal="left" wrapText="1"/>
    </xf>
    <xf numFmtId="0" fontId="35" fillId="70" borderId="13" applyNumberFormat="0" applyAlignment="0" applyProtection="0"/>
    <xf numFmtId="169" fontId="24" fillId="0" borderId="0">
      <alignment horizontal="left" wrapText="1"/>
    </xf>
    <xf numFmtId="0" fontId="13" fillId="7" borderId="7" applyNumberFormat="0" applyAlignment="0" applyProtection="0"/>
    <xf numFmtId="0" fontId="35" fillId="70" borderId="13" applyNumberFormat="0" applyAlignment="0" applyProtection="0"/>
    <xf numFmtId="41" fontId="20" fillId="71" borderId="0"/>
    <xf numFmtId="41" fontId="20" fillId="71" borderId="0"/>
    <xf numFmtId="169" fontId="24" fillId="0" borderId="0">
      <alignment horizontal="left" wrapText="1"/>
    </xf>
    <xf numFmtId="41" fontId="20" fillId="71" borderId="0"/>
    <xf numFmtId="41" fontId="20" fillId="71" borderId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3" fontId="29" fillId="0" borderId="0" applyFont="0" applyFill="0" applyBorder="0" applyAlignment="0" applyProtection="0"/>
    <xf numFmtId="169" fontId="24" fillId="0" borderId="0">
      <alignment horizontal="left" wrapText="1"/>
    </xf>
    <xf numFmtId="43" fontId="29" fillId="0" borderId="0" applyFont="0" applyFill="0" applyBorder="0" applyAlignment="0" applyProtection="0"/>
    <xf numFmtId="169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>
      <alignment horizontal="left" wrapText="1"/>
    </xf>
    <xf numFmtId="43" fontId="20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9" fontId="24" fillId="0" borderId="0">
      <alignment horizontal="left" wrapText="1"/>
    </xf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7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9" fontId="24" fillId="0" borderId="0">
      <alignment horizontal="left" wrapText="1"/>
    </xf>
    <xf numFmtId="169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>
      <alignment horizontal="left" wrapText="1"/>
    </xf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8" fontId="36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9" fontId="24" fillId="0" borderId="0">
      <alignment horizontal="left" wrapText="1"/>
    </xf>
    <xf numFmtId="178" fontId="20" fillId="0" borderId="0" applyFont="0" applyFill="0" applyBorder="0" applyAlignment="0" applyProtection="0"/>
    <xf numFmtId="169" fontId="24" fillId="0" borderId="0">
      <alignment horizontal="left" wrapText="1"/>
    </xf>
    <xf numFmtId="178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4" fontId="29" fillId="0" borderId="0" applyFont="0" applyFill="0" applyBorder="0" applyAlignment="0" applyProtection="0"/>
    <xf numFmtId="169" fontId="24" fillId="0" borderId="0">
      <alignment horizontal="left" wrapText="1"/>
    </xf>
    <xf numFmtId="44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44" fontId="29" fillId="0" borderId="0" applyFont="0" applyFill="0" applyBorder="0" applyAlignment="0" applyProtection="0"/>
    <xf numFmtId="169" fontId="24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4" fontId="29" fillId="0" borderId="0" applyFont="0" applyFill="0" applyBorder="0" applyAlignment="0" applyProtection="0"/>
    <xf numFmtId="169" fontId="24" fillId="0" borderId="0">
      <alignment horizontal="left" wrapText="1"/>
    </xf>
    <xf numFmtId="44" fontId="29" fillId="0" borderId="0" applyFont="0" applyFill="0" applyBorder="0" applyAlignment="0" applyProtection="0"/>
    <xf numFmtId="169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>
      <alignment horizontal="left" wrapText="1"/>
    </xf>
    <xf numFmtId="44" fontId="20" fillId="0" borderId="0" applyFont="0" applyFill="0" applyBorder="0" applyAlignment="0" applyProtection="0"/>
    <xf numFmtId="5" fontId="39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79" fontId="20" fillId="0" borderId="0" applyFont="0" applyFill="0" applyBorder="0" applyAlignment="0" applyProtection="0"/>
    <xf numFmtId="180" fontId="5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4" fillId="0" borderId="0">
      <alignment horizontal="left" wrapText="1"/>
    </xf>
    <xf numFmtId="5" fontId="39" fillId="0" borderId="0" applyFill="0" applyBorder="0" applyAlignment="0" applyProtection="0"/>
    <xf numFmtId="179" fontId="20" fillId="0" borderId="0" applyFont="0" applyFill="0" applyBorder="0" applyAlignment="0" applyProtection="0"/>
    <xf numFmtId="180" fontId="39" fillId="0" borderId="0" applyFont="0" applyFill="0" applyBorder="0" applyAlignment="0" applyProtection="0"/>
    <xf numFmtId="5" fontId="39" fillId="0" borderId="0" applyFill="0" applyBorder="0" applyAlignment="0" applyProtection="0"/>
    <xf numFmtId="179" fontId="20" fillId="0" borderId="0" applyFont="0" applyFill="0" applyBorder="0" applyAlignment="0" applyProtection="0"/>
    <xf numFmtId="181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24" fillId="0" borderId="0">
      <alignment horizontal="left" wrapText="1"/>
    </xf>
    <xf numFmtId="181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9" fontId="20" fillId="0" borderId="0"/>
    <xf numFmtId="169" fontId="20" fillId="0" borderId="0"/>
    <xf numFmtId="169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/>
    <xf numFmtId="169" fontId="20" fillId="0" borderId="0"/>
    <xf numFmtId="169" fontId="24" fillId="0" borderId="0">
      <alignment horizontal="left" wrapText="1"/>
    </xf>
    <xf numFmtId="169" fontId="20" fillId="0" borderId="0"/>
    <xf numFmtId="169" fontId="24" fillId="0" borderId="0">
      <alignment horizontal="left" wrapText="1"/>
    </xf>
    <xf numFmtId="169" fontId="20" fillId="0" borderId="0"/>
    <xf numFmtId="169" fontId="24" fillId="0" borderId="0">
      <alignment horizontal="left" wrapText="1"/>
    </xf>
    <xf numFmtId="182" fontId="53" fillId="0" borderId="0"/>
    <xf numFmtId="169" fontId="24" fillId="0" borderId="0">
      <alignment horizontal="left" wrapText="1"/>
    </xf>
    <xf numFmtId="169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/>
    <xf numFmtId="169" fontId="20" fillId="0" borderId="0"/>
    <xf numFmtId="169" fontId="20" fillId="0" borderId="0"/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24" fillId="0" borderId="0">
      <alignment horizontal="left" wrapText="1"/>
    </xf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5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9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4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9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9" fontId="24" fillId="0" borderId="0">
      <alignment horizontal="left" wrapText="1"/>
    </xf>
    <xf numFmtId="14" fontId="60" fillId="75" borderId="16">
      <alignment horizontal="center" vertical="center" wrapText="1"/>
    </xf>
    <xf numFmtId="0" fontId="44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" fillId="0" borderId="1" applyNumberFormat="0" applyFill="0" applyAlignment="0" applyProtection="0"/>
    <xf numFmtId="0" fontId="62" fillId="0" borderId="18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62" fillId="0" borderId="18" applyNumberFormat="0" applyFill="0" applyAlignment="0" applyProtection="0"/>
    <xf numFmtId="0" fontId="3" fillId="0" borderId="1" applyNumberFormat="0" applyFill="0" applyAlignment="0" applyProtection="0"/>
    <xf numFmtId="0" fontId="62" fillId="0" borderId="18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63" fillId="0" borderId="0" applyNumberFormat="0" applyFill="0" applyBorder="0" applyAlignment="0" applyProtection="0"/>
    <xf numFmtId="169" fontId="24" fillId="0" borderId="0">
      <alignment horizontal="left" wrapText="1"/>
    </xf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56" fillId="0" borderId="0" applyNumberFormat="0" applyFill="0" applyBorder="0" applyAlignment="0" applyProtection="0"/>
    <xf numFmtId="169" fontId="24" fillId="0" borderId="0">
      <alignment horizontal="left" wrapText="1"/>
    </xf>
    <xf numFmtId="0" fontId="6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9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9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9" fontId="24" fillId="0" borderId="0">
      <alignment horizontal="left" wrapText="1"/>
    </xf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69" fontId="24" fillId="0" borderId="0">
      <alignment horizontal="left" wrapText="1"/>
    </xf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0" fontId="56" fillId="67" borderId="23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70" fillId="41" borderId="12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169" fontId="24" fillId="0" borderId="0">
      <alignment horizontal="left" wrapText="1"/>
    </xf>
    <xf numFmtId="0" fontId="70" fillId="41" borderId="12" applyNumberFormat="0" applyAlignment="0" applyProtection="0"/>
    <xf numFmtId="0" fontId="70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0" fillId="41" borderId="12" applyNumberFormat="0" applyAlignment="0" applyProtection="0"/>
    <xf numFmtId="169" fontId="24" fillId="0" borderId="0">
      <alignment horizontal="left" wrapText="1"/>
    </xf>
    <xf numFmtId="0" fontId="70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0" fontId="70" fillId="41" borderId="12" applyNumberFormat="0" applyAlignment="0" applyProtection="0"/>
    <xf numFmtId="41" fontId="71" fillId="76" borderId="24">
      <alignment horizontal="left"/>
      <protection locked="0"/>
    </xf>
    <xf numFmtId="169" fontId="24" fillId="0" borderId="0">
      <alignment horizontal="left" wrapText="1"/>
    </xf>
    <xf numFmtId="41" fontId="71" fillId="76" borderId="24">
      <alignment horizontal="left"/>
      <protection locked="0"/>
    </xf>
    <xf numFmtId="10" fontId="71" fillId="76" borderId="24">
      <alignment horizontal="right"/>
      <protection locked="0"/>
    </xf>
    <xf numFmtId="169" fontId="24" fillId="0" borderId="0">
      <alignment horizontal="left" wrapText="1"/>
    </xf>
    <xf numFmtId="10" fontId="71" fillId="76" borderId="24">
      <alignment horizontal="right"/>
      <protection locked="0"/>
    </xf>
    <xf numFmtId="169" fontId="24" fillId="0" borderId="0">
      <alignment horizontal="left" wrapText="1"/>
    </xf>
    <xf numFmtId="41" fontId="71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9" fontId="24" fillId="0" borderId="0">
      <alignment horizontal="left" wrapText="1"/>
    </xf>
    <xf numFmtId="3" fontId="72" fillId="0" borderId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169" fontId="24" fillId="0" borderId="0">
      <alignment horizontal="left" wrapText="1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8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169" fontId="24" fillId="0" borderId="0">
      <alignment horizontal="left" wrapText="1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44" fontId="60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77" fillId="4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7" fontId="78" fillId="0" borderId="0"/>
    <xf numFmtId="37" fontId="78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37" fontId="78" fillId="0" borderId="0"/>
    <xf numFmtId="186" fontId="79" fillId="0" borderId="0"/>
    <xf numFmtId="187" fontId="20" fillId="0" borderId="0"/>
    <xf numFmtId="187" fontId="20" fillId="0" borderId="0"/>
    <xf numFmtId="169" fontId="24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4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4" fillId="0" borderId="0">
      <alignment horizontal="left" wrapText="1"/>
    </xf>
    <xf numFmtId="187" fontId="20" fillId="0" borderId="0"/>
    <xf numFmtId="187" fontId="20" fillId="0" borderId="0"/>
    <xf numFmtId="188" fontId="24" fillId="0" borderId="0"/>
    <xf numFmtId="188" fontId="24" fillId="0" borderId="0"/>
    <xf numFmtId="186" fontId="79" fillId="0" borderId="0"/>
    <xf numFmtId="0" fontId="20" fillId="0" borderId="0"/>
    <xf numFmtId="186" fontId="79" fillId="0" borderId="0"/>
    <xf numFmtId="189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88" fontId="24" fillId="0" borderId="0"/>
    <xf numFmtId="190" fontId="20" fillId="0" borderId="0"/>
    <xf numFmtId="191" fontId="38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187" fontId="24" fillId="0" borderId="0">
      <alignment horizontal="left" wrapText="1"/>
    </xf>
    <xf numFmtId="0" fontId="29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18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18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187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0" fontId="20" fillId="0" borderId="0"/>
    <xf numFmtId="187" fontId="24" fillId="0" borderId="0">
      <alignment horizontal="left" wrapText="1"/>
    </xf>
    <xf numFmtId="169" fontId="20" fillId="0" borderId="0">
      <alignment horizontal="left" wrapText="1"/>
    </xf>
    <xf numFmtId="187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87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37" fillId="0" borderId="0"/>
    <xf numFmtId="169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2" fontId="20" fillId="0" borderId="0">
      <alignment horizontal="left" wrapText="1"/>
    </xf>
    <xf numFmtId="192" fontId="20" fillId="0" borderId="0">
      <alignment horizontal="left" wrapText="1"/>
    </xf>
    <xf numFmtId="169" fontId="24" fillId="0" borderId="0">
      <alignment horizontal="left" wrapText="1"/>
    </xf>
    <xf numFmtId="192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92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4" fillId="0" borderId="0"/>
    <xf numFmtId="194" fontId="24" fillId="0" borderId="0">
      <alignment horizontal="left" wrapText="1"/>
    </xf>
    <xf numFmtId="0" fontId="20" fillId="0" borderId="0"/>
    <xf numFmtId="0" fontId="20" fillId="0" borderId="0"/>
    <xf numFmtId="169" fontId="24" fillId="0" borderId="0">
      <alignment horizontal="left" wrapText="1"/>
    </xf>
    <xf numFmtId="171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19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9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169" fontId="20" fillId="0" borderId="0">
      <alignment horizontal="left" wrapText="1"/>
    </xf>
    <xf numFmtId="0" fontId="49" fillId="0" borderId="0"/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39" fontId="81" fillId="0" borderId="0" applyNumberForma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39" fontId="81" fillId="0" borderId="0" applyNumberFormat="0" applyFill="0" applyBorder="0" applyAlignment="0" applyProtection="0"/>
    <xf numFmtId="169" fontId="24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9" fontId="24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4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169" fontId="24" fillId="0" borderId="0">
      <alignment horizontal="left" wrapText="1"/>
    </xf>
    <xf numFmtId="171" fontId="24" fillId="0" borderId="0">
      <alignment horizontal="left" wrapText="1"/>
    </xf>
    <xf numFmtId="0" fontId="20" fillId="0" borderId="0"/>
    <xf numFmtId="0" fontId="20" fillId="0" borderId="0"/>
    <xf numFmtId="196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169" fontId="20" fillId="0" borderId="0">
      <alignment horizontal="left" wrapText="1"/>
    </xf>
    <xf numFmtId="0" fontId="37" fillId="0" borderId="0"/>
    <xf numFmtId="169" fontId="20" fillId="0" borderId="0">
      <alignment horizontal="left" wrapText="1"/>
    </xf>
    <xf numFmtId="169" fontId="24" fillId="0" borderId="0">
      <alignment horizontal="left" wrapText="1"/>
    </xf>
    <xf numFmtId="0" fontId="37" fillId="0" borderId="0"/>
    <xf numFmtId="169" fontId="20" fillId="0" borderId="0">
      <alignment horizontal="left" wrapText="1"/>
    </xf>
    <xf numFmtId="0" fontId="37" fillId="0" borderId="0"/>
    <xf numFmtId="169" fontId="20" fillId="0" borderId="0">
      <alignment horizontal="left" wrapText="1"/>
    </xf>
    <xf numFmtId="169" fontId="24" fillId="0" borderId="0">
      <alignment horizontal="left" wrapText="1"/>
    </xf>
    <xf numFmtId="0" fontId="3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80" fillId="0" borderId="0"/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0" borderId="0"/>
    <xf numFmtId="0" fontId="1" fillId="0" borderId="0"/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39" borderId="30" applyNumberFormat="0" applyFont="0" applyAlignment="0" applyProtection="0"/>
    <xf numFmtId="169" fontId="24" fillId="0" borderId="0">
      <alignment horizontal="left" wrapText="1"/>
    </xf>
    <xf numFmtId="0" fontId="20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169" fontId="24" fillId="0" borderId="0">
      <alignment horizontal="left" wrapText="1"/>
    </xf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169" fontId="24" fillId="0" borderId="0">
      <alignment horizontal="left" wrapText="1"/>
    </xf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9" borderId="30" applyNumberFormat="0" applyFont="0" applyAlignment="0" applyProtection="0"/>
    <xf numFmtId="0" fontId="29" fillId="39" borderId="30" applyNumberFormat="0" applyFon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169" fontId="24" fillId="0" borderId="0">
      <alignment horizontal="left" wrapText="1"/>
    </xf>
    <xf numFmtId="0" fontId="82" fillId="68" borderId="31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82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0" fillId="0" borderId="24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10" fontId="20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50" fillId="0" borderId="0" applyFont="0" applyFill="0" applyBorder="0" applyAlignment="0" applyProtection="0"/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0" fillId="0" borderId="24"/>
    <xf numFmtId="169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0" fontId="20" fillId="0" borderId="24"/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0" fontId="20" fillId="0" borderId="24"/>
    <xf numFmtId="9" fontId="36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9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9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0" fontId="20" fillId="0" borderId="24"/>
    <xf numFmtId="10" fontId="20" fillId="0" borderId="24"/>
    <xf numFmtId="169" fontId="24" fillId="0" borderId="0">
      <alignment horizontal="left" wrapText="1"/>
    </xf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9" fontId="24" fillId="0" borderId="0">
      <alignment horizontal="left" wrapText="1"/>
    </xf>
    <xf numFmtId="10" fontId="20" fillId="0" borderId="24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4" fillId="0" borderId="0">
      <alignment horizontal="left" wrapText="1"/>
    </xf>
    <xf numFmtId="9" fontId="36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4" fillId="0" borderId="0">
      <alignment horizontal="left" wrapText="1"/>
    </xf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9" fontId="24" fillId="0" borderId="0">
      <alignment horizontal="left" wrapText="1"/>
    </xf>
    <xf numFmtId="41" fontId="20" fillId="77" borderId="24"/>
    <xf numFmtId="41" fontId="20" fillId="77" borderId="24"/>
    <xf numFmtId="169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" fontId="37" fillId="0" borderId="0" applyFont="0" applyFill="0" applyBorder="0" applyAlignment="0" applyProtection="0"/>
    <xf numFmtId="0" fontId="83" fillId="0" borderId="16">
      <alignment horizontal="center"/>
    </xf>
    <xf numFmtId="0" fontId="83" fillId="0" borderId="16">
      <alignment horizontal="center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83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4" fillId="0" borderId="0" applyFill="0" applyBorder="0" applyAlignment="0" applyProtection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42" fontId="20" fillId="67" borderId="0"/>
    <xf numFmtId="0" fontId="41" fillId="79" borderId="0"/>
    <xf numFmtId="0" fontId="87" fillId="79" borderId="25"/>
    <xf numFmtId="0" fontId="88" fillId="80" borderId="32"/>
    <xf numFmtId="0" fontId="89" fillId="79" borderId="33"/>
    <xf numFmtId="42" fontId="20" fillId="67" borderId="0"/>
    <xf numFmtId="169" fontId="24" fillId="0" borderId="0">
      <alignment horizontal="left" wrapText="1"/>
    </xf>
    <xf numFmtId="42" fontId="20" fillId="67" borderId="0"/>
    <xf numFmtId="169" fontId="24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9" fontId="24" fillId="0" borderId="0">
      <alignment horizontal="left" wrapText="1"/>
    </xf>
    <xf numFmtId="42" fontId="20" fillId="67" borderId="34">
      <alignment vertical="center"/>
    </xf>
    <xf numFmtId="169" fontId="24" fillId="0" borderId="0">
      <alignment horizontal="left" wrapText="1"/>
    </xf>
    <xf numFmtId="42" fontId="20" fillId="67" borderId="34">
      <alignment vertical="center"/>
    </xf>
    <xf numFmtId="169" fontId="24" fillId="0" borderId="0">
      <alignment horizontal="left" wrapText="1"/>
    </xf>
    <xf numFmtId="0" fontId="60" fillId="67" borderId="10" applyNumberFormat="0">
      <alignment horizontal="center" vertical="center" wrapText="1"/>
    </xf>
    <xf numFmtId="0" fontId="60" fillId="67" borderId="35" applyNumberFormat="0">
      <alignment horizontal="center" vertical="center" wrapText="1"/>
    </xf>
    <xf numFmtId="0" fontId="60" fillId="67" borderId="10" applyNumberFormat="0">
      <alignment horizontal="center" vertical="center" wrapText="1"/>
    </xf>
    <xf numFmtId="169" fontId="24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9" fontId="24" fillId="0" borderId="0">
      <alignment horizontal="left" wrapText="1"/>
    </xf>
    <xf numFmtId="169" fontId="24" fillId="0" borderId="0">
      <alignment horizontal="left" wrapText="1"/>
    </xf>
    <xf numFmtId="10" fontId="20" fillId="67" borderId="0"/>
    <xf numFmtId="10" fontId="20" fillId="67" borderId="0"/>
    <xf numFmtId="169" fontId="24" fillId="0" borderId="0">
      <alignment horizontal="left" wrapText="1"/>
    </xf>
    <xf numFmtId="10" fontId="20" fillId="67" borderId="0"/>
    <xf numFmtId="169" fontId="24" fillId="0" borderId="0">
      <alignment horizontal="left" wrapText="1"/>
    </xf>
    <xf numFmtId="10" fontId="20" fillId="67" borderId="0"/>
    <xf numFmtId="169" fontId="24" fillId="0" borderId="0">
      <alignment horizontal="left" wrapText="1"/>
    </xf>
    <xf numFmtId="10" fontId="20" fillId="67" borderId="0"/>
    <xf numFmtId="169" fontId="24" fillId="0" borderId="0">
      <alignment horizontal="left" wrapText="1"/>
    </xf>
    <xf numFmtId="169" fontId="24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7" fontId="20" fillId="67" borderId="0"/>
    <xf numFmtId="197" fontId="20" fillId="67" borderId="0"/>
    <xf numFmtId="197" fontId="20" fillId="67" borderId="0"/>
    <xf numFmtId="169" fontId="24" fillId="0" borderId="0">
      <alignment horizontal="left" wrapText="1"/>
    </xf>
    <xf numFmtId="169" fontId="24" fillId="0" borderId="0">
      <alignment horizontal="left" wrapText="1"/>
    </xf>
    <xf numFmtId="197" fontId="20" fillId="67" borderId="0"/>
    <xf numFmtId="197" fontId="20" fillId="67" borderId="0"/>
    <xf numFmtId="169" fontId="24" fillId="0" borderId="0">
      <alignment horizontal="left" wrapText="1"/>
    </xf>
    <xf numFmtId="197" fontId="20" fillId="67" borderId="0"/>
    <xf numFmtId="169" fontId="24" fillId="0" borderId="0">
      <alignment horizontal="left" wrapText="1"/>
    </xf>
    <xf numFmtId="197" fontId="20" fillId="67" borderId="0"/>
    <xf numFmtId="169" fontId="24" fillId="0" borderId="0">
      <alignment horizontal="left" wrapText="1"/>
    </xf>
    <xf numFmtId="197" fontId="20" fillId="67" borderId="0"/>
    <xf numFmtId="169" fontId="24" fillId="0" borderId="0">
      <alignment horizontal="left" wrapText="1"/>
    </xf>
    <xf numFmtId="169" fontId="24" fillId="0" borderId="0">
      <alignment horizontal="left" wrapText="1"/>
    </xf>
    <xf numFmtId="197" fontId="20" fillId="67" borderId="0"/>
    <xf numFmtId="197" fontId="20" fillId="67" borderId="0"/>
    <xf numFmtId="197" fontId="20" fillId="67" borderId="0"/>
    <xf numFmtId="42" fontId="20" fillId="67" borderId="0"/>
    <xf numFmtId="167" fontId="68" fillId="0" borderId="0" applyBorder="0" applyAlignment="0"/>
    <xf numFmtId="167" fontId="68" fillId="0" borderId="0" applyBorder="0" applyAlignment="0"/>
    <xf numFmtId="167" fontId="68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9" fontId="24" fillId="0" borderId="0">
      <alignment horizontal="left" wrapText="1"/>
    </xf>
    <xf numFmtId="42" fontId="20" fillId="67" borderId="36">
      <alignment horizontal="left"/>
    </xf>
    <xf numFmtId="169" fontId="24" fillId="0" borderId="0">
      <alignment horizontal="left" wrapText="1"/>
    </xf>
    <xf numFmtId="42" fontId="20" fillId="67" borderId="36">
      <alignment horizontal="left"/>
    </xf>
    <xf numFmtId="169" fontId="24" fillId="0" borderId="0">
      <alignment horizontal="left" wrapText="1"/>
    </xf>
    <xf numFmtId="197" fontId="90" fillId="67" borderId="36">
      <alignment horizontal="left"/>
    </xf>
    <xf numFmtId="169" fontId="24" fillId="0" borderId="0">
      <alignment horizontal="left" wrapText="1"/>
    </xf>
    <xf numFmtId="197" fontId="90" fillId="67" borderId="36">
      <alignment horizontal="left"/>
    </xf>
    <xf numFmtId="167" fontId="6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4" fillId="0" borderId="0">
      <alignment horizontal="left" wrapText="1"/>
    </xf>
    <xf numFmtId="169" fontId="24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4" fillId="0" borderId="0">
      <alignment horizontal="left" wrapText="1"/>
    </xf>
    <xf numFmtId="199" fontId="20" fillId="0" borderId="0" applyFont="0" applyFill="0" applyAlignment="0">
      <alignment horizontal="right"/>
    </xf>
    <xf numFmtId="169" fontId="24" fillId="0" borderId="0">
      <alignment horizontal="left" wrapText="1"/>
    </xf>
    <xf numFmtId="199" fontId="20" fillId="0" borderId="0" applyFont="0" applyFill="0" applyAlignment="0">
      <alignment horizontal="right"/>
    </xf>
    <xf numFmtId="169" fontId="24" fillId="0" borderId="0">
      <alignment horizontal="left" wrapText="1"/>
    </xf>
    <xf numFmtId="199" fontId="20" fillId="0" borderId="0" applyFont="0" applyFill="0" applyAlignment="0">
      <alignment horizontal="right"/>
    </xf>
    <xf numFmtId="169" fontId="24" fillId="0" borderId="0">
      <alignment horizontal="left" wrapText="1"/>
    </xf>
    <xf numFmtId="169" fontId="24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4" fontId="91" fillId="76" borderId="31" applyNumberFormat="0" applyProtection="0">
      <alignment vertical="center"/>
    </xf>
    <xf numFmtId="169" fontId="24" fillId="0" borderId="0">
      <alignment horizontal="left" wrapText="1"/>
    </xf>
    <xf numFmtId="4" fontId="91" fillId="76" borderId="31" applyNumberFormat="0" applyProtection="0">
      <alignment vertical="center"/>
    </xf>
    <xf numFmtId="4" fontId="92" fillId="76" borderId="31" applyNumberFormat="0" applyProtection="0">
      <alignment vertical="center"/>
    </xf>
    <xf numFmtId="169" fontId="24" fillId="0" borderId="0">
      <alignment horizontal="left" wrapText="1"/>
    </xf>
    <xf numFmtId="4" fontId="92" fillId="76" borderId="31" applyNumberFormat="0" applyProtection="0">
      <alignment vertical="center"/>
    </xf>
    <xf numFmtId="4" fontId="91" fillId="76" borderId="31" applyNumberFormat="0" applyProtection="0">
      <alignment horizontal="left" vertical="center" indent="1"/>
    </xf>
    <xf numFmtId="169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4" fontId="91" fillId="76" borderId="31" applyNumberFormat="0" applyProtection="0">
      <alignment horizontal="left" vertical="center" indent="1"/>
    </xf>
    <xf numFmtId="169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1" fillId="83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83" borderId="31" applyNumberFormat="0" applyProtection="0">
      <alignment horizontal="right" vertical="center"/>
    </xf>
    <xf numFmtId="4" fontId="91" fillId="84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84" borderId="31" applyNumberFormat="0" applyProtection="0">
      <alignment horizontal="right" vertical="center"/>
    </xf>
    <xf numFmtId="4" fontId="91" fillId="85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85" borderId="31" applyNumberFormat="0" applyProtection="0">
      <alignment horizontal="right" vertical="center"/>
    </xf>
    <xf numFmtId="4" fontId="91" fillId="86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86" borderId="31" applyNumberFormat="0" applyProtection="0">
      <alignment horizontal="right" vertical="center"/>
    </xf>
    <xf numFmtId="4" fontId="91" fillId="87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87" borderId="31" applyNumberFormat="0" applyProtection="0">
      <alignment horizontal="right" vertical="center"/>
    </xf>
    <xf numFmtId="4" fontId="91" fillId="88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88" borderId="31" applyNumberFormat="0" applyProtection="0">
      <alignment horizontal="right" vertical="center"/>
    </xf>
    <xf numFmtId="4" fontId="91" fillId="89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89" borderId="31" applyNumberFormat="0" applyProtection="0">
      <alignment horizontal="right" vertical="center"/>
    </xf>
    <xf numFmtId="4" fontId="91" fillId="90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90" borderId="31" applyNumberFormat="0" applyProtection="0">
      <alignment horizontal="right" vertical="center"/>
    </xf>
    <xf numFmtId="4" fontId="91" fillId="91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91" borderId="31" applyNumberFormat="0" applyProtection="0">
      <alignment horizontal="right" vertical="center"/>
    </xf>
    <xf numFmtId="4" fontId="93" fillId="92" borderId="31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2" borderId="31" applyNumberFormat="0" applyProtection="0">
      <alignment horizontal="left" vertical="center" indent="1"/>
    </xf>
    <xf numFmtId="4" fontId="91" fillId="94" borderId="37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68" fillId="64" borderId="38" applyBorder="0"/>
    <xf numFmtId="4" fontId="91" fillId="98" borderId="31" applyNumberFormat="0" applyProtection="0">
      <alignment vertical="center"/>
    </xf>
    <xf numFmtId="169" fontId="24" fillId="0" borderId="0">
      <alignment horizontal="left" wrapText="1"/>
    </xf>
    <xf numFmtId="4" fontId="91" fillId="98" borderId="31" applyNumberFormat="0" applyProtection="0">
      <alignment vertical="center"/>
    </xf>
    <xf numFmtId="4" fontId="92" fillId="98" borderId="31" applyNumberFormat="0" applyProtection="0">
      <alignment vertical="center"/>
    </xf>
    <xf numFmtId="169" fontId="24" fillId="0" borderId="0">
      <alignment horizontal="left" wrapText="1"/>
    </xf>
    <xf numFmtId="4" fontId="92" fillId="98" borderId="31" applyNumberFormat="0" applyProtection="0">
      <alignment vertical="center"/>
    </xf>
    <xf numFmtId="4" fontId="91" fillId="98" borderId="31" applyNumberFormat="0" applyProtection="0">
      <alignment horizontal="left" vertical="center" indent="1"/>
    </xf>
    <xf numFmtId="169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8" borderId="31" applyNumberFormat="0" applyProtection="0">
      <alignment horizontal="left" vertical="center" indent="1"/>
    </xf>
    <xf numFmtId="169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9" fontId="24" fillId="0" borderId="0">
      <alignment horizontal="left" wrapText="1"/>
    </xf>
    <xf numFmtId="4" fontId="91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9" fontId="24" fillId="0" borderId="0">
      <alignment horizontal="left" wrapText="1"/>
    </xf>
    <xf numFmtId="4" fontId="92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6" fillId="0" borderId="0"/>
    <xf numFmtId="0" fontId="96" fillId="0" borderId="0"/>
    <xf numFmtId="0" fontId="97" fillId="0" borderId="0" applyNumberFormat="0" applyProtection="0">
      <alignment horizontal="left" indent="5"/>
    </xf>
    <xf numFmtId="0" fontId="56" fillId="99" borderId="23"/>
    <xf numFmtId="4" fontId="98" fillId="94" borderId="31" applyNumberFormat="0" applyProtection="0">
      <alignment horizontal="right" vertical="center"/>
    </xf>
    <xf numFmtId="169" fontId="24" fillId="0" borderId="0">
      <alignment horizontal="left" wrapText="1"/>
    </xf>
    <xf numFmtId="4" fontId="98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9" fontId="24" fillId="0" borderId="0">
      <alignment horizontal="left" wrapText="1"/>
    </xf>
    <xf numFmtId="169" fontId="24" fillId="0" borderId="0">
      <alignment horizontal="left" wrapText="1"/>
    </xf>
    <xf numFmtId="39" fontId="20" fillId="100" borderId="0"/>
    <xf numFmtId="39" fontId="20" fillId="100" borderId="0"/>
    <xf numFmtId="169" fontId="24" fillId="0" borderId="0">
      <alignment horizontal="left" wrapText="1"/>
    </xf>
    <xf numFmtId="39" fontId="20" fillId="100" borderId="0"/>
    <xf numFmtId="169" fontId="24" fillId="0" borderId="0">
      <alignment horizontal="left" wrapText="1"/>
    </xf>
    <xf numFmtId="39" fontId="20" fillId="100" borderId="0"/>
    <xf numFmtId="169" fontId="24" fillId="0" borderId="0">
      <alignment horizontal="left" wrapText="1"/>
    </xf>
    <xf numFmtId="39" fontId="20" fillId="100" borderId="0"/>
    <xf numFmtId="169" fontId="24" fillId="0" borderId="0">
      <alignment horizontal="left" wrapText="1"/>
    </xf>
    <xf numFmtId="169" fontId="24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9" fillId="0" borderId="0" applyNumberFormat="0" applyFill="0" applyBorder="0" applyAlignment="0" applyProtection="0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38" fontId="56" fillId="0" borderId="39"/>
    <xf numFmtId="169" fontId="24" fillId="0" borderId="0">
      <alignment horizontal="left" wrapText="1"/>
    </xf>
    <xf numFmtId="38" fontId="56" fillId="0" borderId="39"/>
    <xf numFmtId="0" fontId="56" fillId="0" borderId="39"/>
    <xf numFmtId="38" fontId="56" fillId="0" borderId="39"/>
    <xf numFmtId="38" fontId="56" fillId="0" borderId="39"/>
    <xf numFmtId="38" fontId="56" fillId="0" borderId="39"/>
    <xf numFmtId="38" fontId="68" fillId="0" borderId="36"/>
    <xf numFmtId="38" fontId="68" fillId="0" borderId="36"/>
    <xf numFmtId="38" fontId="68" fillId="0" borderId="36"/>
    <xf numFmtId="38" fontId="68" fillId="0" borderId="36"/>
    <xf numFmtId="169" fontId="24" fillId="0" borderId="0">
      <alignment horizontal="left" wrapText="1"/>
    </xf>
    <xf numFmtId="0" fontId="68" fillId="0" borderId="36"/>
    <xf numFmtId="0" fontId="68" fillId="0" borderId="36"/>
    <xf numFmtId="0" fontId="68" fillId="0" borderId="36"/>
    <xf numFmtId="38" fontId="68" fillId="0" borderId="36"/>
    <xf numFmtId="38" fontId="68" fillId="0" borderId="36"/>
    <xf numFmtId="38" fontId="68" fillId="0" borderId="36"/>
    <xf numFmtId="38" fontId="68" fillId="0" borderId="36"/>
    <xf numFmtId="39" fontId="24" fillId="101" borderId="0"/>
    <xf numFmtId="39" fontId="24" fillId="101" borderId="0"/>
    <xf numFmtId="169" fontId="20" fillId="0" borderId="0">
      <alignment horizontal="left" wrapText="1"/>
    </xf>
    <xf numFmtId="200" fontId="20" fillId="0" borderId="0">
      <alignment horizontal="left" wrapText="1"/>
    </xf>
    <xf numFmtId="192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8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4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95" fontId="20" fillId="0" borderId="0">
      <alignment horizontal="left" wrapText="1"/>
    </xf>
    <xf numFmtId="200" fontId="20" fillId="0" borderId="0">
      <alignment horizontal="left" wrapText="1"/>
    </xf>
    <xf numFmtId="200" fontId="20" fillId="0" borderId="0">
      <alignment horizontal="left" wrapText="1"/>
    </xf>
    <xf numFmtId="169" fontId="24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3" fontId="20" fillId="0" borderId="0">
      <alignment horizontal="left" wrapText="1"/>
    </xf>
    <xf numFmtId="169" fontId="20" fillId="0" borderId="0">
      <alignment horizontal="left" wrapText="1"/>
    </xf>
    <xf numFmtId="198" fontId="20" fillId="0" borderId="0">
      <alignment horizontal="left" wrapText="1"/>
    </xf>
    <xf numFmtId="169" fontId="20" fillId="0" borderId="0">
      <alignment horizontal="left" wrapText="1"/>
    </xf>
    <xf numFmtId="0" fontId="20" fillId="0" borderId="0">
      <alignment horizontal="left" wrapText="1"/>
    </xf>
    <xf numFmtId="0" fontId="91" fillId="0" borderId="0" applyNumberFormat="0" applyBorder="0" applyAlignment="0"/>
    <xf numFmtId="0" fontId="100" fillId="0" borderId="0" applyNumberFormat="0" applyBorder="0" applyAlignment="0"/>
    <xf numFmtId="0" fontId="93" fillId="0" borderId="0" applyNumberFormat="0" applyBorder="0" applyAlignment="0"/>
    <xf numFmtId="0" fontId="101" fillId="0" borderId="0"/>
    <xf numFmtId="0" fontId="57" fillId="0" borderId="33"/>
    <xf numFmtId="40" fontId="102" fillId="0" borderId="0" applyBorder="0">
      <alignment horizontal="right"/>
    </xf>
    <xf numFmtId="41" fontId="103" fillId="67" borderId="0">
      <alignment horizontal="left"/>
    </xf>
    <xf numFmtId="40" fontId="102" fillId="0" borderId="0" applyBorder="0">
      <alignment horizontal="right"/>
    </xf>
    <xf numFmtId="41" fontId="103" fillId="67" borderId="0">
      <alignment horizontal="left"/>
    </xf>
    <xf numFmtId="40" fontId="102" fillId="0" borderId="0" applyBorder="0">
      <alignment horizontal="right"/>
    </xf>
    <xf numFmtId="41" fontId="103" fillId="67" borderId="0">
      <alignment horizontal="left"/>
    </xf>
    <xf numFmtId="0" fontId="104" fillId="0" borderId="0"/>
    <xf numFmtId="0" fontId="20" fillId="0" borderId="0" applyNumberFormat="0" applyBorder="0" applyAlignment="0"/>
    <xf numFmtId="0" fontId="105" fillId="0" borderId="0" applyFill="0" applyBorder="0" applyProtection="0">
      <alignment horizontal="left" vertical="top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1" fillId="0" borderId="0"/>
    <xf numFmtId="0" fontId="87" fillId="79" borderId="0"/>
    <xf numFmtId="201" fontId="107" fillId="67" borderId="0">
      <alignment horizontal="left" vertical="center"/>
    </xf>
    <xf numFmtId="201" fontId="108" fillId="0" borderId="0">
      <alignment horizontal="left" vertical="center"/>
    </xf>
    <xf numFmtId="201" fontId="108" fillId="0" borderId="0">
      <alignment horizontal="left" vertical="center"/>
    </xf>
    <xf numFmtId="0" fontId="60" fillId="67" borderId="0">
      <alignment horizontal="left" wrapText="1"/>
    </xf>
    <xf numFmtId="0" fontId="60" fillId="67" borderId="0">
      <alignment horizontal="left" wrapText="1"/>
    </xf>
    <xf numFmtId="0" fontId="60" fillId="67" borderId="0">
      <alignment horizontal="left" wrapText="1"/>
    </xf>
    <xf numFmtId="169" fontId="24" fillId="0" borderId="0">
      <alignment horizontal="left" wrapText="1"/>
    </xf>
    <xf numFmtId="0" fontId="109" fillId="0" borderId="0">
      <alignment horizontal="left" vertical="center"/>
    </xf>
    <xf numFmtId="0" fontId="109" fillId="0" borderId="0">
      <alignment horizontal="left" vertical="center"/>
    </xf>
    <xf numFmtId="0" fontId="44" fillId="0" borderId="40" applyNumberFormat="0" applyFon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41" fontId="60" fillId="67" borderId="0">
      <alignment horizontal="left"/>
    </xf>
    <xf numFmtId="169" fontId="24" fillId="0" borderId="0">
      <alignment horizontal="left" wrapText="1"/>
    </xf>
    <xf numFmtId="169" fontId="24" fillId="0" borderId="0">
      <alignment horizontal="left" wrapText="1"/>
    </xf>
    <xf numFmtId="41" fontId="60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2" fillId="0" borderId="43"/>
    <xf numFmtId="0" fontId="43" fillId="0" borderId="43"/>
    <xf numFmtId="0" fontId="43" fillId="0" borderId="43"/>
    <xf numFmtId="0" fontId="42" fillId="0" borderId="43"/>
    <xf numFmtId="0" fontId="43" fillId="0" borderId="43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9" fontId="24" fillId="0" borderId="0">
      <alignment horizontal="left" wrapText="1"/>
    </xf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67" borderId="35" applyNumberFormat="0">
      <alignment horizontal="center" vertical="center" wrapText="1"/>
    </xf>
    <xf numFmtId="0" fontId="110" fillId="0" borderId="0"/>
    <xf numFmtId="0" fontId="118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8" fillId="0" borderId="0">
      <alignment readingOrder="1"/>
    </xf>
    <xf numFmtId="0" fontId="118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7" fontId="39" fillId="76" borderId="0" applyFont="0" applyFill="0" applyBorder="0" applyAlignment="0" applyProtection="0">
      <alignment wrapText="1"/>
    </xf>
    <xf numFmtId="3" fontId="19" fillId="0" borderId="0"/>
    <xf numFmtId="0" fontId="118" fillId="0" borderId="0">
      <alignment readingOrder="1"/>
    </xf>
    <xf numFmtId="38" fontId="117" fillId="0" borderId="0" applyNumberFormat="0" applyFont="0" applyFill="0" applyBorder="0">
      <alignment horizontal="left" indent="4"/>
      <protection locked="0"/>
    </xf>
    <xf numFmtId="9" fontId="3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5" fillId="0" borderId="0" applyFont="0" applyFill="0" applyBorder="0" applyAlignment="0" applyProtection="0"/>
    <xf numFmtId="0" fontId="116" fillId="0" borderId="0"/>
    <xf numFmtId="0" fontId="39" fillId="0" borderId="0"/>
    <xf numFmtId="0" fontId="115" fillId="0" borderId="0"/>
    <xf numFmtId="0" fontId="115" fillId="0" borderId="0"/>
    <xf numFmtId="44" fontId="115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14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3" fillId="0" borderId="0"/>
    <xf numFmtId="0" fontId="120" fillId="77" borderId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</cellStyleXfs>
  <cellXfs count="193">
    <xf numFmtId="0" fontId="0" fillId="0" borderId="0" xfId="0"/>
    <xf numFmtId="0" fontId="18" fillId="0" borderId="0" xfId="4"/>
    <xf numFmtId="0" fontId="18" fillId="33" borderId="0" xfId="4" applyFill="1"/>
    <xf numFmtId="44" fontId="19" fillId="33" borderId="0" xfId="4" applyNumberFormat="1" applyFont="1" applyFill="1"/>
    <xf numFmtId="0" fontId="19" fillId="33" borderId="0" xfId="4" applyFont="1" applyFill="1" applyAlignment="1">
      <alignment horizontal="center"/>
    </xf>
    <xf numFmtId="164" fontId="19" fillId="33" borderId="0" xfId="4" applyNumberFormat="1" applyFont="1" applyFill="1"/>
    <xf numFmtId="0" fontId="19" fillId="33" borderId="0" xfId="4" applyFont="1" applyFill="1"/>
    <xf numFmtId="164" fontId="21" fillId="0" borderId="0" xfId="4" applyNumberFormat="1" applyFont="1"/>
    <xf numFmtId="166" fontId="21" fillId="0" borderId="0" xfId="4" applyNumberFormat="1" applyFont="1"/>
    <xf numFmtId="166" fontId="19" fillId="33" borderId="0" xfId="4" applyNumberFormat="1" applyFont="1" applyFill="1"/>
    <xf numFmtId="167" fontId="21" fillId="0" borderId="0" xfId="6" applyNumberFormat="1" applyFont="1"/>
    <xf numFmtId="167" fontId="20" fillId="33" borderId="0" xfId="6" applyNumberFormat="1" applyFont="1" applyFill="1"/>
    <xf numFmtId="0" fontId="21" fillId="0" borderId="0" xfId="4" applyFont="1"/>
    <xf numFmtId="44" fontId="21" fillId="0" borderId="0" xfId="4" applyNumberFormat="1" applyFont="1"/>
    <xf numFmtId="167" fontId="19" fillId="33" borderId="0" xfId="6" applyNumberFormat="1" applyFont="1" applyFill="1"/>
    <xf numFmtId="168" fontId="18" fillId="0" borderId="0" xfId="4" applyNumberFormat="1"/>
    <xf numFmtId="168" fontId="19" fillId="0" borderId="0" xfId="4" applyNumberFormat="1" applyFont="1" applyBorder="1" applyAlignment="1">
      <alignment horizontal="center"/>
    </xf>
    <xf numFmtId="168" fontId="22" fillId="33" borderId="10" xfId="4" applyNumberFormat="1" applyFont="1" applyFill="1" applyBorder="1" applyAlignment="1">
      <alignment horizontal="center" vertical="center"/>
    </xf>
    <xf numFmtId="167" fontId="21" fillId="0" borderId="0" xfId="1" applyNumberFormat="1" applyFont="1"/>
    <xf numFmtId="44" fontId="0" fillId="0" borderId="0" xfId="0" applyNumberFormat="1"/>
    <xf numFmtId="164" fontId="0" fillId="0" borderId="0" xfId="0" applyNumberFormat="1"/>
    <xf numFmtId="0" fontId="0" fillId="0" borderId="0" xfId="0"/>
    <xf numFmtId="0" fontId="112" fillId="0" borderId="0" xfId="9506" applyFont="1" applyBorder="1" applyAlignment="1">
      <alignment horizontal="center"/>
    </xf>
    <xf numFmtId="0" fontId="112" fillId="0" borderId="47" xfId="9506" applyNumberFormat="1" applyFont="1" applyBorder="1" applyAlignment="1">
      <alignment horizontal="center"/>
    </xf>
    <xf numFmtId="0" fontId="112" fillId="0" borderId="48" xfId="9506" applyFont="1" applyBorder="1" applyAlignment="1">
      <alignment horizontal="center"/>
    </xf>
    <xf numFmtId="0" fontId="112" fillId="0" borderId="36" xfId="9506" applyFont="1" applyBorder="1" applyAlignment="1">
      <alignment horizontal="center"/>
    </xf>
    <xf numFmtId="0" fontId="112" fillId="0" borderId="49" xfId="9506" applyFont="1" applyBorder="1" applyAlignment="1">
      <alignment horizontal="center"/>
    </xf>
    <xf numFmtId="3" fontId="112" fillId="0" borderId="47" xfId="0" applyNumberFormat="1" applyFont="1" applyFill="1" applyBorder="1" applyAlignment="1">
      <alignment horizontal="center"/>
    </xf>
    <xf numFmtId="0" fontId="112" fillId="0" borderId="50" xfId="9506" applyNumberFormat="1" applyFont="1" applyBorder="1" applyAlignment="1">
      <alignment horizontal="center"/>
    </xf>
    <xf numFmtId="0" fontId="112" fillId="0" borderId="51" xfId="9506" applyFont="1" applyBorder="1" applyAlignment="1">
      <alignment horizontal="center"/>
    </xf>
    <xf numFmtId="0" fontId="112" fillId="0" borderId="52" xfId="9506" applyFont="1" applyBorder="1" applyAlignment="1">
      <alignment horizontal="center"/>
    </xf>
    <xf numFmtId="3" fontId="112" fillId="0" borderId="50" xfId="0" applyNumberFormat="1" applyFont="1" applyFill="1" applyBorder="1" applyAlignment="1">
      <alignment horizontal="center"/>
    </xf>
    <xf numFmtId="0" fontId="112" fillId="0" borderId="53" xfId="9506" applyNumberFormat="1" applyFont="1" applyBorder="1" applyAlignment="1">
      <alignment horizontal="center"/>
    </xf>
    <xf numFmtId="0" fontId="112" fillId="0" borderId="54" xfId="9506" applyFont="1" applyBorder="1" applyAlignment="1">
      <alignment horizontal="center"/>
    </xf>
    <xf numFmtId="0" fontId="112" fillId="0" borderId="35" xfId="9506" applyFont="1" applyBorder="1" applyAlignment="1">
      <alignment horizontal="center"/>
    </xf>
    <xf numFmtId="0" fontId="112" fillId="0" borderId="55" xfId="9506" applyFont="1" applyBorder="1" applyAlignment="1">
      <alignment horizontal="center"/>
    </xf>
    <xf numFmtId="3" fontId="112" fillId="0" borderId="53" xfId="0" applyNumberFormat="1" applyFont="1" applyFill="1" applyBorder="1" applyAlignment="1">
      <alignment horizontal="center"/>
    </xf>
    <xf numFmtId="3" fontId="113" fillId="0" borderId="0" xfId="0" applyNumberFormat="1" applyFont="1" applyBorder="1" applyAlignment="1">
      <alignment horizontal="center"/>
    </xf>
    <xf numFmtId="167" fontId="0" fillId="0" borderId="0" xfId="1" applyNumberFormat="1" applyFont="1"/>
    <xf numFmtId="167" fontId="0" fillId="0" borderId="0" xfId="0" applyNumberFormat="1"/>
    <xf numFmtId="198" fontId="0" fillId="0" borderId="0" xfId="3" applyNumberFormat="1" applyFont="1"/>
    <xf numFmtId="0" fontId="111" fillId="0" borderId="0" xfId="9506" applyFont="1"/>
    <xf numFmtId="37" fontId="111" fillId="0" borderId="0" xfId="9506" applyNumberFormat="1" applyFont="1" applyAlignment="1">
      <alignment horizontal="center"/>
    </xf>
    <xf numFmtId="0" fontId="0" fillId="0" borderId="0" xfId="0"/>
    <xf numFmtId="41" fontId="0" fillId="0" borderId="0" xfId="0" applyNumberFormat="1"/>
    <xf numFmtId="5" fontId="0" fillId="0" borderId="0" xfId="0" applyNumberFormat="1"/>
    <xf numFmtId="205" fontId="115" fillId="0" borderId="0" xfId="9537" applyNumberFormat="1" applyFont="1"/>
    <xf numFmtId="206" fontId="111" fillId="0" borderId="0" xfId="9506" applyNumberFormat="1" applyFont="1" applyFill="1"/>
    <xf numFmtId="206" fontId="111" fillId="0" borderId="0" xfId="9506" applyNumberFormat="1" applyFont="1" applyFill="1" applyBorder="1"/>
    <xf numFmtId="204" fontId="0" fillId="0" borderId="0" xfId="0" applyNumberFormat="1"/>
    <xf numFmtId="170" fontId="0" fillId="0" borderId="0" xfId="0" applyNumberFormat="1"/>
    <xf numFmtId="0" fontId="0" fillId="0" borderId="0" xfId="0" applyFill="1" applyBorder="1"/>
    <xf numFmtId="3" fontId="122" fillId="0" borderId="0" xfId="9547" applyNumberFormat="1" applyFont="1" applyFill="1" applyBorder="1" applyAlignment="1">
      <alignment horizontal="center"/>
    </xf>
    <xf numFmtId="3" fontId="112" fillId="0" borderId="45" xfId="0" applyNumberFormat="1" applyFont="1" applyBorder="1" applyAlignment="1">
      <alignment horizontal="centerContinuous"/>
    </xf>
    <xf numFmtId="3" fontId="112" fillId="0" borderId="15" xfId="0" applyNumberFormat="1" applyFont="1" applyBorder="1" applyAlignment="1">
      <alignment horizontal="centerContinuous"/>
    </xf>
    <xf numFmtId="3" fontId="112" fillId="0" borderId="46" xfId="0" applyNumberFormat="1" applyFont="1" applyBorder="1" applyAlignment="1">
      <alignment horizontal="centerContinuous"/>
    </xf>
    <xf numFmtId="0" fontId="112" fillId="0" borderId="48" xfId="9506" applyNumberFormat="1" applyFont="1" applyBorder="1" applyAlignment="1">
      <alignment horizontal="center"/>
    </xf>
    <xf numFmtId="3" fontId="112" fillId="0" borderId="47" xfId="0" applyNumberFormat="1" applyFont="1" applyBorder="1" applyAlignment="1">
      <alignment horizontal="center"/>
    </xf>
    <xf numFmtId="0" fontId="112" fillId="0" borderId="51" xfId="9506" applyNumberFormat="1" applyFont="1" applyBorder="1" applyAlignment="1">
      <alignment horizontal="center"/>
    </xf>
    <xf numFmtId="3" fontId="112" fillId="0" borderId="50" xfId="0" applyNumberFormat="1" applyFont="1" applyBorder="1" applyAlignment="1">
      <alignment horizontal="center"/>
    </xf>
    <xf numFmtId="0" fontId="112" fillId="0" borderId="54" xfId="9506" applyNumberFormat="1" applyFont="1" applyBorder="1" applyAlignment="1">
      <alignment horizontal="center"/>
    </xf>
    <xf numFmtId="3" fontId="112" fillId="0" borderId="53" xfId="0" applyNumberFormat="1" applyFont="1" applyBorder="1" applyAlignment="1">
      <alignment horizontal="center"/>
    </xf>
    <xf numFmtId="41" fontId="111" fillId="0" borderId="35" xfId="9547" applyNumberFormat="1" applyFont="1" applyBorder="1"/>
    <xf numFmtId="41" fontId="111" fillId="0" borderId="35" xfId="7075" applyNumberFormat="1" applyFont="1" applyBorder="1"/>
    <xf numFmtId="41" fontId="111" fillId="0" borderId="35" xfId="9547" applyNumberFormat="1" applyFont="1" applyFill="1" applyBorder="1"/>
    <xf numFmtId="41" fontId="111" fillId="0" borderId="0" xfId="7075" applyNumberFormat="1" applyFont="1" applyBorder="1"/>
    <xf numFmtId="41" fontId="111" fillId="0" borderId="15" xfId="9547" applyNumberFormat="1" applyFont="1" applyBorder="1"/>
    <xf numFmtId="41" fontId="111" fillId="0" borderId="44" xfId="9547" applyNumberFormat="1" applyFont="1" applyBorder="1"/>
    <xf numFmtId="41" fontId="111" fillId="0" borderId="0" xfId="9547" applyNumberFormat="1" applyFont="1" applyBorder="1"/>
    <xf numFmtId="0" fontId="111" fillId="0" borderId="0" xfId="9547" applyNumberFormat="1" applyFont="1" applyBorder="1" applyAlignment="1">
      <alignment horizontal="center"/>
    </xf>
    <xf numFmtId="37" fontId="111" fillId="0" borderId="0" xfId="9547" applyNumberFormat="1" applyFont="1" applyBorder="1"/>
    <xf numFmtId="41" fontId="111" fillId="0" borderId="35" xfId="7075" applyNumberFormat="1" applyFont="1" applyFill="1" applyBorder="1"/>
    <xf numFmtId="37" fontId="111" fillId="0" borderId="44" xfId="9547" applyNumberFormat="1" applyFont="1" applyBorder="1"/>
    <xf numFmtId="0" fontId="111" fillId="0" borderId="0" xfId="9506" applyNumberFormat="1" applyFont="1" applyBorder="1" applyAlignment="1">
      <alignment horizontal="left"/>
    </xf>
    <xf numFmtId="0" fontId="111" fillId="0" borderId="0" xfId="9506" applyFont="1" applyBorder="1"/>
    <xf numFmtId="0" fontId="111" fillId="0" borderId="0" xfId="9506" applyNumberFormat="1" applyFont="1" applyBorder="1" applyAlignment="1">
      <alignment horizontal="center"/>
    </xf>
    <xf numFmtId="3" fontId="111" fillId="0" borderId="0" xfId="0" applyNumberFormat="1" applyFont="1" applyBorder="1"/>
    <xf numFmtId="0" fontId="115" fillId="0" borderId="0" xfId="0" applyFont="1" applyBorder="1"/>
    <xf numFmtId="3" fontId="121" fillId="0" borderId="0" xfId="0" applyNumberFormat="1" applyFont="1" applyFill="1" applyBorder="1"/>
    <xf numFmtId="3" fontId="111" fillId="0" borderId="0" xfId="0" applyNumberFormat="1" applyFont="1" applyFill="1" applyBorder="1"/>
    <xf numFmtId="0" fontId="115" fillId="0" borderId="0" xfId="0" applyFont="1" applyFill="1" applyBorder="1"/>
    <xf numFmtId="0" fontId="112" fillId="0" borderId="0" xfId="9506" applyNumberFormat="1" applyFont="1" applyBorder="1" applyAlignment="1">
      <alignment horizontal="center"/>
    </xf>
    <xf numFmtId="0" fontId="113" fillId="0" borderId="0" xfId="9506" applyNumberFormat="1" applyFont="1" applyBorder="1" applyAlignment="1">
      <alignment horizontal="center"/>
    </xf>
    <xf numFmtId="0" fontId="113" fillId="0" borderId="0" xfId="9506" applyFont="1" applyBorder="1" applyAlignment="1">
      <alignment horizontal="center"/>
    </xf>
    <xf numFmtId="0" fontId="111" fillId="0" borderId="0" xfId="9547" applyFont="1" applyBorder="1"/>
    <xf numFmtId="3" fontId="111" fillId="0" borderId="0" xfId="9547" applyNumberFormat="1" applyFont="1" applyBorder="1"/>
    <xf numFmtId="5" fontId="111" fillId="0" borderId="0" xfId="9547" applyNumberFormat="1" applyFont="1" applyBorder="1"/>
    <xf numFmtId="203" fontId="111" fillId="0" borderId="0" xfId="9547" applyNumberFormat="1" applyFont="1" applyBorder="1"/>
    <xf numFmtId="0" fontId="111" fillId="0" borderId="0" xfId="9547" applyNumberFormat="1" applyFont="1" applyFill="1" applyBorder="1" applyAlignment="1">
      <alignment horizontal="center"/>
    </xf>
    <xf numFmtId="0" fontId="111" fillId="0" borderId="0" xfId="0" applyFont="1" applyBorder="1"/>
    <xf numFmtId="37" fontId="123" fillId="0" borderId="0" xfId="9547" applyNumberFormat="1" applyFont="1" applyBorder="1"/>
    <xf numFmtId="41" fontId="111" fillId="0" borderId="0" xfId="0" applyNumberFormat="1" applyFont="1" applyBorder="1"/>
    <xf numFmtId="37" fontId="111" fillId="0" borderId="0" xfId="9547" applyNumberFormat="1" applyFont="1" applyFill="1" applyBorder="1"/>
    <xf numFmtId="41" fontId="111" fillId="0" borderId="0" xfId="9547" applyNumberFormat="1" applyFont="1" applyFill="1" applyBorder="1"/>
    <xf numFmtId="41" fontId="111" fillId="0" borderId="0" xfId="7075" applyNumberFormat="1" applyFont="1" applyFill="1" applyBorder="1"/>
    <xf numFmtId="167" fontId="111" fillId="0" borderId="0" xfId="7075" applyNumberFormat="1" applyFont="1" applyBorder="1"/>
    <xf numFmtId="10" fontId="111" fillId="0" borderId="0" xfId="8678" applyNumberFormat="1" applyFont="1" applyBorder="1"/>
    <xf numFmtId="10" fontId="111" fillId="0" borderId="0" xfId="9547" applyNumberFormat="1" applyFont="1" applyBorder="1"/>
    <xf numFmtId="3" fontId="112" fillId="0" borderId="0" xfId="0" applyNumberFormat="1" applyFont="1" applyBorder="1" applyAlignment="1">
      <alignment horizontal="centerContinuous"/>
    </xf>
    <xf numFmtId="41" fontId="111" fillId="0" borderId="36" xfId="9547" applyNumberFormat="1" applyFont="1" applyBorder="1"/>
    <xf numFmtId="3" fontId="111" fillId="0" borderId="36" xfId="9547" applyNumberFormat="1" applyFont="1" applyBorder="1"/>
    <xf numFmtId="169" fontId="124" fillId="0" borderId="0" xfId="0" applyNumberFormat="1" applyFont="1"/>
    <xf numFmtId="167" fontId="111" fillId="0" borderId="0" xfId="1" applyNumberFormat="1" applyFont="1" applyBorder="1"/>
    <xf numFmtId="166" fontId="111" fillId="0" borderId="0" xfId="2" applyNumberFormat="1" applyFont="1"/>
    <xf numFmtId="0" fontId="0" fillId="103" borderId="0" xfId="0" applyFill="1"/>
    <xf numFmtId="164" fontId="20" fillId="33" borderId="0" xfId="2" applyNumberFormat="1" applyFont="1" applyFill="1"/>
    <xf numFmtId="0" fontId="0" fillId="0" borderId="0" xfId="0"/>
    <xf numFmtId="0" fontId="18" fillId="0" borderId="0" xfId="4"/>
    <xf numFmtId="44" fontId="19" fillId="33" borderId="0" xfId="4" applyNumberFormat="1" applyFont="1" applyFill="1"/>
    <xf numFmtId="164" fontId="19" fillId="33" borderId="0" xfId="4" applyNumberFormat="1" applyFont="1" applyFill="1"/>
    <xf numFmtId="0" fontId="19" fillId="33" borderId="0" xfId="4" applyFont="1" applyFill="1"/>
    <xf numFmtId="164" fontId="21" fillId="0" borderId="0" xfId="4" applyNumberFormat="1" applyFont="1"/>
    <xf numFmtId="167" fontId="21" fillId="0" borderId="0" xfId="6" applyNumberFormat="1" applyFont="1"/>
    <xf numFmtId="0" fontId="21" fillId="0" borderId="0" xfId="4" applyFont="1"/>
    <xf numFmtId="44" fontId="21" fillId="0" borderId="0" xfId="4" applyNumberFormat="1" applyFont="1"/>
    <xf numFmtId="167" fontId="19" fillId="33" borderId="0" xfId="6" applyNumberFormat="1" applyFont="1" applyFill="1"/>
    <xf numFmtId="167" fontId="21" fillId="0" borderId="0" xfId="1" applyNumberFormat="1" applyFont="1"/>
    <xf numFmtId="164" fontId="19" fillId="0" borderId="0" xfId="4" applyNumberFormat="1" applyFont="1" applyFill="1"/>
    <xf numFmtId="0" fontId="18" fillId="0" borderId="0" xfId="4" applyFill="1"/>
    <xf numFmtId="44" fontId="19" fillId="0" borderId="0" xfId="5" applyFont="1" applyFill="1"/>
    <xf numFmtId="3" fontId="112" fillId="0" borderId="45" xfId="0" applyNumberFormat="1" applyFont="1" applyBorder="1" applyAlignment="1">
      <alignment horizontal="center"/>
    </xf>
    <xf numFmtId="3" fontId="112" fillId="0" borderId="46" xfId="0" applyNumberFormat="1" applyFont="1" applyBorder="1" applyAlignment="1">
      <alignment horizontal="center"/>
    </xf>
    <xf numFmtId="0" fontId="0" fillId="33" borderId="0" xfId="0" applyFill="1"/>
    <xf numFmtId="0" fontId="125" fillId="33" borderId="0" xfId="4" applyFont="1" applyFill="1" applyAlignment="1">
      <alignment horizontal="center"/>
    </xf>
    <xf numFmtId="0" fontId="125" fillId="33" borderId="0" xfId="4" quotePrefix="1" applyFont="1" applyFill="1" applyAlignment="1">
      <alignment horizontal="center"/>
    </xf>
    <xf numFmtId="0" fontId="126" fillId="0" borderId="0" xfId="0" applyFont="1"/>
    <xf numFmtId="0" fontId="127" fillId="33" borderId="0" xfId="0" applyFont="1" applyFill="1"/>
    <xf numFmtId="164" fontId="127" fillId="33" borderId="0" xfId="2" applyNumberFormat="1" applyFont="1" applyFill="1"/>
    <xf numFmtId="164" fontId="127" fillId="33" borderId="0" xfId="0" applyNumberFormat="1" applyFont="1" applyFill="1"/>
    <xf numFmtId="167" fontId="127" fillId="33" borderId="0" xfId="0" applyNumberFormat="1" applyFont="1" applyFill="1"/>
    <xf numFmtId="167" fontId="127" fillId="33" borderId="0" xfId="1" applyNumberFormat="1" applyFont="1" applyFill="1"/>
    <xf numFmtId="166" fontId="127" fillId="33" borderId="0" xfId="2" applyNumberFormat="1" applyFont="1" applyFill="1"/>
    <xf numFmtId="37" fontId="127" fillId="33" borderId="0" xfId="0" applyNumberFormat="1" applyFont="1" applyFill="1"/>
    <xf numFmtId="164" fontId="127" fillId="33" borderId="0" xfId="2" applyNumberFormat="1" applyFont="1" applyFill="1" applyAlignment="1">
      <alignment horizontal="center"/>
    </xf>
    <xf numFmtId="0" fontId="127" fillId="0" borderId="0" xfId="0" applyFont="1"/>
    <xf numFmtId="0" fontId="128" fillId="33" borderId="0" xfId="0" applyFont="1" applyFill="1" applyBorder="1" applyAlignment="1">
      <alignment horizontal="center"/>
    </xf>
    <xf numFmtId="0" fontId="128" fillId="33" borderId="35" xfId="0" applyFont="1" applyFill="1" applyBorder="1" applyAlignment="1">
      <alignment horizontal="center"/>
    </xf>
    <xf numFmtId="0" fontId="125" fillId="33" borderId="0" xfId="4" applyFont="1" applyFill="1" applyAlignment="1"/>
    <xf numFmtId="0" fontId="125" fillId="33" borderId="0" xfId="4" quotePrefix="1" applyFont="1" applyFill="1" applyAlignment="1"/>
    <xf numFmtId="0" fontId="129" fillId="33" borderId="0" xfId="4" applyFont="1" applyFill="1"/>
    <xf numFmtId="0" fontId="129" fillId="33" borderId="35" xfId="4" applyFont="1" applyFill="1" applyBorder="1"/>
    <xf numFmtId="0" fontId="129" fillId="33" borderId="0" xfId="4" applyFont="1" applyFill="1" applyAlignment="1">
      <alignment horizontal="center"/>
    </xf>
    <xf numFmtId="0" fontId="131" fillId="33" borderId="0" xfId="4" applyFont="1" applyFill="1" applyAlignment="1">
      <alignment horizontal="left"/>
    </xf>
    <xf numFmtId="164" fontId="129" fillId="33" borderId="0" xfId="7408" applyNumberFormat="1" applyFont="1" applyFill="1"/>
    <xf numFmtId="0" fontId="129" fillId="33" borderId="0" xfId="4" applyFont="1" applyFill="1" applyAlignment="1">
      <alignment horizontal="left"/>
    </xf>
    <xf numFmtId="0" fontId="129" fillId="33" borderId="0" xfId="4" quotePrefix="1" applyFont="1" applyFill="1" applyAlignment="1">
      <alignment horizontal="left"/>
    </xf>
    <xf numFmtId="164" fontId="129" fillId="33" borderId="0" xfId="4" applyNumberFormat="1" applyFont="1" applyFill="1"/>
    <xf numFmtId="0" fontId="127" fillId="33" borderId="0" xfId="4" applyFont="1" applyFill="1"/>
    <xf numFmtId="41" fontId="125" fillId="33" borderId="35" xfId="9068" applyNumberFormat="1" applyFont="1" applyFill="1" applyBorder="1">
      <alignment horizontal="center" vertical="center" wrapText="1"/>
    </xf>
    <xf numFmtId="0" fontId="127" fillId="33" borderId="35" xfId="4" applyFont="1" applyFill="1" applyBorder="1"/>
    <xf numFmtId="0" fontId="127" fillId="33" borderId="0" xfId="4" applyFont="1" applyFill="1" applyAlignment="1">
      <alignment horizontal="center"/>
    </xf>
    <xf numFmtId="164" fontId="127" fillId="33" borderId="0" xfId="7408" applyNumberFormat="1" applyFont="1" applyFill="1"/>
    <xf numFmtId="167" fontId="127" fillId="33" borderId="0" xfId="6" applyNumberFormat="1" applyFont="1" applyFill="1" applyBorder="1"/>
    <xf numFmtId="0" fontId="127" fillId="102" borderId="0" xfId="4" applyFont="1" applyFill="1" applyAlignment="1">
      <alignment horizontal="center"/>
    </xf>
    <xf numFmtId="44" fontId="127" fillId="102" borderId="0" xfId="7408" applyNumberFormat="1" applyFont="1" applyFill="1"/>
    <xf numFmtId="0" fontId="127" fillId="33" borderId="0" xfId="4" applyFont="1" applyFill="1" applyAlignment="1">
      <alignment horizontal="left"/>
    </xf>
    <xf numFmtId="0" fontId="127" fillId="33" borderId="0" xfId="4" quotePrefix="1" applyFont="1" applyFill="1" applyAlignment="1">
      <alignment horizontal="left"/>
    </xf>
    <xf numFmtId="44" fontId="127" fillId="33" borderId="0" xfId="7408" applyNumberFormat="1" applyFont="1" applyFill="1"/>
    <xf numFmtId="164" fontId="127" fillId="33" borderId="0" xfId="4" applyNumberFormat="1" applyFont="1" applyFill="1"/>
    <xf numFmtId="0" fontId="127" fillId="102" borderId="0" xfId="4" quotePrefix="1" applyFont="1" applyFill="1" applyAlignment="1">
      <alignment horizontal="left"/>
    </xf>
    <xf numFmtId="41" fontId="130" fillId="33" borderId="35" xfId="9505" applyNumberFormat="1" applyFont="1" applyFill="1" applyBorder="1">
      <alignment horizontal="center" vertical="center" wrapText="1"/>
    </xf>
    <xf numFmtId="41" fontId="130" fillId="33" borderId="35" xfId="9505" applyNumberFormat="1" applyFont="1" applyFill="1" applyBorder="1" applyAlignment="1">
      <alignment horizontal="center" vertical="center" wrapText="1"/>
    </xf>
    <xf numFmtId="168" fontId="130" fillId="33" borderId="35" xfId="9505" applyNumberFormat="1" applyFont="1" applyFill="1" applyBorder="1">
      <alignment horizontal="center" vertical="center" wrapText="1"/>
    </xf>
    <xf numFmtId="0" fontId="133" fillId="33" borderId="0" xfId="4" applyFont="1" applyFill="1"/>
    <xf numFmtId="3" fontId="129" fillId="33" borderId="0" xfId="4" applyNumberFormat="1" applyFont="1" applyFill="1"/>
    <xf numFmtId="0" fontId="134" fillId="33" borderId="0" xfId="4" applyFont="1" applyFill="1"/>
    <xf numFmtId="167" fontId="126" fillId="0" borderId="0" xfId="0" applyNumberFormat="1" applyFont="1"/>
    <xf numFmtId="3" fontId="115" fillId="33" borderId="0" xfId="4" applyNumberFormat="1" applyFont="1" applyFill="1"/>
    <xf numFmtId="0" fontId="115" fillId="33" borderId="0" xfId="4" quotePrefix="1" applyFont="1" applyFill="1" applyAlignment="1">
      <alignment horizontal="center"/>
    </xf>
    <xf numFmtId="10" fontId="115" fillId="33" borderId="0" xfId="8776" applyNumberFormat="1" applyFont="1" applyFill="1"/>
    <xf numFmtId="0" fontId="115" fillId="33" borderId="0" xfId="4" applyFont="1" applyFill="1" applyAlignment="1">
      <alignment horizontal="center"/>
    </xf>
    <xf numFmtId="0" fontId="115" fillId="33" borderId="0" xfId="4" applyFont="1" applyFill="1"/>
    <xf numFmtId="10" fontId="129" fillId="33" borderId="0" xfId="8776" applyNumberFormat="1" applyFont="1" applyFill="1"/>
    <xf numFmtId="44" fontId="129" fillId="33" borderId="0" xfId="5" applyFont="1" applyFill="1" applyAlignment="1">
      <alignment horizontal="center"/>
    </xf>
    <xf numFmtId="44" fontId="129" fillId="33" borderId="0" xfId="4" applyNumberFormat="1" applyFont="1" applyFill="1"/>
    <xf numFmtId="167" fontId="129" fillId="33" borderId="0" xfId="6" applyNumberFormat="1" applyFont="1" applyFill="1" applyAlignment="1">
      <alignment horizontal="center"/>
    </xf>
    <xf numFmtId="0" fontId="135" fillId="33" borderId="10" xfId="4" applyFont="1" applyFill="1" applyBorder="1" applyAlignment="1">
      <alignment horizontal="center" vertical="center" wrapText="1"/>
    </xf>
    <xf numFmtId="0" fontId="135" fillId="33" borderId="10" xfId="4" applyFont="1" applyFill="1" applyBorder="1" applyAlignment="1">
      <alignment vertical="center"/>
    </xf>
    <xf numFmtId="0" fontId="135" fillId="33" borderId="10" xfId="4" applyFont="1" applyFill="1" applyBorder="1" applyAlignment="1">
      <alignment horizontal="center" vertical="center"/>
    </xf>
    <xf numFmtId="168" fontId="135" fillId="33" borderId="10" xfId="4" applyNumberFormat="1" applyFont="1" applyFill="1" applyBorder="1" applyAlignment="1">
      <alignment horizontal="center" vertical="center"/>
    </xf>
    <xf numFmtId="167" fontId="115" fillId="33" borderId="0" xfId="6" applyNumberFormat="1" applyFont="1" applyFill="1"/>
    <xf numFmtId="0" fontId="129" fillId="33" borderId="0" xfId="4" applyFont="1" applyFill="1" applyAlignment="1">
      <alignment horizontal="center" wrapText="1"/>
    </xf>
    <xf numFmtId="44" fontId="115" fillId="33" borderId="0" xfId="4" applyNumberFormat="1" applyFont="1" applyFill="1"/>
    <xf numFmtId="164" fontId="115" fillId="33" borderId="0" xfId="4" applyNumberFormat="1" applyFont="1" applyFill="1"/>
    <xf numFmtId="164" fontId="115" fillId="33" borderId="0" xfId="2" applyNumberFormat="1" applyFont="1" applyFill="1"/>
    <xf numFmtId="0" fontId="129" fillId="0" borderId="0" xfId="4" applyFont="1" applyFill="1" applyAlignment="1">
      <alignment horizontal="center"/>
    </xf>
    <xf numFmtId="164" fontId="115" fillId="0" borderId="0" xfId="5" applyNumberFormat="1" applyFont="1" applyFill="1"/>
    <xf numFmtId="164" fontId="130" fillId="33" borderId="56" xfId="4" applyNumberFormat="1" applyFont="1" applyFill="1" applyBorder="1"/>
    <xf numFmtId="0" fontId="129" fillId="0" borderId="0" xfId="4" applyFont="1"/>
    <xf numFmtId="0" fontId="132" fillId="33" borderId="0" xfId="4" applyFont="1" applyFill="1" applyAlignment="1">
      <alignment horizontal="center"/>
    </xf>
    <xf numFmtId="0" fontId="132" fillId="33" borderId="0" xfId="4" quotePrefix="1" applyFont="1" applyFill="1" applyAlignment="1">
      <alignment horizontal="center"/>
    </xf>
    <xf numFmtId="164" fontId="115" fillId="33" borderId="0" xfId="5" applyNumberFormat="1" applyFont="1" applyFill="1"/>
    <xf numFmtId="0" fontId="135" fillId="33" borderId="0" xfId="4" applyFont="1" applyFill="1" applyAlignment="1">
      <alignment horizontal="center"/>
    </xf>
  </cellXfs>
  <cellStyles count="9552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[0] 2" xfId="9534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6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2 4" xfId="9533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66" xfId="9536"/>
    <cellStyle name="Comma 67" xfId="9515"/>
    <cellStyle name="Comma 68" xfId="9511"/>
    <cellStyle name="Comma 69" xfId="9508"/>
    <cellStyle name="Comma 7" xfId="7239"/>
    <cellStyle name="Comma 7 2" xfId="7240"/>
    <cellStyle name="Comma 7 2 2" xfId="7241"/>
    <cellStyle name="Comma 7 3" xfId="7242"/>
    <cellStyle name="Comma 7 4" xfId="7243"/>
    <cellStyle name="Comma 70" xfId="9538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5"/>
    <cellStyle name="Currency 2 2" xfId="7408"/>
    <cellStyle name="Currency 2 2 2" xfId="7409"/>
    <cellStyle name="Currency 2 2 2 2" xfId="7410"/>
    <cellStyle name="Currency 2 2 2 3" xfId="7411"/>
    <cellStyle name="Currency 2 2 3" xfId="7412"/>
    <cellStyle name="Currency 2 2 4" xfId="7413"/>
    <cellStyle name="Currency 2 3" xfId="7414"/>
    <cellStyle name="Currency 2 3 2" xfId="7415"/>
    <cellStyle name="Currency 2 3 3" xfId="7416"/>
    <cellStyle name="Currency 2 4" xfId="7417"/>
    <cellStyle name="Currency 2 4 2" xfId="7418"/>
    <cellStyle name="Currency 2 5" xfId="7419"/>
    <cellStyle name="Currency 2 5 2" xfId="7420"/>
    <cellStyle name="Currency 2 6" xfId="7421"/>
    <cellStyle name="Currency 2 6 2" xfId="7422"/>
    <cellStyle name="Currency 2 7" xfId="7423"/>
    <cellStyle name="Currency 2 7 2" xfId="7424"/>
    <cellStyle name="Currency 2 8" xfId="7425"/>
    <cellStyle name="Currency 2 8 2" xfId="7426"/>
    <cellStyle name="Currency 2 9" xfId="7427"/>
    <cellStyle name="Currency 20" xfId="7428"/>
    <cellStyle name="Currency 21" xfId="7429"/>
    <cellStyle name="Currency 22" xfId="7430"/>
    <cellStyle name="Currency 23" xfId="7431"/>
    <cellStyle name="Currency 24" xfId="7432"/>
    <cellStyle name="Currency 24 2" xfId="7433"/>
    <cellStyle name="Currency 25" xfId="7434"/>
    <cellStyle name="Currency 25 2" xfId="7435"/>
    <cellStyle name="Currency 25 3" xfId="7436"/>
    <cellStyle name="Currency 26" xfId="7437"/>
    <cellStyle name="Currency 27" xfId="7438"/>
    <cellStyle name="Currency 27 2" xfId="7439"/>
    <cellStyle name="Currency 3" xfId="7440"/>
    <cellStyle name="Currency 3 2" xfId="7441"/>
    <cellStyle name="Currency 3 2 2" xfId="7442"/>
    <cellStyle name="Currency 3 2 2 2" xfId="7443"/>
    <cellStyle name="Currency 3 2 3" xfId="7444"/>
    <cellStyle name="Currency 3 2 4" xfId="9532"/>
    <cellStyle name="Currency 3 3" xfId="7445"/>
    <cellStyle name="Currency 3 3 2" xfId="7446"/>
    <cellStyle name="Currency 3 4" xfId="7447"/>
    <cellStyle name="Currency 3 5" xfId="7448"/>
    <cellStyle name="Currency 4" xfId="7449"/>
    <cellStyle name="Currency 4 2" xfId="7450"/>
    <cellStyle name="Currency 4 2 2" xfId="7451"/>
    <cellStyle name="Currency 4 2 2 2" xfId="7452"/>
    <cellStyle name="Currency 4 2 3" xfId="7453"/>
    <cellStyle name="Currency 4 2 4" xfId="7454"/>
    <cellStyle name="Currency 4 3" xfId="7455"/>
    <cellStyle name="Currency 4 3 2" xfId="7456"/>
    <cellStyle name="Currency 4 3 2 2" xfId="7457"/>
    <cellStyle name="Currency 4 3 3" xfId="7458"/>
    <cellStyle name="Currency 4 3 3 2" xfId="7459"/>
    <cellStyle name="Currency 4 3 4" xfId="7460"/>
    <cellStyle name="Currency 4 3 4 2" xfId="7461"/>
    <cellStyle name="Currency 4 4" xfId="7462"/>
    <cellStyle name="Currency 4 4 2" xfId="7463"/>
    <cellStyle name="Currency 4 5" xfId="7464"/>
    <cellStyle name="Currency 4 6" xfId="7465"/>
    <cellStyle name="Currency 4 7" xfId="9531"/>
    <cellStyle name="Currency 4_2009 GRC Compliance Filing (Electric) for Exh A-1" xfId="7466"/>
    <cellStyle name="Currency 5" xfId="7467"/>
    <cellStyle name="Currency 5 2" xfId="7468"/>
    <cellStyle name="Currency 5 2 2" xfId="7469"/>
    <cellStyle name="Currency 5 3" xfId="7470"/>
    <cellStyle name="Currency 5 4" xfId="7471"/>
    <cellStyle name="Currency 6" xfId="7472"/>
    <cellStyle name="Currency 6 2" xfId="7473"/>
    <cellStyle name="Currency 6 2 2" xfId="7474"/>
    <cellStyle name="Currency 6 3" xfId="7475"/>
    <cellStyle name="Currency 6 4" xfId="7476"/>
    <cellStyle name="Currency 7" xfId="7477"/>
    <cellStyle name="Currency 7 2" xfId="7478"/>
    <cellStyle name="Currency 7 2 2" xfId="7479"/>
    <cellStyle name="Currency 7 3" xfId="7480"/>
    <cellStyle name="Currency 7 4" xfId="7481"/>
    <cellStyle name="Currency 8" xfId="7482"/>
    <cellStyle name="Currency 8 2" xfId="7483"/>
    <cellStyle name="Currency 8 2 2" xfId="7484"/>
    <cellStyle name="Currency 8 2 2 2" xfId="7485"/>
    <cellStyle name="Currency 8 2 2 3" xfId="7486"/>
    <cellStyle name="Currency 8 2 2 4" xfId="7487"/>
    <cellStyle name="Currency 8 2 3" xfId="7488"/>
    <cellStyle name="Currency 8 2 3 2" xfId="7489"/>
    <cellStyle name="Currency 8 2 4" xfId="7490"/>
    <cellStyle name="Currency 8 2 5" xfId="7491"/>
    <cellStyle name="Currency 8 2 6" xfId="7492"/>
    <cellStyle name="Currency 8 3" xfId="7493"/>
    <cellStyle name="Currency 8 3 2" xfId="7494"/>
    <cellStyle name="Currency 8 4" xfId="7495"/>
    <cellStyle name="Currency 8 4 2" xfId="7496"/>
    <cellStyle name="Currency 8 5" xfId="7497"/>
    <cellStyle name="Currency 8 6" xfId="7498"/>
    <cellStyle name="Currency 9" xfId="7499"/>
    <cellStyle name="Currency 9 2" xfId="7500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7515"/>
    <cellStyle name="Currency0" xfId="7516"/>
    <cellStyle name="Currency0 2" xfId="7517"/>
    <cellStyle name="Currency0 2 2" xfId="7518"/>
    <cellStyle name="Currency0 2 2 2" xfId="7519"/>
    <cellStyle name="Currency0 2 3" xfId="7520"/>
    <cellStyle name="Currency0 3" xfId="7521"/>
    <cellStyle name="Currency0 3 2" xfId="7522"/>
    <cellStyle name="Currency0 3 3" xfId="7523"/>
    <cellStyle name="Currency0 4" xfId="7524"/>
    <cellStyle name="Currency0 4 2" xfId="7525"/>
    <cellStyle name="Currency0 4 3" xfId="7526"/>
    <cellStyle name="Currency0 5" xfId="7527"/>
    <cellStyle name="Currency0 6" xfId="7528"/>
    <cellStyle name="Currency0 7" xfId="7529"/>
    <cellStyle name="Currency0_ACCOUNTS" xfId="7530"/>
    <cellStyle name="Date" xfId="7531"/>
    <cellStyle name="Date 2" xfId="7532"/>
    <cellStyle name="Date 2 2" xfId="7533"/>
    <cellStyle name="Date 2 3" xfId="7534"/>
    <cellStyle name="Date 3" xfId="7535"/>
    <cellStyle name="Date 3 2" xfId="7536"/>
    <cellStyle name="Date 3 3" xfId="7537"/>
    <cellStyle name="Date 4" xfId="7538"/>
    <cellStyle name="Date 4 2" xfId="7539"/>
    <cellStyle name="Date 5" xfId="7540"/>
    <cellStyle name="Date 5 2" xfId="7541"/>
    <cellStyle name="Date 5 3" xfId="7542"/>
    <cellStyle name="Date 6" xfId="7543"/>
    <cellStyle name="Date 7" xfId="7544"/>
    <cellStyle name="Date 8" xfId="7545"/>
    <cellStyle name="Date_903 SAP 2-6-09" xfId="7546"/>
    <cellStyle name="drp-sh - Style2" xfId="7547"/>
    <cellStyle name="Emphasis 1" xfId="7548"/>
    <cellStyle name="Emphasis 1 2" xfId="7549"/>
    <cellStyle name="Emphasis 2" xfId="7550"/>
    <cellStyle name="Emphasis 2 2" xfId="7551"/>
    <cellStyle name="Emphasis 3" xfId="7552"/>
    <cellStyle name="Emphasis 3 2" xfId="7553"/>
    <cellStyle name="Entered" xfId="7554"/>
    <cellStyle name="Entered 2" xfId="7555"/>
    <cellStyle name="Entered 2 2" xfId="7556"/>
    <cellStyle name="Entered 2 2 2" xfId="7557"/>
    <cellStyle name="Entered 2 3" xfId="7558"/>
    <cellStyle name="Entered 3" xfId="7559"/>
    <cellStyle name="Entered 3 2" xfId="7560"/>
    <cellStyle name="Entered 3 2 2" xfId="7561"/>
    <cellStyle name="Entered 3 3" xfId="7562"/>
    <cellStyle name="Entered 3 3 2" xfId="7563"/>
    <cellStyle name="Entered 3 4" xfId="7564"/>
    <cellStyle name="Entered 3 4 2" xfId="7565"/>
    <cellStyle name="Entered 4" xfId="7566"/>
    <cellStyle name="Entered 4 2" xfId="7567"/>
    <cellStyle name="Entered 5" xfId="7568"/>
    <cellStyle name="Entered 5 2" xfId="7569"/>
    <cellStyle name="Entered 6" xfId="7570"/>
    <cellStyle name="Entered 7" xfId="7571"/>
    <cellStyle name="Entered 8" xfId="7572"/>
    <cellStyle name="Entered_4.32E Depreciation Study Robs file" xfId="7573"/>
    <cellStyle name="Euro" xfId="7574"/>
    <cellStyle name="Euro 2" xfId="7575"/>
    <cellStyle name="Euro 2 2" xfId="7576"/>
    <cellStyle name="Euro 2 2 2" xfId="7577"/>
    <cellStyle name="Euro 2 3" xfId="7578"/>
    <cellStyle name="Euro 3" xfId="7579"/>
    <cellStyle name="Euro 3 2" xfId="7580"/>
    <cellStyle name="Euro 4" xfId="7581"/>
    <cellStyle name="Euro 5" xfId="7582"/>
    <cellStyle name="Explanatory Text 2" xfId="7583"/>
    <cellStyle name="Explanatory Text 2 2" xfId="7584"/>
    <cellStyle name="Explanatory Text 2 2 2" xfId="7585"/>
    <cellStyle name="Explanatory Text 2 3" xfId="7586"/>
    <cellStyle name="Explanatory Text 3" xfId="7587"/>
    <cellStyle name="Explanatory Text 4" xfId="7588"/>
    <cellStyle name="Fixed" xfId="7589"/>
    <cellStyle name="Fixed 2" xfId="7590"/>
    <cellStyle name="Fixed 2 2" xfId="7591"/>
    <cellStyle name="Fixed 3" xfId="7592"/>
    <cellStyle name="Fixed 4" xfId="7593"/>
    <cellStyle name="Fixed 5" xfId="7594"/>
    <cellStyle name="Fixed 6" xfId="7595"/>
    <cellStyle name="Fixed 7" xfId="7596"/>
    <cellStyle name="Fixed_ACCOUNTS" xfId="7597"/>
    <cellStyle name="Fixed3 - Style3" xfId="7598"/>
    <cellStyle name="Fixed3 - Style3 2" xfId="7599"/>
    <cellStyle name="Followed Hyperlink" xfId="9539" builtinId="9" customBuiltin="1"/>
    <cellStyle name="Followed Hyperlink 2" xfId="9545"/>
    <cellStyle name="Good 2" xfId="7600"/>
    <cellStyle name="Good 2 2" xfId="7601"/>
    <cellStyle name="Good 2 2 2" xfId="7602"/>
    <cellStyle name="Good 2 3" xfId="7603"/>
    <cellStyle name="Good 3" xfId="7604"/>
    <cellStyle name="Good 3 2" xfId="7605"/>
    <cellStyle name="Good 3 3" xfId="7606"/>
    <cellStyle name="Good 3 4" xfId="7607"/>
    <cellStyle name="Good 4" xfId="7608"/>
    <cellStyle name="Good 5" xfId="7609"/>
    <cellStyle name="Good 6" xfId="7610"/>
    <cellStyle name="Grey" xfId="7611"/>
    <cellStyle name="Grey 2" xfId="7612"/>
    <cellStyle name="Grey 2 2" xfId="7613"/>
    <cellStyle name="Grey 2 3" xfId="7614"/>
    <cellStyle name="Grey 2 4" xfId="7615"/>
    <cellStyle name="Grey 3" xfId="7616"/>
    <cellStyle name="Grey 3 2" xfId="7617"/>
    <cellStyle name="Grey 3 3" xfId="7618"/>
    <cellStyle name="Grey 3 4" xfId="7619"/>
    <cellStyle name="Grey 4" xfId="7620"/>
    <cellStyle name="Grey 4 2" xfId="7621"/>
    <cellStyle name="Grey 4 3" xfId="7622"/>
    <cellStyle name="Grey 4 4" xfId="7623"/>
    <cellStyle name="Grey 5" xfId="7624"/>
    <cellStyle name="Grey 5 2" xfId="7625"/>
    <cellStyle name="Grey 6" xfId="7626"/>
    <cellStyle name="Grey 6 2" xfId="7627"/>
    <cellStyle name="Grey 7" xfId="7628"/>
    <cellStyle name="Grey 8" xfId="7629"/>
    <cellStyle name="Grey_(C) WHE Proforma with ITC cash grant 10 Yr Amort_for deferral_102809" xfId="7630"/>
    <cellStyle name="g-tota - Style7" xfId="7631"/>
    <cellStyle name="Header" xfId="7632"/>
    <cellStyle name="Header1" xfId="7633"/>
    <cellStyle name="Header1 2" xfId="7634"/>
    <cellStyle name="Header1 3" xfId="7635"/>
    <cellStyle name="Header1 3 2" xfId="7636"/>
    <cellStyle name="Header1 4" xfId="7637"/>
    <cellStyle name="Header1_AURORA Total New" xfId="7638"/>
    <cellStyle name="Header2" xfId="7639"/>
    <cellStyle name="Header2 2" xfId="7640"/>
    <cellStyle name="Header2 3" xfId="7641"/>
    <cellStyle name="Header2 3 2" xfId="7642"/>
    <cellStyle name="Header2 4" xfId="7643"/>
    <cellStyle name="Header2 5" xfId="7644"/>
    <cellStyle name="Header2 6" xfId="7645"/>
    <cellStyle name="Header2_AURORA Total New" xfId="7646"/>
    <cellStyle name="Heading" xfId="7647"/>
    <cellStyle name="Heading 1 2" xfId="7648"/>
    <cellStyle name="Heading 1 2 2" xfId="7649"/>
    <cellStyle name="Heading 1 2 2 2" xfId="7650"/>
    <cellStyle name="Heading 1 2 3" xfId="7651"/>
    <cellStyle name="Heading 1 2 3 2" xfId="7652"/>
    <cellStyle name="Heading 1 2 3 3" xfId="7653"/>
    <cellStyle name="Heading 1 2 3 4" xfId="7654"/>
    <cellStyle name="Heading 1 2 4" xfId="7655"/>
    <cellStyle name="Heading 1 3" xfId="7656"/>
    <cellStyle name="Heading 1 3 2" xfId="7657"/>
    <cellStyle name="Heading 1 3 3" xfId="7658"/>
    <cellStyle name="Heading 1 3 4" xfId="7659"/>
    <cellStyle name="Heading 1 4" xfId="7660"/>
    <cellStyle name="Heading 1 4 2" xfId="7661"/>
    <cellStyle name="Heading 1 5" xfId="7662"/>
    <cellStyle name="Heading 1 6" xfId="7663"/>
    <cellStyle name="Heading 1 9" xfId="7664"/>
    <cellStyle name="Heading 1 9 2" xfId="7665"/>
    <cellStyle name="Heading 2 2" xfId="7666"/>
    <cellStyle name="Heading 2 2 2" xfId="7667"/>
    <cellStyle name="Heading 2 2 2 2" xfId="7668"/>
    <cellStyle name="Heading 2 2 3" xfId="7669"/>
    <cellStyle name="Heading 2 2 3 2" xfId="7670"/>
    <cellStyle name="Heading 2 2 3 3" xfId="7671"/>
    <cellStyle name="Heading 2 2 3 4" xfId="7672"/>
    <cellStyle name="Heading 2 2 4" xfId="7673"/>
    <cellStyle name="Heading 2 3" xfId="7674"/>
    <cellStyle name="Heading 2 3 2" xfId="7675"/>
    <cellStyle name="Heading 2 3 3" xfId="7676"/>
    <cellStyle name="Heading 2 3 4" xfId="7677"/>
    <cellStyle name="Heading 2 4" xfId="7678"/>
    <cellStyle name="Heading 2 4 2" xfId="7679"/>
    <cellStyle name="Heading 2 5" xfId="7680"/>
    <cellStyle name="Heading 2 6" xfId="7681"/>
    <cellStyle name="Heading 2 9" xfId="7682"/>
    <cellStyle name="Heading 2 9 2" xfId="7683"/>
    <cellStyle name="Heading 3 2" xfId="7684"/>
    <cellStyle name="Heading 3 2 2" xfId="7685"/>
    <cellStyle name="Heading 3 2 2 2" xfId="7686"/>
    <cellStyle name="Heading 3 2 3" xfId="7687"/>
    <cellStyle name="Heading 3 3" xfId="7688"/>
    <cellStyle name="Heading 3 3 2" xfId="7689"/>
    <cellStyle name="Heading 3 3 3" xfId="7690"/>
    <cellStyle name="Heading 3 3 4" xfId="7691"/>
    <cellStyle name="Heading 3 4" xfId="7692"/>
    <cellStyle name="Heading 3 5" xfId="7693"/>
    <cellStyle name="Heading 3 6" xfId="7694"/>
    <cellStyle name="Heading 4 2" xfId="7695"/>
    <cellStyle name="Heading 4 2 2" xfId="7696"/>
    <cellStyle name="Heading 4 2 2 2" xfId="7697"/>
    <cellStyle name="Heading 4 2 3" xfId="7698"/>
    <cellStyle name="Heading 4 3" xfId="7699"/>
    <cellStyle name="Heading 4 3 2" xfId="7700"/>
    <cellStyle name="Heading 4 3 3" xfId="7701"/>
    <cellStyle name="Heading 4 3 4" xfId="7702"/>
    <cellStyle name="Heading 4 4" xfId="7703"/>
    <cellStyle name="Heading 4 5" xfId="7704"/>
    <cellStyle name="Heading 4 6" xfId="7705"/>
    <cellStyle name="Heading1" xfId="7706"/>
    <cellStyle name="Heading1 2" xfId="7707"/>
    <cellStyle name="Heading1 2 2" xfId="7708"/>
    <cellStyle name="Heading1 3" xfId="7709"/>
    <cellStyle name="Heading1 3 2" xfId="7710"/>
    <cellStyle name="Heading1 4" xfId="7711"/>
    <cellStyle name="Heading1 5" xfId="7712"/>
    <cellStyle name="Heading1 6" xfId="7713"/>
    <cellStyle name="Heading1 7" xfId="7714"/>
    <cellStyle name="Heading1 8" xfId="7715"/>
    <cellStyle name="Heading1_4.32E Depreciation Study Robs file" xfId="7716"/>
    <cellStyle name="Heading2" xfId="7717"/>
    <cellStyle name="Heading2 2" xfId="7718"/>
    <cellStyle name="Heading2 2 2" xfId="7719"/>
    <cellStyle name="Heading2 3" xfId="7720"/>
    <cellStyle name="Heading2 3 2" xfId="7721"/>
    <cellStyle name="Heading2 4" xfId="7722"/>
    <cellStyle name="Heading2 5" xfId="7723"/>
    <cellStyle name="Heading2 6" xfId="7724"/>
    <cellStyle name="Heading2 7" xfId="7725"/>
    <cellStyle name="Heading2 8" xfId="7726"/>
    <cellStyle name="Heading2_4.32E Depreciation Study Robs file" xfId="7727"/>
    <cellStyle name="Hyperlink" xfId="9540" builtinId="8" customBuiltin="1"/>
    <cellStyle name="Hyperlink 2" xfId="7728"/>
    <cellStyle name="Hyperlink 2 2" xfId="9546"/>
    <cellStyle name="Hyperlink 3" xfId="7729"/>
    <cellStyle name="Input [yellow]" xfId="7730"/>
    <cellStyle name="Input [yellow] 2" xfId="7731"/>
    <cellStyle name="Input [yellow] 2 2" xfId="7732"/>
    <cellStyle name="Input [yellow] 2 3" xfId="7733"/>
    <cellStyle name="Input [yellow] 2 4" xfId="7734"/>
    <cellStyle name="Input [yellow] 2 5" xfId="7735"/>
    <cellStyle name="Input [yellow] 3" xfId="7736"/>
    <cellStyle name="Input [yellow] 3 2" xfId="7737"/>
    <cellStyle name="Input [yellow] 3 3" xfId="7738"/>
    <cellStyle name="Input [yellow] 3 4" xfId="7739"/>
    <cellStyle name="Input [yellow] 3 5" xfId="7740"/>
    <cellStyle name="Input [yellow] 4" xfId="7741"/>
    <cellStyle name="Input [yellow] 4 2" xfId="7742"/>
    <cellStyle name="Input [yellow] 4 3" xfId="7743"/>
    <cellStyle name="Input [yellow] 4 4" xfId="7744"/>
    <cellStyle name="Input [yellow] 4 5" xfId="7745"/>
    <cellStyle name="Input [yellow] 5" xfId="7746"/>
    <cellStyle name="Input [yellow] 5 2" xfId="7747"/>
    <cellStyle name="Input [yellow] 6" xfId="7748"/>
    <cellStyle name="Input [yellow] 7" xfId="7749"/>
    <cellStyle name="Input [yellow] 8" xfId="7750"/>
    <cellStyle name="Input [yellow] 9" xfId="7751"/>
    <cellStyle name="Input [yellow]_(C) WHE Proforma with ITC cash grant 10 Yr Amort_for deferral_102809" xfId="7752"/>
    <cellStyle name="Input 10" xfId="7753"/>
    <cellStyle name="Input 11" xfId="7754"/>
    <cellStyle name="Input 12" xfId="7755"/>
    <cellStyle name="Input 13" xfId="7756"/>
    <cellStyle name="Input 14" xfId="7757"/>
    <cellStyle name="Input 15" xfId="7758"/>
    <cellStyle name="Input 16" xfId="7759"/>
    <cellStyle name="Input 17" xfId="7760"/>
    <cellStyle name="Input 18" xfId="7761"/>
    <cellStyle name="Input 19" xfId="7762"/>
    <cellStyle name="Input 2" xfId="7763"/>
    <cellStyle name="Input 2 2" xfId="7764"/>
    <cellStyle name="Input 2 2 2" xfId="7765"/>
    <cellStyle name="Input 2 2 3" xfId="7766"/>
    <cellStyle name="Input 2 3" xfId="7767"/>
    <cellStyle name="Input 3" xfId="7768"/>
    <cellStyle name="Input 3 2" xfId="7769"/>
    <cellStyle name="Input 3 3" xfId="7770"/>
    <cellStyle name="Input 3 4" xfId="7771"/>
    <cellStyle name="Input 3 5" xfId="7772"/>
    <cellStyle name="Input 4" xfId="7773"/>
    <cellStyle name="Input 4 2" xfId="7774"/>
    <cellStyle name="Input 4 3" xfId="7775"/>
    <cellStyle name="Input 4 4" xfId="7776"/>
    <cellStyle name="Input 5" xfId="7777"/>
    <cellStyle name="Input 6" xfId="7778"/>
    <cellStyle name="Input 7" xfId="7779"/>
    <cellStyle name="Input 8" xfId="7780"/>
    <cellStyle name="Input 9" xfId="7781"/>
    <cellStyle name="Input Cells" xfId="7782"/>
    <cellStyle name="Input Cells 2" xfId="7783"/>
    <cellStyle name="Input Cells 3" xfId="7784"/>
    <cellStyle name="Input Cells Percent" xfId="7785"/>
    <cellStyle name="Input Cells Percent 2" xfId="7786"/>
    <cellStyle name="Input Cells Percent 3" xfId="7787"/>
    <cellStyle name="Input Cells Percent_AURORA Total New" xfId="7788"/>
    <cellStyle name="Input Cells_4.34E Mint Farm Deferral" xfId="7789"/>
    <cellStyle name="line b - Style6" xfId="7790"/>
    <cellStyle name="Lines" xfId="7791"/>
    <cellStyle name="Lines 2" xfId="7792"/>
    <cellStyle name="Lines 3" xfId="7793"/>
    <cellStyle name="Lines 4" xfId="7794"/>
    <cellStyle name="Lines_Electric Rev Req Model (2009 GRC) Rebuttal" xfId="7795"/>
    <cellStyle name="LINKED" xfId="7796"/>
    <cellStyle name="LINKED 2" xfId="7797"/>
    <cellStyle name="LINKED 2 2" xfId="7798"/>
    <cellStyle name="LINKED 3" xfId="7799"/>
    <cellStyle name="LINKED 4" xfId="7800"/>
    <cellStyle name="Linked Cell 2" xfId="7801"/>
    <cellStyle name="Linked Cell 2 2" xfId="7802"/>
    <cellStyle name="Linked Cell 2 2 2" xfId="7803"/>
    <cellStyle name="Linked Cell 2 3" xfId="7804"/>
    <cellStyle name="Linked Cell 3" xfId="7805"/>
    <cellStyle name="Linked Cell 3 2" xfId="7806"/>
    <cellStyle name="Linked Cell 3 3" xfId="7807"/>
    <cellStyle name="Linked Cell 3 4" xfId="7808"/>
    <cellStyle name="Linked Cell 4" xfId="7809"/>
    <cellStyle name="Linked Cell 5" xfId="7810"/>
    <cellStyle name="Linked Cell 6" xfId="7811"/>
    <cellStyle name="Manual-Input" xfId="9544"/>
    <cellStyle name="Millares [0]_2AV_M_M " xfId="7812"/>
    <cellStyle name="Millares_2AV_M_M " xfId="7813"/>
    <cellStyle name="modified border" xfId="7814"/>
    <cellStyle name="modified border 2" xfId="7815"/>
    <cellStyle name="modified border 2 2" xfId="7816"/>
    <cellStyle name="modified border 2 3" xfId="7817"/>
    <cellStyle name="modified border 3" xfId="7818"/>
    <cellStyle name="modified border 3 2" xfId="7819"/>
    <cellStyle name="modified border 3 3" xfId="7820"/>
    <cellStyle name="modified border 4" xfId="7821"/>
    <cellStyle name="modified border 4 2" xfId="7822"/>
    <cellStyle name="modified border 4 3" xfId="7823"/>
    <cellStyle name="modified border 5" xfId="7824"/>
    <cellStyle name="modified border 5 2" xfId="7825"/>
    <cellStyle name="modified border 6" xfId="7826"/>
    <cellStyle name="modified border 7" xfId="7827"/>
    <cellStyle name="modified border 8" xfId="7828"/>
    <cellStyle name="modified border_4.34E Mint Farm Deferral" xfId="7829"/>
    <cellStyle name="modified border1" xfId="7830"/>
    <cellStyle name="modified border1 2" xfId="7831"/>
    <cellStyle name="modified border1 2 2" xfId="7832"/>
    <cellStyle name="modified border1 2 3" xfId="7833"/>
    <cellStyle name="modified border1 3" xfId="7834"/>
    <cellStyle name="modified border1 3 2" xfId="7835"/>
    <cellStyle name="modified border1 3 3" xfId="7836"/>
    <cellStyle name="modified border1 4" xfId="7837"/>
    <cellStyle name="modified border1 4 2" xfId="7838"/>
    <cellStyle name="modified border1 4 3" xfId="7839"/>
    <cellStyle name="modified border1 5" xfId="7840"/>
    <cellStyle name="modified border1 5 2" xfId="7841"/>
    <cellStyle name="modified border1 6" xfId="7842"/>
    <cellStyle name="modified border1 7" xfId="7843"/>
    <cellStyle name="modified border1 8" xfId="7844"/>
    <cellStyle name="modified border1_4.34E Mint Farm Deferral" xfId="7845"/>
    <cellStyle name="Moneda [0]_2AV_M_M " xfId="7846"/>
    <cellStyle name="Moneda_2AV_M_M " xfId="7847"/>
    <cellStyle name="Neutral 2" xfId="7848"/>
    <cellStyle name="Neutral 2 2" xfId="7849"/>
    <cellStyle name="Neutral 2 2 2" xfId="7850"/>
    <cellStyle name="Neutral 2 3" xfId="7851"/>
    <cellStyle name="Neutral 3" xfId="7852"/>
    <cellStyle name="Neutral 3 2" xfId="7853"/>
    <cellStyle name="Neutral 3 3" xfId="7854"/>
    <cellStyle name="Neutral 3 4" xfId="7855"/>
    <cellStyle name="Neutral 4" xfId="7856"/>
    <cellStyle name="Neutral 5" xfId="7857"/>
    <cellStyle name="Neutral 6" xfId="7858"/>
    <cellStyle name="no dec" xfId="7859"/>
    <cellStyle name="no dec 2" xfId="7860"/>
    <cellStyle name="no dec 2 2" xfId="7861"/>
    <cellStyle name="no dec 3" xfId="7862"/>
    <cellStyle name="no dec 4" xfId="7863"/>
    <cellStyle name="Normal" xfId="0" builtinId="0"/>
    <cellStyle name="Normal - Style1" xfId="7864"/>
    <cellStyle name="Normal - Style1 2" xfId="7865"/>
    <cellStyle name="Normal - Style1 2 2" xfId="7866"/>
    <cellStyle name="Normal - Style1 2 2 2" xfId="7867"/>
    <cellStyle name="Normal - Style1 2 3" xfId="7868"/>
    <cellStyle name="Normal - Style1 2 4" xfId="7869"/>
    <cellStyle name="Normal - Style1 3" xfId="7870"/>
    <cellStyle name="Normal - Style1 3 2" xfId="7871"/>
    <cellStyle name="Normal - Style1 3 2 2" xfId="7872"/>
    <cellStyle name="Normal - Style1 3 3" xfId="7873"/>
    <cellStyle name="Normal - Style1 3 4" xfId="7874"/>
    <cellStyle name="Normal - Style1 4" xfId="7875"/>
    <cellStyle name="Normal - Style1 4 2" xfId="7876"/>
    <cellStyle name="Normal - Style1 4 2 2" xfId="7877"/>
    <cellStyle name="Normal - Style1 4 3" xfId="7878"/>
    <cellStyle name="Normal - Style1 4 4" xfId="7879"/>
    <cellStyle name="Normal - Style1 5" xfId="7880"/>
    <cellStyle name="Normal - Style1 5 2" xfId="7881"/>
    <cellStyle name="Normal - Style1 5 3" xfId="7882"/>
    <cellStyle name="Normal - Style1 5 4" xfId="7883"/>
    <cellStyle name="Normal - Style1 6" xfId="7884"/>
    <cellStyle name="Normal - Style1 6 2" xfId="7885"/>
    <cellStyle name="Normal - Style1 6 2 2" xfId="7886"/>
    <cellStyle name="Normal - Style1 6 3" xfId="7887"/>
    <cellStyle name="Normal - Style1 6 4" xfId="7888"/>
    <cellStyle name="Normal - Style1 7" xfId="7889"/>
    <cellStyle name="Normal - Style1 8" xfId="7890"/>
    <cellStyle name="Normal - Style1_(C) WHE Proforma with ITC cash grant 10 Yr Amort_for deferral_102809" xfId="7891"/>
    <cellStyle name="Normal 1" xfId="7892"/>
    <cellStyle name="Normal 1 2" xfId="7893"/>
    <cellStyle name="Normal 10" xfId="7894"/>
    <cellStyle name="Normal 10 2" xfId="7895"/>
    <cellStyle name="Normal 10 2 2" xfId="7896"/>
    <cellStyle name="Normal 10 2 2 2" xfId="7897"/>
    <cellStyle name="Normal 10 2 2 3" xfId="7898"/>
    <cellStyle name="Normal 10 2 3" xfId="7899"/>
    <cellStyle name="Normal 10 2 4" xfId="7900"/>
    <cellStyle name="Normal 10 3" xfId="7901"/>
    <cellStyle name="Normal 10 3 2" xfId="7902"/>
    <cellStyle name="Normal 10 3 2 2" xfId="7903"/>
    <cellStyle name="Normal 10 3 3" xfId="7904"/>
    <cellStyle name="Normal 10 3 4" xfId="7905"/>
    <cellStyle name="Normal 10 4" xfId="7906"/>
    <cellStyle name="Normal 10 4 2" xfId="7907"/>
    <cellStyle name="Normal 10 4 2 2" xfId="7908"/>
    <cellStyle name="Normal 10 4 3" xfId="7909"/>
    <cellStyle name="Normal 10 5" xfId="7910"/>
    <cellStyle name="Normal 10 5 2" xfId="7911"/>
    <cellStyle name="Normal 10 5 3" xfId="7912"/>
    <cellStyle name="Normal 10 6" xfId="7913"/>
    <cellStyle name="Normal 10 6 2" xfId="7914"/>
    <cellStyle name="Normal 10 7" xfId="7915"/>
    <cellStyle name="Normal 10 8" xfId="7916"/>
    <cellStyle name="Normal 10 9" xfId="7917"/>
    <cellStyle name="Normal 10_ Price Inputs" xfId="7918"/>
    <cellStyle name="Normal 100" xfId="7919"/>
    <cellStyle name="Normal 101" xfId="7920"/>
    <cellStyle name="Normal 102" xfId="7921"/>
    <cellStyle name="Normal 103" xfId="7922"/>
    <cellStyle name="Normal 104" xfId="7923"/>
    <cellStyle name="Normal 105" xfId="7924"/>
    <cellStyle name="Normal 106" xfId="7925"/>
    <cellStyle name="Normal 107" xfId="7926"/>
    <cellStyle name="Normal 108" xfId="7927"/>
    <cellStyle name="Normal 109" xfId="7928"/>
    <cellStyle name="Normal 11" xfId="7929"/>
    <cellStyle name="Normal 11 2" xfId="7930"/>
    <cellStyle name="Normal 11 2 2" xfId="7931"/>
    <cellStyle name="Normal 11 2 2 2" xfId="7932"/>
    <cellStyle name="Normal 11 2 3" xfId="7933"/>
    <cellStyle name="Normal 11 3" xfId="7934"/>
    <cellStyle name="Normal 11 3 2" xfId="7935"/>
    <cellStyle name="Normal 11 3 3" xfId="7936"/>
    <cellStyle name="Normal 11 4" xfId="7937"/>
    <cellStyle name="Normal 11 4 2" xfId="7938"/>
    <cellStyle name="Normal 11 5" xfId="7939"/>
    <cellStyle name="Normal 11 6" xfId="7940"/>
    <cellStyle name="Normal 11 7" xfId="7941"/>
    <cellStyle name="Normal 11_16.37E Wild Horse Expansion DeferralRevwrkingfile SF" xfId="7942"/>
    <cellStyle name="Normal 110" xfId="7943"/>
    <cellStyle name="Normal 111" xfId="7944"/>
    <cellStyle name="Normal 112" xfId="7945"/>
    <cellStyle name="Normal 112 2" xfId="7946"/>
    <cellStyle name="Normal 113" xfId="7947"/>
    <cellStyle name="Normal 114" xfId="7948"/>
    <cellStyle name="Normal 115" xfId="7949"/>
    <cellStyle name="Normal 116" xfId="7950"/>
    <cellStyle name="Normal 116 2" xfId="7951"/>
    <cellStyle name="Normal 117" xfId="7952"/>
    <cellStyle name="Normal 118" xfId="7953"/>
    <cellStyle name="Normal 119" xfId="7954"/>
    <cellStyle name="Normal 12" xfId="7955"/>
    <cellStyle name="Normal 12 2" xfId="7956"/>
    <cellStyle name="Normal 12 2 2" xfId="7957"/>
    <cellStyle name="Normal 12 2 2 2" xfId="7958"/>
    <cellStyle name="Normal 12 2 3" xfId="7959"/>
    <cellStyle name="Normal 12 3" xfId="7960"/>
    <cellStyle name="Normal 12 3 2" xfId="7961"/>
    <cellStyle name="Normal 12 3 3" xfId="7962"/>
    <cellStyle name="Normal 12 4" xfId="7963"/>
    <cellStyle name="Normal 12 4 2" xfId="7964"/>
    <cellStyle name="Normal 12 5" xfId="7965"/>
    <cellStyle name="Normal 12 6" xfId="7966"/>
    <cellStyle name="Normal 12 7" xfId="7967"/>
    <cellStyle name="Normal 12_2011 CBR Rev Calc by schedule" xfId="7968"/>
    <cellStyle name="Normal 120" xfId="7969"/>
    <cellStyle name="Normal 121" xfId="7970"/>
    <cellStyle name="Normal 122" xfId="7971"/>
    <cellStyle name="Normal 123" xfId="7972"/>
    <cellStyle name="Normal 124" xfId="7973"/>
    <cellStyle name="Normal 125" xfId="7974"/>
    <cellStyle name="Normal 126" xfId="7975"/>
    <cellStyle name="Normal 127" xfId="7976"/>
    <cellStyle name="Normal 128" xfId="7977"/>
    <cellStyle name="Normal 129" xfId="7978"/>
    <cellStyle name="Normal 13" xfId="7979"/>
    <cellStyle name="Normal 13 2" xfId="7980"/>
    <cellStyle name="Normal 13 2 2" xfId="7981"/>
    <cellStyle name="Normal 13 2 2 2" xfId="7982"/>
    <cellStyle name="Normal 13 2 3" xfId="7983"/>
    <cellStyle name="Normal 13 3" xfId="7984"/>
    <cellStyle name="Normal 13 3 2" xfId="7985"/>
    <cellStyle name="Normal 13 3 3" xfId="7986"/>
    <cellStyle name="Normal 13 4" xfId="7987"/>
    <cellStyle name="Normal 13 4 2" xfId="7988"/>
    <cellStyle name="Normal 13 5" xfId="7989"/>
    <cellStyle name="Normal 13 6" xfId="7990"/>
    <cellStyle name="Normal 13 7" xfId="7991"/>
    <cellStyle name="Normal 13_2011 CBR Rev Calc by schedule" xfId="7992"/>
    <cellStyle name="Normal 130" xfId="7993"/>
    <cellStyle name="Normal 131" xfId="7994"/>
    <cellStyle name="Normal 132" xfId="7995"/>
    <cellStyle name="Normal 133" xfId="7996"/>
    <cellStyle name="Normal 134" xfId="7997"/>
    <cellStyle name="Normal 135" xfId="7998"/>
    <cellStyle name="Normal 136" xfId="7999"/>
    <cellStyle name="Normal 137" xfId="8000"/>
    <cellStyle name="Normal 138" xfId="8001"/>
    <cellStyle name="Normal 139" xfId="8002"/>
    <cellStyle name="Normal 14" xfId="8003"/>
    <cellStyle name="Normal 14 2" xfId="8004"/>
    <cellStyle name="Normal 14 2 2" xfId="8005"/>
    <cellStyle name="Normal 14 3" xfId="8006"/>
    <cellStyle name="Normal 14 4" xfId="8007"/>
    <cellStyle name="Normal 14_2011 CBR Rev Calc by schedule" xfId="8008"/>
    <cellStyle name="Normal 140" xfId="8009"/>
    <cellStyle name="Normal 141" xfId="8010"/>
    <cellStyle name="Normal 142" xfId="8011"/>
    <cellStyle name="Normal 143" xfId="8012"/>
    <cellStyle name="Normal 144" xfId="8013"/>
    <cellStyle name="Normal 145" xfId="8014"/>
    <cellStyle name="Normal 146" xfId="8015"/>
    <cellStyle name="Normal 147" xfId="8016"/>
    <cellStyle name="Normal 148" xfId="8017"/>
    <cellStyle name="Normal 149" xfId="8018"/>
    <cellStyle name="Normal 15" xfId="8019"/>
    <cellStyle name="Normal 15 2" xfId="8020"/>
    <cellStyle name="Normal 15 3" xfId="8021"/>
    <cellStyle name="Normal 15 3 2" xfId="8022"/>
    <cellStyle name="Normal 15 3 3" xfId="8023"/>
    <cellStyle name="Normal 15 4" xfId="8024"/>
    <cellStyle name="Normal 15 4 2" xfId="8025"/>
    <cellStyle name="Normal 15 5" xfId="8026"/>
    <cellStyle name="Normal 15 6" xfId="8027"/>
    <cellStyle name="Normal 15 7" xfId="8028"/>
    <cellStyle name="Normal 15_2011 CBR Rev Calc by schedule" xfId="8029"/>
    <cellStyle name="Normal 150" xfId="8030"/>
    <cellStyle name="Normal 151" xfId="8031"/>
    <cellStyle name="Normal 152" xfId="9514"/>
    <cellStyle name="Normal 152 2" xfId="9550"/>
    <cellStyle name="Normal 153" xfId="9521"/>
    <cellStyle name="Normal 153 2" xfId="9551"/>
    <cellStyle name="Normal 154" xfId="9513"/>
    <cellStyle name="Normal 154 2" xfId="9549"/>
    <cellStyle name="Normal 155" xfId="9507"/>
    <cellStyle name="Normal 155 2" xfId="9548"/>
    <cellStyle name="Normal 156" xfId="9537"/>
    <cellStyle name="Normal 16" xfId="8032"/>
    <cellStyle name="Normal 16 2" xfId="8033"/>
    <cellStyle name="Normal 16 3" xfId="8034"/>
    <cellStyle name="Normal 16 3 2" xfId="8035"/>
    <cellStyle name="Normal 16 3 3" xfId="8036"/>
    <cellStyle name="Normal 16 4" xfId="8037"/>
    <cellStyle name="Normal 16 4 2" xfId="8038"/>
    <cellStyle name="Normal 16 5" xfId="8039"/>
    <cellStyle name="Normal 16 6" xfId="8040"/>
    <cellStyle name="Normal 16 7" xfId="8041"/>
    <cellStyle name="Normal 16_2011 CBR Rev Calc by schedule" xfId="8042"/>
    <cellStyle name="Normal 17" xfId="8043"/>
    <cellStyle name="Normal 17 2" xfId="8044"/>
    <cellStyle name="Normal 17 3" xfId="8045"/>
    <cellStyle name="Normal 17 3 2" xfId="8046"/>
    <cellStyle name="Normal 17 4" xfId="8047"/>
    <cellStyle name="Normal 17 5" xfId="8048"/>
    <cellStyle name="Normal 18" xfId="8049"/>
    <cellStyle name="Normal 18 2" xfId="8050"/>
    <cellStyle name="Normal 18 3" xfId="8051"/>
    <cellStyle name="Normal 18 3 2" xfId="8052"/>
    <cellStyle name="Normal 18 4" xfId="8053"/>
    <cellStyle name="Normal 18 5" xfId="8054"/>
    <cellStyle name="Normal 19" xfId="8055"/>
    <cellStyle name="Normal 19 2" xfId="8056"/>
    <cellStyle name="Normal 19 3" xfId="8057"/>
    <cellStyle name="Normal 19 3 2" xfId="8058"/>
    <cellStyle name="Normal 19 4" xfId="8059"/>
    <cellStyle name="Normal 2" xfId="4"/>
    <cellStyle name="Normal 2 10" xfId="8060"/>
    <cellStyle name="Normal 2 10 2" xfId="8061"/>
    <cellStyle name="Normal 2 10 2 2" xfId="8062"/>
    <cellStyle name="Normal 2 10 3" xfId="8063"/>
    <cellStyle name="Normal 2 11" xfId="8064"/>
    <cellStyle name="Normal 2 11 2" xfId="8065"/>
    <cellStyle name="Normal 2 12" xfId="8066"/>
    <cellStyle name="Normal 2 13" xfId="9543"/>
    <cellStyle name="Normal 2 2" xfId="8067"/>
    <cellStyle name="Normal 2 2 10" xfId="8068"/>
    <cellStyle name="Normal 2 2 11" xfId="8069"/>
    <cellStyle name="Normal 2 2 2" xfId="8070"/>
    <cellStyle name="Normal 2 2 2 2" xfId="8071"/>
    <cellStyle name="Normal 2 2 2 2 2" xfId="8072"/>
    <cellStyle name="Normal 2 2 2 3" xfId="8073"/>
    <cellStyle name="Normal 2 2 2 3 2" xfId="8074"/>
    <cellStyle name="Normal 2 2 2 4" xfId="8075"/>
    <cellStyle name="Normal 2 2 2 5" xfId="8076"/>
    <cellStyle name="Normal 2 2 2 6" xfId="8077"/>
    <cellStyle name="Normal 2 2 2 7" xfId="8078"/>
    <cellStyle name="Normal 2 2 2_Chelan PUD Power Costs (8-10)" xfId="8079"/>
    <cellStyle name="Normal 2 2 3" xfId="8080"/>
    <cellStyle name="Normal 2 2 3 2" xfId="8081"/>
    <cellStyle name="Normal 2 2 3 3" xfId="8082"/>
    <cellStyle name="Normal 2 2 4" xfId="8083"/>
    <cellStyle name="Normal 2 2 4 2" xfId="8084"/>
    <cellStyle name="Normal 2 2 5" xfId="8085"/>
    <cellStyle name="Normal 2 2 6" xfId="8086"/>
    <cellStyle name="Normal 2 2 7" xfId="8087"/>
    <cellStyle name="Normal 2 2 8" xfId="8088"/>
    <cellStyle name="Normal 2 2 9" xfId="8089"/>
    <cellStyle name="Normal 2 2_ Price Inputs" xfId="8090"/>
    <cellStyle name="Normal 2 3" xfId="8091"/>
    <cellStyle name="Normal 2 3 2" xfId="8092"/>
    <cellStyle name="Normal 2 3 3" xfId="8093"/>
    <cellStyle name="Normal 2 3 4" xfId="8094"/>
    <cellStyle name="Normal 2 3 5" xfId="9541"/>
    <cellStyle name="Normal 2 4" xfId="8095"/>
    <cellStyle name="Normal 2 4 2" xfId="8096"/>
    <cellStyle name="Normal 2 4 3" xfId="8097"/>
    <cellStyle name="Normal 2 5" xfId="8098"/>
    <cellStyle name="Normal 2 5 2" xfId="8099"/>
    <cellStyle name="Normal 2 5 3" xfId="8100"/>
    <cellStyle name="Normal 2 6" xfId="8101"/>
    <cellStyle name="Normal 2 6 2" xfId="8102"/>
    <cellStyle name="Normal 2 6 2 2" xfId="8103"/>
    <cellStyle name="Normal 2 6 3" xfId="8104"/>
    <cellStyle name="Normal 2 6 4" xfId="8105"/>
    <cellStyle name="Normal 2 6 5" xfId="8106"/>
    <cellStyle name="Normal 2 6 6" xfId="8107"/>
    <cellStyle name="Normal 2 7" xfId="8108"/>
    <cellStyle name="Normal 2 7 2" xfId="8109"/>
    <cellStyle name="Normal 2 7 2 2" xfId="8110"/>
    <cellStyle name="Normal 2 7 3" xfId="8111"/>
    <cellStyle name="Normal 2 7 4" xfId="8112"/>
    <cellStyle name="Normal 2 8" xfId="8113"/>
    <cellStyle name="Normal 2 8 2" xfId="8114"/>
    <cellStyle name="Normal 2 8 2 2" xfId="8115"/>
    <cellStyle name="Normal 2 8 2 2 2" xfId="8116"/>
    <cellStyle name="Normal 2 8 2 3" xfId="8117"/>
    <cellStyle name="Normal 2 8 3" xfId="8118"/>
    <cellStyle name="Normal 2 8 3 2" xfId="8119"/>
    <cellStyle name="Normal 2 8 4" xfId="8120"/>
    <cellStyle name="Normal 2 8 5" xfId="8121"/>
    <cellStyle name="Normal 2 9" xfId="8122"/>
    <cellStyle name="Normal 2 9 2" xfId="8123"/>
    <cellStyle name="Normal 2 9 2 2" xfId="8124"/>
    <cellStyle name="Normal 2 9 3" xfId="8125"/>
    <cellStyle name="Normal 2 9 4" xfId="8126"/>
    <cellStyle name="Normal 2_16.37E Wild Horse Expansion DeferralRevwrkingfile SF" xfId="8127"/>
    <cellStyle name="Normal 20" xfId="8128"/>
    <cellStyle name="Normal 20 2" xfId="8129"/>
    <cellStyle name="Normal 20 2 2" xfId="8130"/>
    <cellStyle name="Normal 20 3" xfId="8131"/>
    <cellStyle name="Normal 20 3 2" xfId="8132"/>
    <cellStyle name="Normal 20 4" xfId="8133"/>
    <cellStyle name="Normal 20 4 2" xfId="8134"/>
    <cellStyle name="Normal 20 5" xfId="8135"/>
    <cellStyle name="Normal 20 6" xfId="8136"/>
    <cellStyle name="Normal 21" xfId="8137"/>
    <cellStyle name="Normal 21 2" xfId="8138"/>
    <cellStyle name="Normal 21 2 2" xfId="8139"/>
    <cellStyle name="Normal 21 2 3" xfId="8140"/>
    <cellStyle name="Normal 21 3" xfId="8141"/>
    <cellStyle name="Normal 21 3 2" xfId="8142"/>
    <cellStyle name="Normal 21 4" xfId="8143"/>
    <cellStyle name="Normal 21 5" xfId="8144"/>
    <cellStyle name="Normal 21 6" xfId="8145"/>
    <cellStyle name="Normal 22" xfId="8146"/>
    <cellStyle name="Normal 22 2" xfId="8147"/>
    <cellStyle name="Normal 22 2 2" xfId="8148"/>
    <cellStyle name="Normal 22 2 3" xfId="8149"/>
    <cellStyle name="Normal 22 3" xfId="8150"/>
    <cellStyle name="Normal 22 3 2" xfId="8151"/>
    <cellStyle name="Normal 22 4" xfId="8152"/>
    <cellStyle name="Normal 22 5" xfId="8153"/>
    <cellStyle name="Normal 22 6" xfId="8154"/>
    <cellStyle name="Normal 23" xfId="8155"/>
    <cellStyle name="Normal 23 2" xfId="8156"/>
    <cellStyle name="Normal 23 2 2" xfId="8157"/>
    <cellStyle name="Normal 23 2 3" xfId="8158"/>
    <cellStyle name="Normal 23 3" xfId="8159"/>
    <cellStyle name="Normal 23 3 2" xfId="8160"/>
    <cellStyle name="Normal 23 4" xfId="8161"/>
    <cellStyle name="Normal 23 5" xfId="8162"/>
    <cellStyle name="Normal 23 6" xfId="8163"/>
    <cellStyle name="Normal 24" xfId="8164"/>
    <cellStyle name="Normal 24 2" xfId="8165"/>
    <cellStyle name="Normal 24 2 2" xfId="8166"/>
    <cellStyle name="Normal 24 2 3" xfId="8167"/>
    <cellStyle name="Normal 24 3" xfId="8168"/>
    <cellStyle name="Normal 24 3 2" xfId="8169"/>
    <cellStyle name="Normal 24 4" xfId="8170"/>
    <cellStyle name="Normal 24 5" xfId="8171"/>
    <cellStyle name="Normal 25" xfId="8172"/>
    <cellStyle name="Normal 25 2" xfId="8173"/>
    <cellStyle name="Normal 25 2 2" xfId="8174"/>
    <cellStyle name="Normal 25 2 3" xfId="8175"/>
    <cellStyle name="Normal 25 3" xfId="8176"/>
    <cellStyle name="Normal 25 3 2" xfId="8177"/>
    <cellStyle name="Normal 25 4" xfId="8178"/>
    <cellStyle name="Normal 25 5" xfId="8179"/>
    <cellStyle name="Normal 26" xfId="8180"/>
    <cellStyle name="Normal 26 2" xfId="8181"/>
    <cellStyle name="Normal 26 2 2" xfId="8182"/>
    <cellStyle name="Normal 26 2 3" xfId="8183"/>
    <cellStyle name="Normal 26 3" xfId="8184"/>
    <cellStyle name="Normal 26 3 2" xfId="8185"/>
    <cellStyle name="Normal 26 4" xfId="8186"/>
    <cellStyle name="Normal 26 5" xfId="8187"/>
    <cellStyle name="Normal 27" xfId="8188"/>
    <cellStyle name="Normal 27 2" xfId="8189"/>
    <cellStyle name="Normal 27 2 2" xfId="8190"/>
    <cellStyle name="Normal 27 2 3" xfId="8191"/>
    <cellStyle name="Normal 27 3" xfId="8192"/>
    <cellStyle name="Normal 27 3 2" xfId="8193"/>
    <cellStyle name="Normal 27 4" xfId="8194"/>
    <cellStyle name="Normal 27 5" xfId="8195"/>
    <cellStyle name="Normal 28" xfId="8196"/>
    <cellStyle name="Normal 28 2" xfId="8197"/>
    <cellStyle name="Normal 28 2 2" xfId="8198"/>
    <cellStyle name="Normal 28 2 3" xfId="8199"/>
    <cellStyle name="Normal 28 3" xfId="8200"/>
    <cellStyle name="Normal 28 3 2" xfId="8201"/>
    <cellStyle name="Normal 28 4" xfId="8202"/>
    <cellStyle name="Normal 28 5" xfId="8203"/>
    <cellStyle name="Normal 29" xfId="8204"/>
    <cellStyle name="Normal 29 2" xfId="8205"/>
    <cellStyle name="Normal 29 2 2" xfId="8206"/>
    <cellStyle name="Normal 29 2 3" xfId="8207"/>
    <cellStyle name="Normal 29 3" xfId="8208"/>
    <cellStyle name="Normal 29 3 2" xfId="8209"/>
    <cellStyle name="Normal 29 4" xfId="8210"/>
    <cellStyle name="Normal 29 5" xfId="8211"/>
    <cellStyle name="Normal 3" xfId="8212"/>
    <cellStyle name="Normal 3 10" xfId="8213"/>
    <cellStyle name="Normal 3 11" xfId="9516"/>
    <cellStyle name="Normal 3 2" xfId="8214"/>
    <cellStyle name="Normal 3 2 2" xfId="8215"/>
    <cellStyle name="Normal 3 2 2 2" xfId="8216"/>
    <cellStyle name="Normal 3 2 3" xfId="8217"/>
    <cellStyle name="Normal 3 2 4" xfId="8218"/>
    <cellStyle name="Normal 3 2 5" xfId="8219"/>
    <cellStyle name="Normal 3 2 6" xfId="8220"/>
    <cellStyle name="Normal 3 2 7" xfId="9530"/>
    <cellStyle name="Normal 3 2_Chelan PUD Power Costs (8-10)" xfId="8221"/>
    <cellStyle name="Normal 3 3" xfId="8222"/>
    <cellStyle name="Normal 3 3 2" xfId="8223"/>
    <cellStyle name="Normal 3 3 2 2" xfId="8224"/>
    <cellStyle name="Normal 3 3 2 3" xfId="8225"/>
    <cellStyle name="Normal 3 3 3" xfId="8226"/>
    <cellStyle name="Normal 3 3 4" xfId="8227"/>
    <cellStyle name="Normal 3 3 5" xfId="8228"/>
    <cellStyle name="Normal 3 3 6" xfId="8229"/>
    <cellStyle name="Normal 3 4" xfId="8230"/>
    <cellStyle name="Normal 3 4 2" xfId="8231"/>
    <cellStyle name="Normal 3 4 2 2" xfId="8232"/>
    <cellStyle name="Normal 3 4 3" xfId="8233"/>
    <cellStyle name="Normal 3 4 3 2" xfId="8234"/>
    <cellStyle name="Normal 3 4 4" xfId="8235"/>
    <cellStyle name="Normal 3 4 4 2" xfId="8236"/>
    <cellStyle name="Normal 3 4 5" xfId="8237"/>
    <cellStyle name="Normal 3 5" xfId="8238"/>
    <cellStyle name="Normal 3 5 2" xfId="8239"/>
    <cellStyle name="Normal 3 6" xfId="8240"/>
    <cellStyle name="Normal 3 6 2" xfId="8241"/>
    <cellStyle name="Normal 3 7" xfId="8242"/>
    <cellStyle name="Normal 3 8" xfId="8243"/>
    <cellStyle name="Normal 3 9" xfId="8244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1" xfId="8254"/>
    <cellStyle name="Normal 31 2" xfId="8255"/>
    <cellStyle name="Normal 31 2 2" xfId="8256"/>
    <cellStyle name="Normal 31 2 3" xfId="8257"/>
    <cellStyle name="Normal 31 3" xfId="8258"/>
    <cellStyle name="Normal 31 3 2" xfId="8259"/>
    <cellStyle name="Normal 31 4" xfId="8260"/>
    <cellStyle name="Normal 31 5" xfId="8261"/>
    <cellStyle name="Normal 32" xfId="8262"/>
    <cellStyle name="Normal 32 2" xfId="8263"/>
    <cellStyle name="Normal 32 2 2" xfId="8264"/>
    <cellStyle name="Normal 32 2 3" xfId="8265"/>
    <cellStyle name="Normal 32 3" xfId="8266"/>
    <cellStyle name="Normal 32 3 2" xfId="8267"/>
    <cellStyle name="Normal 32 4" xfId="8268"/>
    <cellStyle name="Normal 32 5" xfId="8269"/>
    <cellStyle name="Normal 33" xfId="8270"/>
    <cellStyle name="Normal 33 2" xfId="8271"/>
    <cellStyle name="Normal 33 2 2" xfId="8272"/>
    <cellStyle name="Normal 33 2 3" xfId="8273"/>
    <cellStyle name="Normal 33 3" xfId="8274"/>
    <cellStyle name="Normal 33 3 2" xfId="8275"/>
    <cellStyle name="Normal 33 4" xfId="8276"/>
    <cellStyle name="Normal 33 5" xfId="8277"/>
    <cellStyle name="Normal 34" xfId="8278"/>
    <cellStyle name="Normal 34 2" xfId="8279"/>
    <cellStyle name="Normal 34 2 2" xfId="8280"/>
    <cellStyle name="Normal 34 2 3" xfId="8281"/>
    <cellStyle name="Normal 34 3" xfId="8282"/>
    <cellStyle name="Normal 34 3 2" xfId="8283"/>
    <cellStyle name="Normal 34 4" xfId="8284"/>
    <cellStyle name="Normal 34 5" xfId="8285"/>
    <cellStyle name="Normal 35" xfId="8286"/>
    <cellStyle name="Normal 35 2" xfId="8287"/>
    <cellStyle name="Normal 35 2 2" xfId="8288"/>
    <cellStyle name="Normal 35 2 3" xfId="8289"/>
    <cellStyle name="Normal 35 3" xfId="8290"/>
    <cellStyle name="Normal 35 3 2" xfId="8291"/>
    <cellStyle name="Normal 35 4" xfId="8292"/>
    <cellStyle name="Normal 35 5" xfId="8293"/>
    <cellStyle name="Normal 36" xfId="8294"/>
    <cellStyle name="Normal 36 2" xfId="8295"/>
    <cellStyle name="Normal 36 2 2" xfId="8296"/>
    <cellStyle name="Normal 36 2 3" xfId="8297"/>
    <cellStyle name="Normal 36 3" xfId="8298"/>
    <cellStyle name="Normal 36 3 2" xfId="8299"/>
    <cellStyle name="Normal 36 4" xfId="8300"/>
    <cellStyle name="Normal 36 5" xfId="8301"/>
    <cellStyle name="Normal 37" xfId="8302"/>
    <cellStyle name="Normal 37 2" xfId="8303"/>
    <cellStyle name="Normal 37 2 2" xfId="8304"/>
    <cellStyle name="Normal 37 2 3" xfId="8305"/>
    <cellStyle name="Normal 37 3" xfId="8306"/>
    <cellStyle name="Normal 37 3 2" xfId="8307"/>
    <cellStyle name="Normal 37 4" xfId="8308"/>
    <cellStyle name="Normal 37 5" xfId="8309"/>
    <cellStyle name="Normal 38" xfId="8310"/>
    <cellStyle name="Normal 38 2" xfId="8311"/>
    <cellStyle name="Normal 38 2 2" xfId="8312"/>
    <cellStyle name="Normal 38 2 3" xfId="8313"/>
    <cellStyle name="Normal 38 3" xfId="8314"/>
    <cellStyle name="Normal 38 3 2" xfId="8315"/>
    <cellStyle name="Normal 38 4" xfId="8316"/>
    <cellStyle name="Normal 38 5" xfId="8317"/>
    <cellStyle name="Normal 39" xfId="8318"/>
    <cellStyle name="Normal 39 2" xfId="8319"/>
    <cellStyle name="Normal 39 2 2" xfId="8320"/>
    <cellStyle name="Normal 39 2 3" xfId="8321"/>
    <cellStyle name="Normal 39 3" xfId="8322"/>
    <cellStyle name="Normal 39 3 2" xfId="8323"/>
    <cellStyle name="Normal 39 4" xfId="8324"/>
    <cellStyle name="Normal 39 5" xfId="8325"/>
    <cellStyle name="Normal 4" xfId="8326"/>
    <cellStyle name="Normal 4 2" xfId="8327"/>
    <cellStyle name="Normal 4 2 2" xfId="8328"/>
    <cellStyle name="Normal 4 2 2 2" xfId="8329"/>
    <cellStyle name="Normal 4 2 2 3" xfId="8330"/>
    <cellStyle name="Normal 4 2 3" xfId="8331"/>
    <cellStyle name="Normal 4 2 3 2" xfId="8332"/>
    <cellStyle name="Normal 4 2 4" xfId="8333"/>
    <cellStyle name="Normal 4 2 5" xfId="8334"/>
    <cellStyle name="Normal 4 2 6" xfId="8335"/>
    <cellStyle name="Normal 4 3" xfId="8336"/>
    <cellStyle name="Normal 4 3 2" xfId="8337"/>
    <cellStyle name="Normal 4 4" xfId="8338"/>
    <cellStyle name="Normal 4 4 2" xfId="8339"/>
    <cellStyle name="Normal 4 5" xfId="8340"/>
    <cellStyle name="Normal 4 5 2" xfId="8341"/>
    <cellStyle name="Normal 4 6" xfId="8342"/>
    <cellStyle name="Normal 4 7" xfId="8343"/>
    <cellStyle name="Normal 4 8" xfId="9535"/>
    <cellStyle name="Normal 4_ Price Inputs" xfId="8344"/>
    <cellStyle name="Normal 40" xfId="8345"/>
    <cellStyle name="Normal 40 2" xfId="8346"/>
    <cellStyle name="Normal 41" xfId="8347"/>
    <cellStyle name="Normal 41 2" xfId="8348"/>
    <cellStyle name="Normal 41 2 2" xfId="8349"/>
    <cellStyle name="Normal 41 3" xfId="8350"/>
    <cellStyle name="Normal 41 3 2" xfId="8351"/>
    <cellStyle name="Normal 41 4" xfId="8352"/>
    <cellStyle name="Normal 41 4 2" xfId="8353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3" xfId="8365"/>
    <cellStyle name="Normal 43 2" xfId="8366"/>
    <cellStyle name="Normal 43 3" xfId="8367"/>
    <cellStyle name="Normal 43 3 2" xfId="8368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3" xfId="8394"/>
    <cellStyle name="Normal 46 3" xfId="8395"/>
    <cellStyle name="Normal 46 4" xfId="8396"/>
    <cellStyle name="Normal 46 5" xfId="8397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5" xfId="8421"/>
    <cellStyle name="Normal 5 2" xfId="8422"/>
    <cellStyle name="Normal 5 2 2" xfId="8423"/>
    <cellStyle name="Normal 5 2 3" xfId="8424"/>
    <cellStyle name="Normal 5 2 4" xfId="9528"/>
    <cellStyle name="Normal 5 3" xfId="8425"/>
    <cellStyle name="Normal 5 3 2" xfId="8426"/>
    <cellStyle name="Normal 5 4" xfId="8427"/>
    <cellStyle name="Normal 5 4 2" xfId="8428"/>
    <cellStyle name="Normal 5 5" xfId="8429"/>
    <cellStyle name="Normal 5 5 2" xfId="8430"/>
    <cellStyle name="Normal 5 6" xfId="8431"/>
    <cellStyle name="Normal 5 7" xfId="9529"/>
    <cellStyle name="Normal 5_2011 CBR Rev Calc by schedule" xfId="8432"/>
    <cellStyle name="Normal 50" xfId="8433"/>
    <cellStyle name="Normal 50 2" xfId="8434"/>
    <cellStyle name="Normal 50 2 2" xfId="8435"/>
    <cellStyle name="Normal 50 3" xfId="8436"/>
    <cellStyle name="Normal 50 3 2" xfId="8437"/>
    <cellStyle name="Normal 50 4" xfId="8438"/>
    <cellStyle name="Normal 50 4 2" xfId="8439"/>
    <cellStyle name="Normal 51" xfId="8440"/>
    <cellStyle name="Normal 51 2" xfId="8441"/>
    <cellStyle name="Normal 51 2 2" xfId="8442"/>
    <cellStyle name="Normal 51 2 3" xfId="8443"/>
    <cellStyle name="Normal 51 3" xfId="8444"/>
    <cellStyle name="Normal 51 4" xfId="8445"/>
    <cellStyle name="Normal 51 5" xfId="8446"/>
    <cellStyle name="Normal 51 6" xfId="8447"/>
    <cellStyle name="Normal 52" xfId="8448"/>
    <cellStyle name="Normal 53" xfId="8449"/>
    <cellStyle name="Normal 53 2" xfId="8450"/>
    <cellStyle name="Normal 53 3" xfId="8451"/>
    <cellStyle name="Normal 53 3 2" xfId="8452"/>
    <cellStyle name="Normal 53 4" xfId="8453"/>
    <cellStyle name="Normal 54" xfId="8454"/>
    <cellStyle name="Normal 54 2" xfId="8455"/>
    <cellStyle name="Normal 54 3" xfId="8456"/>
    <cellStyle name="Normal 54 3 2" xfId="8457"/>
    <cellStyle name="Normal 54 4" xfId="8458"/>
    <cellStyle name="Normal 55" xfId="8459"/>
    <cellStyle name="Normal 55 2" xfId="8460"/>
    <cellStyle name="Normal 55 2 2" xfId="8461"/>
    <cellStyle name="Normal 55 3" xfId="8462"/>
    <cellStyle name="Normal 56" xfId="8463"/>
    <cellStyle name="Normal 56 2" xfId="8464"/>
    <cellStyle name="Normal 56 2 2" xfId="8465"/>
    <cellStyle name="Normal 56 3" xfId="8466"/>
    <cellStyle name="Normal 57" xfId="8467"/>
    <cellStyle name="Normal 57 2" xfId="8468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4" xfId="8481"/>
    <cellStyle name="Normal 6 5" xfId="8482"/>
    <cellStyle name="Normal 6 5 2" xfId="8483"/>
    <cellStyle name="Normal 6 6" xfId="8484"/>
    <cellStyle name="Normal 6 7" xfId="9520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2" xfId="8507"/>
    <cellStyle name="Normal 7 2 2" xfId="8508"/>
    <cellStyle name="Normal 7 2 2 2" xfId="8509"/>
    <cellStyle name="Normal 7 2 3" xfId="8510"/>
    <cellStyle name="Normal 7 3" xfId="8511"/>
    <cellStyle name="Normal 7 4" xfId="8512"/>
    <cellStyle name="Normal 7 4 2" xfId="8513"/>
    <cellStyle name="Normal 7 5" xfId="8514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2" xfId="8530"/>
    <cellStyle name="Normal 8 2 2" xfId="8531"/>
    <cellStyle name="Normal 8 2 2 2" xfId="8532"/>
    <cellStyle name="Normal 8 2 3" xfId="8533"/>
    <cellStyle name="Normal 8 2 4" xfId="8534"/>
    <cellStyle name="Normal 8 3" xfId="8535"/>
    <cellStyle name="Normal 8 4" xfId="8536"/>
    <cellStyle name="Normal 8 4 2" xfId="8537"/>
    <cellStyle name="Normal 8 5" xfId="8538"/>
    <cellStyle name="Normal 8 6" xfId="8539"/>
    <cellStyle name="Normal 8 7" xfId="9527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2" xfId="8551"/>
    <cellStyle name="Normal 9 2 2" xfId="8552"/>
    <cellStyle name="Normal 9 2 2 2" xfId="8553"/>
    <cellStyle name="Normal 9 2 3" xfId="8554"/>
    <cellStyle name="Normal 9 3" xfId="8555"/>
    <cellStyle name="Normal 9 3 2" xfId="8556"/>
    <cellStyle name="Normal 9 4" xfId="8557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rmal_WAElec6_97" xfId="9506"/>
    <cellStyle name="Normal_WAGas6_97" xfId="9547"/>
    <cellStyle name="Note 10" xfId="8569"/>
    <cellStyle name="Note 10 2" xfId="8570"/>
    <cellStyle name="Note 10 2 2" xfId="8571"/>
    <cellStyle name="Note 10 3" xfId="8572"/>
    <cellStyle name="Note 11" xfId="8573"/>
    <cellStyle name="Note 11 2" xfId="8574"/>
    <cellStyle name="Note 11 2 2" xfId="8575"/>
    <cellStyle name="Note 11 3" xfId="8576"/>
    <cellStyle name="Note 12" xfId="8577"/>
    <cellStyle name="Note 12 2" xfId="8578"/>
    <cellStyle name="Note 12 2 2" xfId="8579"/>
    <cellStyle name="Note 12 3" xfId="8580"/>
    <cellStyle name="Note 12 3 2" xfId="8581"/>
    <cellStyle name="Note 12 4" xfId="8582"/>
    <cellStyle name="Note 13" xfId="8583"/>
    <cellStyle name="Note 13 2" xfId="8584"/>
    <cellStyle name="Note 14" xfId="8585"/>
    <cellStyle name="Note 2" xfId="8586"/>
    <cellStyle name="Note 2 2" xfId="8587"/>
    <cellStyle name="Note 2 2 2" xfId="8588"/>
    <cellStyle name="Note 2 2 3" xfId="8589"/>
    <cellStyle name="Note 2 2 4" xfId="8590"/>
    <cellStyle name="Note 2 3" xfId="8591"/>
    <cellStyle name="Note 2 3 2" xfId="8592"/>
    <cellStyle name="Note 2 4" xfId="8593"/>
    <cellStyle name="Note 2 4 2" xfId="8594"/>
    <cellStyle name="Note 2 5" xfId="8595"/>
    <cellStyle name="Note 2_AURORA Total New" xfId="8596"/>
    <cellStyle name="Note 3" xfId="8597"/>
    <cellStyle name="Note 3 2" xfId="8598"/>
    <cellStyle name="Note 3 2 2" xfId="8599"/>
    <cellStyle name="Note 3 3" xfId="8600"/>
    <cellStyle name="Note 3 4" xfId="8601"/>
    <cellStyle name="Note 4" xfId="8602"/>
    <cellStyle name="Note 4 2" xfId="8603"/>
    <cellStyle name="Note 4 2 2" xfId="8604"/>
    <cellStyle name="Note 4 3" xfId="8605"/>
    <cellStyle name="Note 4 4" xfId="8606"/>
    <cellStyle name="Note 5" xfId="8607"/>
    <cellStyle name="Note 5 2" xfId="8608"/>
    <cellStyle name="Note 5 2 2" xfId="8609"/>
    <cellStyle name="Note 5 3" xfId="8610"/>
    <cellStyle name="Note 5 4" xfId="8611"/>
    <cellStyle name="Note 6" xfId="8612"/>
    <cellStyle name="Note 6 2" xfId="8613"/>
    <cellStyle name="Note 6 2 2" xfId="8614"/>
    <cellStyle name="Note 6 3" xfId="8615"/>
    <cellStyle name="Note 6 4" xfId="8616"/>
    <cellStyle name="Note 7" xfId="8617"/>
    <cellStyle name="Note 7 2" xfId="8618"/>
    <cellStyle name="Note 7 2 2" xfId="8619"/>
    <cellStyle name="Note 7 3" xfId="8620"/>
    <cellStyle name="Note 7 4" xfId="8621"/>
    <cellStyle name="Note 8" xfId="8622"/>
    <cellStyle name="Note 8 2" xfId="8623"/>
    <cellStyle name="Note 8 2 2" xfId="8624"/>
    <cellStyle name="Note 8 3" xfId="8625"/>
    <cellStyle name="Note 8 4" xfId="8626"/>
    <cellStyle name="Note 9" xfId="8627"/>
    <cellStyle name="Note 9 2" xfId="8628"/>
    <cellStyle name="Note 9 2 2" xfId="8629"/>
    <cellStyle name="Note 9 3" xfId="8630"/>
    <cellStyle name="Note 9 4" xfId="8631"/>
    <cellStyle name="Output 2" xfId="8632"/>
    <cellStyle name="Output 2 2" xfId="8633"/>
    <cellStyle name="Output 2 2 2" xfId="8634"/>
    <cellStyle name="Output 2 2 3" xfId="8635"/>
    <cellStyle name="Output 2 3" xfId="8636"/>
    <cellStyle name="Output 2 4" xfId="8637"/>
    <cellStyle name="Output 3" xfId="8638"/>
    <cellStyle name="Output 3 2" xfId="8639"/>
    <cellStyle name="Output 3 3" xfId="8640"/>
    <cellStyle name="Output 3 4" xfId="8641"/>
    <cellStyle name="Output 4" xfId="8642"/>
    <cellStyle name="Output 5" xfId="8643"/>
    <cellStyle name="Output 6" xfId="8644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3" builtinId="5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10" xfId="8674"/>
    <cellStyle name="Percent 10 2" xfId="8675"/>
    <cellStyle name="Percent 10 3" xfId="8676"/>
    <cellStyle name="Percent 10 3 2" xfId="8677"/>
    <cellStyle name="Percent 10 4" xfId="8678"/>
    <cellStyle name="Percent 100" xfId="8679"/>
    <cellStyle name="Percent 101" xfId="8680"/>
    <cellStyle name="Percent 102" xfId="8681"/>
    <cellStyle name="Percent 103" xfId="8682"/>
    <cellStyle name="Percent 104" xfId="8683"/>
    <cellStyle name="Percent 105" xfId="8684"/>
    <cellStyle name="Percent 106" xfId="8685"/>
    <cellStyle name="Percent 107" xfId="8686"/>
    <cellStyle name="Percent 108" xfId="8687"/>
    <cellStyle name="Percent 109" xfId="8688"/>
    <cellStyle name="Percent 11" xfId="8689"/>
    <cellStyle name="Percent 11 2" xfId="8690"/>
    <cellStyle name="Percent 11 2 2" xfId="8691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1" xfId="8698"/>
    <cellStyle name="Percent 112" xfId="8699"/>
    <cellStyle name="Percent 113" xfId="8700"/>
    <cellStyle name="Percent 114" xfId="8701"/>
    <cellStyle name="Percent 115" xfId="8702"/>
    <cellStyle name="Percent 116" xfId="8703"/>
    <cellStyle name="Percent 117" xfId="8704"/>
    <cellStyle name="Percent 118" xfId="8705"/>
    <cellStyle name="Percent 119" xfId="8706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21" xfId="9517"/>
    <cellStyle name="Percent 122" xfId="9512"/>
    <cellStyle name="Percent 123" xfId="9509"/>
    <cellStyle name="Percent 124" xfId="9510"/>
    <cellStyle name="Percent 125" xfId="9542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2" xfId="8776"/>
    <cellStyle name="Percent 2 2" xfId="8777"/>
    <cellStyle name="Percent 2 2 2" xfId="8778"/>
    <cellStyle name="Percent 2 2 2 2" xfId="8779"/>
    <cellStyle name="Percent 2 2 3" xfId="8780"/>
    <cellStyle name="Percent 2 2 4" xfId="8781"/>
    <cellStyle name="Percent 2 2 5" xfId="9526"/>
    <cellStyle name="Percent 2 3" xfId="8782"/>
    <cellStyle name="Percent 2 3 2" xfId="8783"/>
    <cellStyle name="Percent 2 3 3" xfId="8784"/>
    <cellStyle name="Percent 2 3 4" xfId="8785"/>
    <cellStyle name="Percent 2 4" xfId="8786"/>
    <cellStyle name="Percent 2 4 2" xfId="8787"/>
    <cellStyle name="Percent 2 5" xfId="8788"/>
    <cellStyle name="Percent 2 6" xfId="8789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1" xfId="8798"/>
    <cellStyle name="Percent 21 2" xfId="8799"/>
    <cellStyle name="Percent 21 3" xfId="8800"/>
    <cellStyle name="Percent 22" xfId="8801"/>
    <cellStyle name="Percent 22 2" xfId="8802"/>
    <cellStyle name="Percent 22 3" xfId="8803"/>
    <cellStyle name="Percent 22 3 2" xfId="8804"/>
    <cellStyle name="Percent 22 4" xfId="8805"/>
    <cellStyle name="Percent 23" xfId="8806"/>
    <cellStyle name="Percent 23 2" xfId="8807"/>
    <cellStyle name="Percent 23 3" xfId="8808"/>
    <cellStyle name="Percent 23 3 2" xfId="8809"/>
    <cellStyle name="Percent 23 4" xfId="8810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3" xfId="8822"/>
    <cellStyle name="Percent 26" xfId="8823"/>
    <cellStyle name="Percent 26 2" xfId="8824"/>
    <cellStyle name="Percent 27" xfId="8825"/>
    <cellStyle name="Percent 27 2" xfId="8826"/>
    <cellStyle name="Percent 28" xfId="8827"/>
    <cellStyle name="Percent 28 2" xfId="8828"/>
    <cellStyle name="Percent 29" xfId="8829"/>
    <cellStyle name="Percent 29 2" xfId="8830"/>
    <cellStyle name="Percent 3" xfId="8831"/>
    <cellStyle name="Percent 3 2" xfId="8832"/>
    <cellStyle name="Percent 3 2 2" xfId="8833"/>
    <cellStyle name="Percent 3 2 2 2" xfId="8834"/>
    <cellStyle name="Percent 3 2 3" xfId="8835"/>
    <cellStyle name="Percent 3 2 4" xfId="9525"/>
    <cellStyle name="Percent 3 3" xfId="8836"/>
    <cellStyle name="Percent 3 3 2" xfId="8837"/>
    <cellStyle name="Percent 3 3 3" xfId="9524"/>
    <cellStyle name="Percent 3 4" xfId="8838"/>
    <cellStyle name="Percent 3 5" xfId="8839"/>
    <cellStyle name="Percent 30" xfId="8840"/>
    <cellStyle name="Percent 30 2" xfId="8841"/>
    <cellStyle name="Percent 31" xfId="8842"/>
    <cellStyle name="Percent 31 2" xfId="8843"/>
    <cellStyle name="Percent 32" xfId="8844"/>
    <cellStyle name="Percent 32 2" xfId="8845"/>
    <cellStyle name="Percent 33" xfId="8846"/>
    <cellStyle name="Percent 33 2" xfId="8847"/>
    <cellStyle name="Percent 34" xfId="8848"/>
    <cellStyle name="Percent 34 2" xfId="8849"/>
    <cellStyle name="Percent 35" xfId="8850"/>
    <cellStyle name="Percent 35 2" xfId="8851"/>
    <cellStyle name="Percent 36" xfId="8852"/>
    <cellStyle name="Percent 36 2" xfId="8853"/>
    <cellStyle name="Percent 37" xfId="8854"/>
    <cellStyle name="Percent 37 2" xfId="8855"/>
    <cellStyle name="Percent 38" xfId="8856"/>
    <cellStyle name="Percent 38 2" xfId="8857"/>
    <cellStyle name="Percent 39" xfId="8858"/>
    <cellStyle name="Percent 39 2" xfId="8859"/>
    <cellStyle name="Percent 4" xfId="8860"/>
    <cellStyle name="Percent 4 2" xfId="8861"/>
    <cellStyle name="Percent 4 2 2" xfId="8862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0" xfId="8871"/>
    <cellStyle name="Percent 40 2" xfId="8872"/>
    <cellStyle name="Percent 41" xfId="8873"/>
    <cellStyle name="Percent 41 2" xfId="8874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7" xfId="8884"/>
    <cellStyle name="Percent 48" xfId="8885"/>
    <cellStyle name="Percent 49" xfId="8886"/>
    <cellStyle name="Percent 5" xfId="8887"/>
    <cellStyle name="Percent 5 2" xfId="8888"/>
    <cellStyle name="Percent 5 2 2" xfId="8889"/>
    <cellStyle name="Percent 5 3" xfId="8890"/>
    <cellStyle name="Percent 5 4" xfId="8891"/>
    <cellStyle name="Percent 5 5" xfId="9523"/>
    <cellStyle name="Percent 50" xfId="8892"/>
    <cellStyle name="Percent 51" xfId="8893"/>
    <cellStyle name="Percent 52" xfId="8894"/>
    <cellStyle name="Percent 53" xfId="8895"/>
    <cellStyle name="Percent 54" xfId="8896"/>
    <cellStyle name="Percent 55" xfId="8897"/>
    <cellStyle name="Percent 56" xfId="8898"/>
    <cellStyle name="Percent 57" xfId="8899"/>
    <cellStyle name="Percent 58" xfId="8900"/>
    <cellStyle name="Percent 59" xfId="8901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3" xfId="8907"/>
    <cellStyle name="Percent 6 3 2" xfId="8908"/>
    <cellStyle name="Percent 6 4" xfId="8909"/>
    <cellStyle name="Percent 6 5" xfId="8910"/>
    <cellStyle name="Percent 60" xfId="8911"/>
    <cellStyle name="Percent 61" xfId="8912"/>
    <cellStyle name="Percent 62" xfId="8913"/>
    <cellStyle name="Percent 63" xfId="8914"/>
    <cellStyle name="Percent 64" xfId="8915"/>
    <cellStyle name="Percent 65" xfId="8916"/>
    <cellStyle name="Percent 66" xfId="8917"/>
    <cellStyle name="Percent 67" xfId="8918"/>
    <cellStyle name="Percent 68" xfId="8919"/>
    <cellStyle name="Percent 69" xfId="8920"/>
    <cellStyle name="Percent 7" xfId="8921"/>
    <cellStyle name="Percent 7 2" xfId="8922"/>
    <cellStyle name="Percent 7 2 2" xfId="8923"/>
    <cellStyle name="Percent 7 2 3" xfId="8924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1" xfId="8938"/>
    <cellStyle name="Percent 72" xfId="8939"/>
    <cellStyle name="Percent 73" xfId="8940"/>
    <cellStyle name="Percent 74" xfId="8941"/>
    <cellStyle name="Percent 75" xfId="8942"/>
    <cellStyle name="Percent 76" xfId="8943"/>
    <cellStyle name="Percent 77" xfId="8944"/>
    <cellStyle name="Percent 78" xfId="8945"/>
    <cellStyle name="Percent 79" xfId="8946"/>
    <cellStyle name="Percent 8" xfId="8947"/>
    <cellStyle name="Percent 8 2" xfId="8948"/>
    <cellStyle name="Percent 8 2 2" xfId="8949"/>
    <cellStyle name="Percent 8 3" xfId="8950"/>
    <cellStyle name="Percent 80" xfId="8951"/>
    <cellStyle name="Percent 81" xfId="8952"/>
    <cellStyle name="Percent 82" xfId="8953"/>
    <cellStyle name="Percent 83" xfId="8954"/>
    <cellStyle name="Percent 84" xfId="8955"/>
    <cellStyle name="Percent 85" xfId="8956"/>
    <cellStyle name="Percent 86" xfId="8957"/>
    <cellStyle name="Percent 87" xfId="8958"/>
    <cellStyle name="Percent 88" xfId="8959"/>
    <cellStyle name="Percent 89" xfId="8960"/>
    <cellStyle name="Percent 9" xfId="8961"/>
    <cellStyle name="Percent 9 2" xfId="8962"/>
    <cellStyle name="Percent 9 2 2" xfId="8963"/>
    <cellStyle name="Percent 9 2 3" xfId="8964"/>
    <cellStyle name="Percent 9 3" xfId="8965"/>
    <cellStyle name="Percent 9 4" xfId="8966"/>
    <cellStyle name="Percent 90" xfId="8967"/>
    <cellStyle name="Percent 91" xfId="8968"/>
    <cellStyle name="Percent 92" xfId="8969"/>
    <cellStyle name="Percent 93" xfId="8970"/>
    <cellStyle name="Percent 94" xfId="8971"/>
    <cellStyle name="Percent 95" xfId="8972"/>
    <cellStyle name="Percent 96" xfId="8973"/>
    <cellStyle name="Percent 97" xfId="8974"/>
    <cellStyle name="Percent 98" xfId="8975"/>
    <cellStyle name="Percent 99" xfId="8976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_Comma" xfId="9522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3" xfId="9069"/>
    <cellStyle name="Report Heading 3 2" xfId="9505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3" xfId="9114"/>
    <cellStyle name="Reports Total 4" xfId="9115"/>
    <cellStyle name="Reports Total 5" xfId="9116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_14.21G &amp; 16.28E Incentive Pay" xfId="9121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SAPBEXaggData" xfId="9141"/>
    <cellStyle name="SAPBEXaggData 2" xfId="9142"/>
    <cellStyle name="SAPBEXaggData 3" xfId="9143"/>
    <cellStyle name="SAPBEXaggDataEmph" xfId="9144"/>
    <cellStyle name="SAPBEXaggDataEmph 2" xfId="9145"/>
    <cellStyle name="SAPBEXaggDataEmph 3" xfId="9146"/>
    <cellStyle name="SAPBEXaggItem" xfId="9147"/>
    <cellStyle name="SAPBEXaggItem 2" xfId="9148"/>
    <cellStyle name="SAPBEXaggItem 3" xfId="9149"/>
    <cellStyle name="SAPBEXaggItemX" xfId="9150"/>
    <cellStyle name="SAPBEXaggItemX 2" xfId="9151"/>
    <cellStyle name="SAPBEXaggItemX 3" xfId="9152"/>
    <cellStyle name="SAPBEXchaText" xfId="9153"/>
    <cellStyle name="SAPBEXchaText 2" xfId="9154"/>
    <cellStyle name="SAPBEXchaText 2 2" xfId="9155"/>
    <cellStyle name="SAPBEXchaText 2 2 2" xfId="9156"/>
    <cellStyle name="SAPBEXchaText 2 3" xfId="9157"/>
    <cellStyle name="SAPBEXchaText 3" xfId="9158"/>
    <cellStyle name="SAPBEXchaText 3 2" xfId="9159"/>
    <cellStyle name="SAPBEXchaText 3 2 2" xfId="9160"/>
    <cellStyle name="SAPBEXchaText 3 3" xfId="9161"/>
    <cellStyle name="SAPBEXchaText 3 3 2" xfId="9162"/>
    <cellStyle name="SAPBEXchaText 3 4" xfId="9163"/>
    <cellStyle name="SAPBEXchaText 3 4 2" xfId="9164"/>
    <cellStyle name="SAPBEXchaText 4" xfId="9165"/>
    <cellStyle name="SAPBEXchaText 4 2" xfId="9166"/>
    <cellStyle name="SAPBEXchaText 5" xfId="9167"/>
    <cellStyle name="SAPBEXchaText 6" xfId="9168"/>
    <cellStyle name="SAPBEXchaText 7" xfId="9169"/>
    <cellStyle name="SAPBEXchaText 8" xfId="9170"/>
    <cellStyle name="SAPBEXchaText 9" xfId="9171"/>
    <cellStyle name="SAPBEXexcBad7" xfId="9172"/>
    <cellStyle name="SAPBEXexcBad7 2" xfId="9173"/>
    <cellStyle name="SAPBEXexcBad7 3" xfId="9174"/>
    <cellStyle name="SAPBEXexcBad8" xfId="9175"/>
    <cellStyle name="SAPBEXexcBad8 2" xfId="9176"/>
    <cellStyle name="SAPBEXexcBad8 3" xfId="9177"/>
    <cellStyle name="SAPBEXexcBad9" xfId="9178"/>
    <cellStyle name="SAPBEXexcBad9 2" xfId="9179"/>
    <cellStyle name="SAPBEXexcBad9 3" xfId="9180"/>
    <cellStyle name="SAPBEXexcCritical4" xfId="9181"/>
    <cellStyle name="SAPBEXexcCritical4 2" xfId="9182"/>
    <cellStyle name="SAPBEXexcCritical4 3" xfId="9183"/>
    <cellStyle name="SAPBEXexcCritical5" xfId="9184"/>
    <cellStyle name="SAPBEXexcCritical5 2" xfId="9185"/>
    <cellStyle name="SAPBEXexcCritical5 3" xfId="9186"/>
    <cellStyle name="SAPBEXexcCritical6" xfId="9187"/>
    <cellStyle name="SAPBEXexcCritical6 2" xfId="9188"/>
    <cellStyle name="SAPBEXexcCritical6 3" xfId="9189"/>
    <cellStyle name="SAPBEXexcGood1" xfId="9190"/>
    <cellStyle name="SAPBEXexcGood1 2" xfId="9191"/>
    <cellStyle name="SAPBEXexcGood1 3" xfId="9192"/>
    <cellStyle name="SAPBEXexcGood2" xfId="9193"/>
    <cellStyle name="SAPBEXexcGood2 2" xfId="9194"/>
    <cellStyle name="SAPBEXexcGood2 3" xfId="9195"/>
    <cellStyle name="SAPBEXexcGood3" xfId="9196"/>
    <cellStyle name="SAPBEXexcGood3 2" xfId="9197"/>
    <cellStyle name="SAPBEXexcGood3 3" xfId="9198"/>
    <cellStyle name="SAPBEXfilterDrill" xfId="9199"/>
    <cellStyle name="SAPBEXfilterDrill 2" xfId="9200"/>
    <cellStyle name="SAPBEXfilterDrill 3" xfId="9201"/>
    <cellStyle name="SAPBEXfilterDrill 4" xfId="9202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3" xfId="9212"/>
    <cellStyle name="SAPBEXformats 4" xfId="9213"/>
    <cellStyle name="SAPBEXheaderItem" xfId="9214"/>
    <cellStyle name="SAPBEXheaderItem 2" xfId="9215"/>
    <cellStyle name="SAPBEXheaderItem 3" xfId="9216"/>
    <cellStyle name="SAPBEXheaderItem 4" xfId="9217"/>
    <cellStyle name="SAPBEXheaderText" xfId="9218"/>
    <cellStyle name="SAPBEXheaderText 2" xfId="9219"/>
    <cellStyle name="SAPBEXheaderText 3" xfId="9220"/>
    <cellStyle name="SAPBEXheaderText 4" xfId="9221"/>
    <cellStyle name="SAPBEXHLevel0" xfId="9222"/>
    <cellStyle name="SAPBEXHLevel0 2" xfId="9223"/>
    <cellStyle name="SAPBEXHLevel0 2 2" xfId="9224"/>
    <cellStyle name="SAPBEXHLevel0 3" xfId="9225"/>
    <cellStyle name="SAPBEXHLevel0 4" xfId="9226"/>
    <cellStyle name="SAPBEXHLevel0X" xfId="9227"/>
    <cellStyle name="SAPBEXHLevel0X 2" xfId="9228"/>
    <cellStyle name="SAPBEXHLevel0X 2 2" xfId="9229"/>
    <cellStyle name="SAPBEXHLevel0X 2 2 2" xfId="9230"/>
    <cellStyle name="SAPBEXHLevel0X 2 3" xfId="9231"/>
    <cellStyle name="SAPBEXHLevel0X 3" xfId="9232"/>
    <cellStyle name="SAPBEXHLevel0X 3 2" xfId="9233"/>
    <cellStyle name="SAPBEXHLevel0X 3 2 2" xfId="9234"/>
    <cellStyle name="SAPBEXHLevel0X 3 3" xfId="9235"/>
    <cellStyle name="SAPBEXHLevel0X 3 3 2" xfId="9236"/>
    <cellStyle name="SAPBEXHLevel0X 3 4" xfId="9237"/>
    <cellStyle name="SAPBEXHLevel0X 3 4 2" xfId="9238"/>
    <cellStyle name="SAPBEXHLevel0X 4" xfId="9239"/>
    <cellStyle name="SAPBEXHLevel0X 4 2" xfId="9240"/>
    <cellStyle name="SAPBEXHLevel0X 5" xfId="9241"/>
    <cellStyle name="SAPBEXHLevel0X 6" xfId="9242"/>
    <cellStyle name="SAPBEXHLevel0X 7" xfId="9243"/>
    <cellStyle name="SAPBEXHLevel0X 8" xfId="9244"/>
    <cellStyle name="SAPBEXHLevel1" xfId="9245"/>
    <cellStyle name="SAPBEXHLevel1 2" xfId="9246"/>
    <cellStyle name="SAPBEXHLevel1 2 2" xfId="9247"/>
    <cellStyle name="SAPBEXHLevel1 3" xfId="9248"/>
    <cellStyle name="SAPBEXHLevel1 4" xfId="9249"/>
    <cellStyle name="SAPBEXHLevel1X" xfId="9250"/>
    <cellStyle name="SAPBEXHLevel1X 2" xfId="9251"/>
    <cellStyle name="SAPBEXHLevel1X 2 2" xfId="9252"/>
    <cellStyle name="SAPBEXHLevel1X 3" xfId="9253"/>
    <cellStyle name="SAPBEXHLevel1X 4" xfId="9254"/>
    <cellStyle name="SAPBEXHLevel2" xfId="9255"/>
    <cellStyle name="SAPBEXHLevel2 2" xfId="9256"/>
    <cellStyle name="SAPBEXHLevel2 2 2" xfId="9257"/>
    <cellStyle name="SAPBEXHLevel2 3" xfId="9258"/>
    <cellStyle name="SAPBEXHLevel2 4" xfId="9259"/>
    <cellStyle name="SAPBEXHLevel2X" xfId="9260"/>
    <cellStyle name="SAPBEXHLevel2X 2" xfId="9261"/>
    <cellStyle name="SAPBEXHLevel2X 2 2" xfId="9262"/>
    <cellStyle name="SAPBEXHLevel2X 3" xfId="9263"/>
    <cellStyle name="SAPBEXHLevel2X 4" xfId="9264"/>
    <cellStyle name="SAPBEXHLevel3" xfId="9265"/>
    <cellStyle name="SAPBEXHLevel3 2" xfId="9266"/>
    <cellStyle name="SAPBEXHLevel3 2 2" xfId="9267"/>
    <cellStyle name="SAPBEXHLevel3 3" xfId="9268"/>
    <cellStyle name="SAPBEXHLevel3 4" xfId="9269"/>
    <cellStyle name="SAPBEXHLevel3X" xfId="9270"/>
    <cellStyle name="SAPBEXHLevel3X 2" xfId="9271"/>
    <cellStyle name="SAPBEXHLevel3X 2 2" xfId="9272"/>
    <cellStyle name="SAPBEXHLevel3X 3" xfId="9273"/>
    <cellStyle name="SAPBEXHLevel3X 4" xfId="9274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Emph" xfId="9283"/>
    <cellStyle name="SAPBEXresDataEmph 2" xfId="9284"/>
    <cellStyle name="SAPBEXresDataEmph 3" xfId="9285"/>
    <cellStyle name="SAPBEXresItem" xfId="9286"/>
    <cellStyle name="SAPBEXresItem 2" xfId="9287"/>
    <cellStyle name="SAPBEXresItem 3" xfId="9288"/>
    <cellStyle name="SAPBEXresItemX" xfId="9289"/>
    <cellStyle name="SAPBEXresItemX 2" xfId="9290"/>
    <cellStyle name="SAPBEXresItemX 3" xfId="9291"/>
    <cellStyle name="SAPBEXstdData" xfId="9292"/>
    <cellStyle name="SAPBEXstdData 2" xfId="9293"/>
    <cellStyle name="SAPBEXstdData 3" xfId="9294"/>
    <cellStyle name="SAPBEXstdData 4" xfId="9295"/>
    <cellStyle name="SAPBEXstdDataEmph" xfId="9296"/>
    <cellStyle name="SAPBEXstdDataEmph 2" xfId="9297"/>
    <cellStyle name="SAPBEXstdDataEmph 3" xfId="9298"/>
    <cellStyle name="SAPBEXstdItem" xfId="9299"/>
    <cellStyle name="SAPBEXstdItem 2" xfId="9300"/>
    <cellStyle name="SAPBEXstdItem 2 2" xfId="9301"/>
    <cellStyle name="SAPBEXstdItem 2 2 2" xfId="9302"/>
    <cellStyle name="SAPBEXstdItem 2 3" xfId="9303"/>
    <cellStyle name="SAPBEXstdItem 3" xfId="9304"/>
    <cellStyle name="SAPBEXstdItem 3 2" xfId="9305"/>
    <cellStyle name="SAPBEXstdItem 3 2 2" xfId="9306"/>
    <cellStyle name="SAPBEXstdItem 3 3" xfId="9307"/>
    <cellStyle name="SAPBEXstdItem 3 3 2" xfId="9308"/>
    <cellStyle name="SAPBEXstdItem 3 4" xfId="9309"/>
    <cellStyle name="SAPBEXstdItem 3 4 2" xfId="9310"/>
    <cellStyle name="SAPBEXstdItem 4" xfId="9311"/>
    <cellStyle name="SAPBEXstdItem 4 2" xfId="9312"/>
    <cellStyle name="SAPBEXstdItem 5" xfId="9313"/>
    <cellStyle name="SAPBEXstdItem 6" xfId="9314"/>
    <cellStyle name="SAPBEXstdItem 7" xfId="9315"/>
    <cellStyle name="SAPBEXstdItem 8" xfId="9316"/>
    <cellStyle name="SAPBEXstdItemX" xfId="9317"/>
    <cellStyle name="SAPBEXstdItemX 2" xfId="9318"/>
    <cellStyle name="SAPBEXstdItemX 2 2" xfId="9319"/>
    <cellStyle name="SAPBEXstdItemX 2 2 2" xfId="9320"/>
    <cellStyle name="SAPBEXstdItemX 2 3" xfId="9321"/>
    <cellStyle name="SAPBEXstdItemX 3" xfId="9322"/>
    <cellStyle name="SAPBEXstdItemX 3 2" xfId="9323"/>
    <cellStyle name="SAPBEXstdItemX 3 2 2" xfId="9324"/>
    <cellStyle name="SAPBEXstdItemX 3 3" xfId="9325"/>
    <cellStyle name="SAPBEXstdItemX 3 3 2" xfId="9326"/>
    <cellStyle name="SAPBEXstdItemX 3 4" xfId="9327"/>
    <cellStyle name="SAPBEXstdItemX 3 4 2" xfId="9328"/>
    <cellStyle name="SAPBEXstdItemX 4" xfId="9329"/>
    <cellStyle name="SAPBEXstdItemX 4 2" xfId="9330"/>
    <cellStyle name="SAPBEXstdItemX 5" xfId="9331"/>
    <cellStyle name="SAPBEXstdItemX 6" xfId="9332"/>
    <cellStyle name="SAPBEXstdItemX 7" xfId="9333"/>
    <cellStyle name="SAPBEXstdItemX 8" xfId="9334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2" xfId="9382"/>
    <cellStyle name="StmtTtl2 2 2" xfId="9383"/>
    <cellStyle name="StmtTtl2 3" xfId="9384"/>
    <cellStyle name="StmtTtl2 3 2" xfId="9385"/>
    <cellStyle name="StmtTtl2 4" xfId="9386"/>
    <cellStyle name="StmtTtl2 5" xfId="9387"/>
    <cellStyle name="StmtTtl2 6" xfId="9388"/>
    <cellStyle name="StmtTtl2 7" xfId="9389"/>
    <cellStyle name="StmtTtl2 8" xfId="9390"/>
    <cellStyle name="StmtTtl2 9" xfId="9391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2" xfId="9440"/>
    <cellStyle name="STYLE3" xfId="9441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3" xfId="9456"/>
    <cellStyle name="Title 3" xfId="9457"/>
    <cellStyle name="Title 3 2" xfId="9458"/>
    <cellStyle name="Title 3 3" xfId="9459"/>
    <cellStyle name="Title 3 4" xfId="9460"/>
    <cellStyle name="Title 4" xfId="9461"/>
    <cellStyle name="Title 5" xfId="9462"/>
    <cellStyle name="Title 6" xfId="9463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3" xfId="9478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5" xfId="9490"/>
    <cellStyle name="Total 6" xfId="9491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Warning Text 2" xfId="9499"/>
    <cellStyle name="Warning Text 2 2" xfId="9500"/>
    <cellStyle name="Warning Text 2 2 2" xfId="9501"/>
    <cellStyle name="Warning Text 2 3" xfId="9502"/>
    <cellStyle name="Warning Text 3" xfId="9503"/>
    <cellStyle name="Warning Text 4" xfId="9504"/>
    <cellStyle name="WM_STANDARD" xfId="9519"/>
    <cellStyle name="WMI_Standard" xfId="9518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84"/>
  <sheetViews>
    <sheetView view="pageBreakPreview" zoomScale="115" zoomScaleNormal="100" zoomScaleSheetLayoutView="115" workbookViewId="0">
      <selection activeCell="E36" sqref="E36"/>
    </sheetView>
  </sheetViews>
  <sheetFormatPr defaultRowHeight="15"/>
  <cols>
    <col min="1" max="1" width="4.140625" customWidth="1"/>
    <col min="2" max="2" width="3.140625" customWidth="1"/>
    <col min="3" max="3" width="2.5703125" customWidth="1"/>
    <col min="4" max="4" width="4.28515625" customWidth="1"/>
    <col min="5" max="5" width="16.85546875" customWidth="1"/>
    <col min="6" max="6" width="12.140625" customWidth="1"/>
    <col min="7" max="7" width="12" customWidth="1"/>
    <col min="8" max="8" width="13.28515625" customWidth="1"/>
    <col min="9" max="9" width="13.140625" customWidth="1"/>
    <col min="10" max="10" width="13" customWidth="1"/>
    <col min="11" max="11" width="13" style="43" customWidth="1"/>
    <col min="12" max="12" width="12.28515625" customWidth="1"/>
    <col min="14" max="14" width="9.7109375" bestFit="1" customWidth="1"/>
    <col min="15" max="15" width="10.140625" bestFit="1" customWidth="1"/>
    <col min="16" max="16" width="11.140625" bestFit="1" customWidth="1"/>
    <col min="17" max="17" width="11.5703125" customWidth="1"/>
    <col min="18" max="18" width="11.140625" bestFit="1" customWidth="1"/>
    <col min="19" max="19" width="10.28515625" customWidth="1"/>
  </cols>
  <sheetData>
    <row r="1" spans="1:18">
      <c r="A1" s="73" t="s">
        <v>121</v>
      </c>
      <c r="B1" s="74"/>
      <c r="C1" s="74"/>
      <c r="D1" s="75"/>
      <c r="E1" s="76"/>
      <c r="F1" s="76"/>
      <c r="G1" s="76"/>
      <c r="H1" s="76"/>
      <c r="I1" s="76"/>
      <c r="J1" s="77"/>
      <c r="K1" s="77"/>
      <c r="L1" s="21"/>
    </row>
    <row r="2" spans="1:18" ht="18.75">
      <c r="A2" s="73" t="s">
        <v>122</v>
      </c>
      <c r="B2" s="74"/>
      <c r="C2" s="74"/>
      <c r="D2" s="75"/>
      <c r="E2" s="76"/>
      <c r="F2" s="76"/>
      <c r="G2" s="78"/>
      <c r="H2" s="43" t="s">
        <v>124</v>
      </c>
      <c r="I2" s="79"/>
      <c r="J2" s="80"/>
      <c r="K2" s="80"/>
      <c r="L2" s="21"/>
    </row>
    <row r="3" spans="1:18">
      <c r="A3" s="73" t="s">
        <v>80</v>
      </c>
      <c r="B3" s="74"/>
      <c r="C3" s="74"/>
      <c r="D3" s="75"/>
      <c r="E3" s="76"/>
      <c r="F3" s="76"/>
      <c r="G3" s="76"/>
      <c r="H3" s="76"/>
      <c r="I3" s="76"/>
      <c r="J3" s="77"/>
      <c r="K3" s="77"/>
      <c r="L3" s="21"/>
    </row>
    <row r="4" spans="1:18">
      <c r="A4" s="73" t="s">
        <v>123</v>
      </c>
      <c r="B4" s="74"/>
      <c r="C4" s="74"/>
      <c r="D4" s="75"/>
      <c r="E4" s="76"/>
      <c r="F4" s="76"/>
      <c r="G4" s="76"/>
      <c r="H4" s="76"/>
      <c r="I4" s="76"/>
      <c r="J4" s="77"/>
      <c r="K4" s="77"/>
      <c r="L4" s="21"/>
    </row>
    <row r="5" spans="1:18">
      <c r="A5" s="73"/>
      <c r="B5" s="74"/>
      <c r="C5" s="74"/>
      <c r="D5" s="75"/>
      <c r="E5" s="76"/>
      <c r="F5" s="76"/>
      <c r="G5" s="76"/>
      <c r="H5" s="76"/>
      <c r="I5" s="76"/>
      <c r="J5" s="52" t="s">
        <v>91</v>
      </c>
      <c r="K5" s="52"/>
      <c r="L5" s="43"/>
    </row>
    <row r="6" spans="1:18">
      <c r="A6" s="81"/>
      <c r="B6" s="81"/>
      <c r="C6" s="22"/>
      <c r="D6" s="22"/>
      <c r="E6" s="81"/>
      <c r="F6" s="53" t="s">
        <v>23</v>
      </c>
      <c r="G6" s="54"/>
      <c r="H6" s="55"/>
      <c r="I6" s="120" t="s">
        <v>24</v>
      </c>
      <c r="J6" s="121"/>
      <c r="K6" s="98"/>
      <c r="L6" s="21"/>
    </row>
    <row r="7" spans="1:18">
      <c r="A7" s="23"/>
      <c r="B7" s="56"/>
      <c r="C7" s="24"/>
      <c r="D7" s="25"/>
      <c r="E7" s="26"/>
      <c r="F7" s="57" t="s">
        <v>25</v>
      </c>
      <c r="G7" s="57"/>
      <c r="H7" s="57"/>
      <c r="I7" s="57" t="s">
        <v>92</v>
      </c>
      <c r="J7" s="57" t="s">
        <v>26</v>
      </c>
      <c r="K7" s="57" t="s">
        <v>125</v>
      </c>
      <c r="L7" s="27" t="s">
        <v>81</v>
      </c>
    </row>
    <row r="8" spans="1:18">
      <c r="A8" s="28" t="s">
        <v>27</v>
      </c>
      <c r="B8" s="58"/>
      <c r="C8" s="29"/>
      <c r="D8" s="22"/>
      <c r="E8" s="30"/>
      <c r="F8" s="59" t="s">
        <v>28</v>
      </c>
      <c r="G8" s="59" t="s">
        <v>17</v>
      </c>
      <c r="H8" s="59" t="s">
        <v>26</v>
      </c>
      <c r="I8" s="59" t="s">
        <v>29</v>
      </c>
      <c r="J8" s="59" t="s">
        <v>92</v>
      </c>
      <c r="K8" s="59" t="s">
        <v>126</v>
      </c>
      <c r="L8" s="31" t="s">
        <v>82</v>
      </c>
      <c r="O8" s="43" t="s">
        <v>87</v>
      </c>
      <c r="P8" s="51" t="s">
        <v>88</v>
      </c>
      <c r="Q8" s="51" t="s">
        <v>89</v>
      </c>
      <c r="R8" s="51" t="s">
        <v>90</v>
      </c>
    </row>
    <row r="9" spans="1:18">
      <c r="A9" s="32" t="s">
        <v>30</v>
      </c>
      <c r="B9" s="60"/>
      <c r="C9" s="33"/>
      <c r="D9" s="34"/>
      <c r="E9" s="35" t="s">
        <v>31</v>
      </c>
      <c r="F9" s="61" t="s">
        <v>32</v>
      </c>
      <c r="G9" s="61" t="s">
        <v>33</v>
      </c>
      <c r="H9" s="61" t="s">
        <v>17</v>
      </c>
      <c r="I9" s="61" t="s">
        <v>34</v>
      </c>
      <c r="J9" s="61" t="s">
        <v>17</v>
      </c>
      <c r="K9" s="61" t="s">
        <v>35</v>
      </c>
      <c r="L9" s="36" t="s">
        <v>35</v>
      </c>
      <c r="P9" s="43" t="s">
        <v>89</v>
      </c>
    </row>
    <row r="10" spans="1:18">
      <c r="A10" s="82"/>
      <c r="B10" s="82"/>
      <c r="C10" s="83"/>
      <c r="D10" s="83"/>
      <c r="E10" s="83" t="s">
        <v>36</v>
      </c>
      <c r="F10" s="37" t="s">
        <v>37</v>
      </c>
      <c r="G10" s="37" t="s">
        <v>38</v>
      </c>
      <c r="H10" s="37" t="s">
        <v>39</v>
      </c>
      <c r="I10" s="37" t="s">
        <v>40</v>
      </c>
      <c r="J10" s="37" t="s">
        <v>41</v>
      </c>
      <c r="K10" s="37"/>
      <c r="L10" s="37" t="s">
        <v>42</v>
      </c>
    </row>
    <row r="11" spans="1:18">
      <c r="A11" s="82"/>
      <c r="B11" s="82"/>
      <c r="C11" s="83"/>
      <c r="D11" s="83"/>
      <c r="E11" s="83"/>
      <c r="F11" s="37"/>
      <c r="G11" s="37"/>
      <c r="H11" s="37"/>
      <c r="I11" s="37"/>
      <c r="J11" s="37"/>
      <c r="K11" s="37"/>
      <c r="L11" s="21"/>
    </row>
    <row r="12" spans="1:18">
      <c r="A12" s="82"/>
      <c r="B12" s="82"/>
      <c r="C12" s="83"/>
      <c r="D12" s="83"/>
      <c r="E12" s="83"/>
      <c r="F12" s="37"/>
      <c r="G12" s="37"/>
      <c r="H12" s="37"/>
      <c r="I12" s="37"/>
      <c r="J12" s="37"/>
      <c r="K12" s="37"/>
      <c r="L12" s="21"/>
    </row>
    <row r="13" spans="1:18">
      <c r="A13" s="69"/>
      <c r="B13" s="84" t="s">
        <v>43</v>
      </c>
      <c r="C13" s="84"/>
      <c r="D13" s="84"/>
      <c r="E13" s="84"/>
      <c r="F13" s="85"/>
      <c r="G13" s="85"/>
      <c r="H13" s="76"/>
      <c r="I13" s="76"/>
      <c r="J13" s="76"/>
      <c r="K13" s="76"/>
      <c r="L13" s="21"/>
    </row>
    <row r="14" spans="1:18">
      <c r="A14" s="69">
        <v>1</v>
      </c>
      <c r="B14" s="86"/>
      <c r="C14" s="86" t="s">
        <v>44</v>
      </c>
      <c r="D14" s="86"/>
      <c r="E14" s="86"/>
      <c r="F14" s="87">
        <v>162860</v>
      </c>
      <c r="G14" s="87">
        <v>-20978</v>
      </c>
      <c r="H14" s="87">
        <v>141882</v>
      </c>
      <c r="I14" s="87">
        <v>5300</v>
      </c>
      <c r="J14" s="87">
        <v>147182</v>
      </c>
      <c r="K14" s="87">
        <f>ROUND(K21/N48,0)</f>
        <v>83750</v>
      </c>
      <c r="L14" s="87">
        <f>J14-K14</f>
        <v>63432</v>
      </c>
    </row>
    <row r="15" spans="1:18">
      <c r="A15" s="69">
        <v>2</v>
      </c>
      <c r="B15" s="84"/>
      <c r="C15" s="70" t="s">
        <v>93</v>
      </c>
      <c r="D15" s="70"/>
      <c r="E15" s="70"/>
      <c r="F15" s="68">
        <v>3538</v>
      </c>
      <c r="G15" s="68">
        <v>-1337</v>
      </c>
      <c r="H15" s="65">
        <v>2201</v>
      </c>
      <c r="I15" s="68"/>
      <c r="J15" s="68">
        <v>2201</v>
      </c>
      <c r="K15" s="68">
        <f>-1123-413</f>
        <v>-1536</v>
      </c>
      <c r="L15" s="68">
        <f>J15-K15</f>
        <v>3737</v>
      </c>
      <c r="M15" s="43" t="s">
        <v>129</v>
      </c>
    </row>
    <row r="16" spans="1:18">
      <c r="A16" s="69">
        <v>3</v>
      </c>
      <c r="B16" s="84"/>
      <c r="C16" s="70" t="s">
        <v>94</v>
      </c>
      <c r="D16" s="70"/>
      <c r="E16" s="70"/>
      <c r="F16" s="62">
        <v>98841</v>
      </c>
      <c r="G16" s="62">
        <v>-97206</v>
      </c>
      <c r="H16" s="63">
        <v>1635</v>
      </c>
      <c r="I16" s="62"/>
      <c r="J16" s="62">
        <v>1635</v>
      </c>
      <c r="K16" s="68">
        <f>-K15</f>
        <v>1536</v>
      </c>
      <c r="L16" s="62">
        <f>J16-K16</f>
        <v>99</v>
      </c>
      <c r="P16" s="44">
        <f>-L16</f>
        <v>-99</v>
      </c>
    </row>
    <row r="17" spans="1:17">
      <c r="A17" s="69">
        <v>4</v>
      </c>
      <c r="B17" s="84" t="s">
        <v>95</v>
      </c>
      <c r="C17" s="70"/>
      <c r="D17" s="70"/>
      <c r="E17" s="70"/>
      <c r="F17" s="68">
        <v>265239</v>
      </c>
      <c r="G17" s="68">
        <v>-119521</v>
      </c>
      <c r="H17" s="68">
        <v>145718</v>
      </c>
      <c r="I17" s="68">
        <v>5300</v>
      </c>
      <c r="J17" s="68">
        <v>151018</v>
      </c>
      <c r="K17" s="99">
        <f>SUM(K14:K16)</f>
        <v>83750</v>
      </c>
      <c r="L17" s="68">
        <f>SUM(L14:L16)</f>
        <v>67268</v>
      </c>
    </row>
    <row r="18" spans="1:17">
      <c r="A18" s="69"/>
      <c r="B18" s="84"/>
      <c r="C18" s="70"/>
      <c r="D18" s="70"/>
      <c r="E18" s="70"/>
      <c r="F18" s="68"/>
      <c r="G18" s="68"/>
      <c r="H18" s="68"/>
      <c r="I18" s="68"/>
      <c r="J18" s="68"/>
      <c r="K18" s="68"/>
      <c r="L18" s="68"/>
      <c r="P18" s="44"/>
    </row>
    <row r="19" spans="1:17">
      <c r="A19" s="69"/>
      <c r="B19" s="84" t="s">
        <v>45</v>
      </c>
      <c r="C19" s="70"/>
      <c r="D19" s="70"/>
      <c r="E19" s="70"/>
      <c r="F19" s="68"/>
      <c r="G19" s="68"/>
      <c r="H19" s="68"/>
      <c r="I19" s="68"/>
      <c r="J19" s="68"/>
      <c r="K19" s="68"/>
      <c r="L19" s="68"/>
    </row>
    <row r="20" spans="1:17">
      <c r="A20" s="69"/>
      <c r="B20" s="84"/>
      <c r="C20" s="70" t="s">
        <v>96</v>
      </c>
      <c r="D20" s="70"/>
      <c r="E20" s="70"/>
      <c r="F20" s="68"/>
      <c r="G20" s="68"/>
      <c r="H20" s="68"/>
      <c r="I20" s="68"/>
      <c r="J20" s="68"/>
      <c r="K20" s="68"/>
      <c r="L20" s="68"/>
    </row>
    <row r="21" spans="1:17">
      <c r="A21" s="69">
        <v>5</v>
      </c>
      <c r="B21" s="84"/>
      <c r="C21" s="70"/>
      <c r="D21" s="70" t="s">
        <v>97</v>
      </c>
      <c r="E21" s="70"/>
      <c r="F21" s="68">
        <v>191302</v>
      </c>
      <c r="G21" s="68">
        <v>-111295</v>
      </c>
      <c r="H21" s="65">
        <v>80007</v>
      </c>
      <c r="I21" s="68"/>
      <c r="J21" s="68">
        <v>80007</v>
      </c>
      <c r="K21" s="68">
        <v>80007</v>
      </c>
      <c r="L21" s="68">
        <f>J21-K21</f>
        <v>0</v>
      </c>
    </row>
    <row r="22" spans="1:17">
      <c r="A22" s="69">
        <v>6</v>
      </c>
      <c r="B22" s="84"/>
      <c r="C22" s="70"/>
      <c r="D22" s="70" t="s">
        <v>98</v>
      </c>
      <c r="E22" s="70"/>
      <c r="F22" s="68">
        <v>14</v>
      </c>
      <c r="G22" s="68">
        <v>82</v>
      </c>
      <c r="H22" s="65">
        <v>96</v>
      </c>
      <c r="I22" s="68"/>
      <c r="J22" s="68">
        <v>96</v>
      </c>
      <c r="K22" s="68"/>
      <c r="L22" s="68">
        <f>J22-K22</f>
        <v>96</v>
      </c>
      <c r="P22" s="44">
        <f>L22</f>
        <v>96</v>
      </c>
    </row>
    <row r="23" spans="1:17">
      <c r="A23" s="69">
        <v>7</v>
      </c>
      <c r="B23" s="84"/>
      <c r="C23" s="70"/>
      <c r="D23" s="70" t="s">
        <v>99</v>
      </c>
      <c r="E23" s="70"/>
      <c r="F23" s="62">
        <v>-4366</v>
      </c>
      <c r="G23" s="62">
        <v>5333</v>
      </c>
      <c r="H23" s="63">
        <v>967</v>
      </c>
      <c r="I23" s="62"/>
      <c r="J23" s="62">
        <v>967</v>
      </c>
      <c r="K23" s="68"/>
      <c r="L23" s="68">
        <f>J23-K23</f>
        <v>967</v>
      </c>
      <c r="P23" s="44">
        <f>L23</f>
        <v>967</v>
      </c>
    </row>
    <row r="24" spans="1:17">
      <c r="A24" s="69">
        <v>8</v>
      </c>
      <c r="B24" s="84"/>
      <c r="C24" s="70"/>
      <c r="D24" s="70"/>
      <c r="E24" s="70" t="s">
        <v>100</v>
      </c>
      <c r="F24" s="68">
        <v>186950</v>
      </c>
      <c r="G24" s="68">
        <v>-105880</v>
      </c>
      <c r="H24" s="68">
        <v>81070</v>
      </c>
      <c r="I24" s="68">
        <v>0</v>
      </c>
      <c r="J24" s="68">
        <v>81070</v>
      </c>
      <c r="K24" s="99">
        <f>SUM(K21:K23)</f>
        <v>80007</v>
      </c>
      <c r="L24" s="99">
        <f>SUM(L21:L23)</f>
        <v>1063</v>
      </c>
    </row>
    <row r="25" spans="1:17">
      <c r="A25" s="69"/>
      <c r="B25" s="84"/>
      <c r="C25" s="70"/>
      <c r="D25" s="70"/>
      <c r="E25" s="70"/>
      <c r="F25" s="68"/>
      <c r="G25" s="68"/>
      <c r="H25" s="65"/>
      <c r="I25" s="68"/>
      <c r="J25" s="68"/>
      <c r="K25" s="68"/>
      <c r="L25" s="68"/>
      <c r="Q25" s="44"/>
    </row>
    <row r="26" spans="1:17">
      <c r="A26" s="69"/>
      <c r="B26" s="84"/>
      <c r="C26" s="70" t="s">
        <v>101</v>
      </c>
      <c r="D26" s="70"/>
      <c r="E26" s="70"/>
      <c r="F26" s="68"/>
      <c r="G26" s="68"/>
      <c r="H26" s="68"/>
      <c r="I26" s="68"/>
      <c r="J26" s="68"/>
      <c r="K26" s="68"/>
      <c r="L26" s="68"/>
      <c r="P26" s="44"/>
      <c r="Q26" s="44"/>
    </row>
    <row r="27" spans="1:17">
      <c r="A27" s="69">
        <v>9</v>
      </c>
      <c r="B27" s="84"/>
      <c r="C27" s="70"/>
      <c r="D27" s="70" t="s">
        <v>46</v>
      </c>
      <c r="E27" s="70"/>
      <c r="F27" s="68">
        <v>585</v>
      </c>
      <c r="G27" s="68">
        <v>200</v>
      </c>
      <c r="H27" s="65">
        <v>785</v>
      </c>
      <c r="I27" s="68"/>
      <c r="J27" s="68">
        <v>785</v>
      </c>
      <c r="K27" s="68"/>
      <c r="L27" s="68">
        <f>J27-K27</f>
        <v>785</v>
      </c>
      <c r="P27" s="44">
        <f>L27</f>
        <v>785</v>
      </c>
    </row>
    <row r="28" spans="1:17">
      <c r="A28" s="69">
        <v>10</v>
      </c>
      <c r="B28" s="84"/>
      <c r="C28" s="70"/>
      <c r="D28" s="70" t="s">
        <v>89</v>
      </c>
      <c r="E28" s="70"/>
      <c r="F28" s="68">
        <v>395</v>
      </c>
      <c r="G28" s="68">
        <v>-42</v>
      </c>
      <c r="H28" s="65">
        <v>353</v>
      </c>
      <c r="I28" s="68"/>
      <c r="J28" s="68">
        <v>353</v>
      </c>
      <c r="K28" s="68"/>
      <c r="L28" s="68">
        <f>J28-K28</f>
        <v>353</v>
      </c>
      <c r="Q28" s="44">
        <f>L28</f>
        <v>353</v>
      </c>
    </row>
    <row r="29" spans="1:17">
      <c r="A29" s="88">
        <v>11</v>
      </c>
      <c r="B29" s="84"/>
      <c r="C29" s="70"/>
      <c r="D29" s="70" t="s">
        <v>47</v>
      </c>
      <c r="E29" s="70"/>
      <c r="F29" s="62">
        <v>19</v>
      </c>
      <c r="G29" s="62">
        <v>22</v>
      </c>
      <c r="H29" s="63">
        <v>41</v>
      </c>
      <c r="I29" s="62"/>
      <c r="J29" s="62">
        <v>41</v>
      </c>
      <c r="K29" s="68"/>
      <c r="L29" s="68">
        <f>J29-K29</f>
        <v>41</v>
      </c>
      <c r="P29" s="44">
        <f>L29</f>
        <v>41</v>
      </c>
    </row>
    <row r="30" spans="1:17">
      <c r="A30" s="69">
        <v>12</v>
      </c>
      <c r="B30" s="84"/>
      <c r="C30" s="70"/>
      <c r="D30" s="70"/>
      <c r="E30" s="70" t="s">
        <v>102</v>
      </c>
      <c r="F30" s="68">
        <v>999</v>
      </c>
      <c r="G30" s="68">
        <v>180</v>
      </c>
      <c r="H30" s="68">
        <v>1179</v>
      </c>
      <c r="I30" s="68">
        <v>0</v>
      </c>
      <c r="J30" s="68">
        <v>1179</v>
      </c>
      <c r="K30" s="99">
        <f>SUM(K27:K29)</f>
        <v>0</v>
      </c>
      <c r="L30" s="99">
        <f>SUM(L27:L29)</f>
        <v>1179</v>
      </c>
    </row>
    <row r="31" spans="1:17">
      <c r="A31" s="69"/>
      <c r="B31" s="84"/>
      <c r="C31" s="70"/>
      <c r="D31" s="70"/>
      <c r="E31" s="70"/>
      <c r="F31" s="68"/>
      <c r="G31" s="68"/>
      <c r="H31" s="65"/>
      <c r="I31" s="68"/>
      <c r="J31" s="68"/>
      <c r="K31" s="68"/>
      <c r="L31" s="68"/>
      <c r="P31" s="44"/>
    </row>
    <row r="32" spans="1:17">
      <c r="A32" s="69"/>
      <c r="B32" s="84"/>
      <c r="C32" s="70" t="s">
        <v>48</v>
      </c>
      <c r="D32" s="70"/>
      <c r="E32" s="70"/>
      <c r="F32" s="68"/>
      <c r="G32" s="68"/>
      <c r="H32" s="68"/>
      <c r="I32" s="68"/>
      <c r="J32" s="68"/>
      <c r="K32" s="68"/>
      <c r="L32" s="68"/>
      <c r="Q32" s="44"/>
    </row>
    <row r="33" spans="1:18">
      <c r="A33" s="69">
        <v>13</v>
      </c>
      <c r="B33" s="84"/>
      <c r="C33" s="70"/>
      <c r="D33" s="70" t="s">
        <v>46</v>
      </c>
      <c r="E33" s="70"/>
      <c r="F33" s="68">
        <v>8854</v>
      </c>
      <c r="G33" s="68">
        <v>929</v>
      </c>
      <c r="H33" s="65">
        <v>9783</v>
      </c>
      <c r="I33" s="68"/>
      <c r="J33" s="68">
        <v>9783</v>
      </c>
      <c r="K33" s="68"/>
      <c r="L33" s="68">
        <f>J33-K33</f>
        <v>9783</v>
      </c>
      <c r="N33" s="48"/>
      <c r="O33" s="38"/>
      <c r="P33" s="44">
        <f>L33</f>
        <v>9783</v>
      </c>
    </row>
    <row r="34" spans="1:18">
      <c r="A34" s="69">
        <v>14</v>
      </c>
      <c r="B34" s="84"/>
      <c r="C34" s="70"/>
      <c r="D34" s="70" t="s">
        <v>89</v>
      </c>
      <c r="E34" s="70"/>
      <c r="F34" s="68">
        <v>6652</v>
      </c>
      <c r="G34" s="68">
        <v>826</v>
      </c>
      <c r="H34" s="65">
        <v>7478</v>
      </c>
      <c r="I34" s="68"/>
      <c r="J34" s="68">
        <v>7478</v>
      </c>
      <c r="K34" s="68"/>
      <c r="L34" s="68">
        <f>J34-K34</f>
        <v>7478</v>
      </c>
      <c r="Q34" s="44">
        <f>L34</f>
        <v>7478</v>
      </c>
    </row>
    <row r="35" spans="1:18">
      <c r="A35" s="69">
        <v>15</v>
      </c>
      <c r="B35" s="84"/>
      <c r="C35" s="70"/>
      <c r="D35" s="70" t="s">
        <v>47</v>
      </c>
      <c r="E35" s="70"/>
      <c r="F35" s="64">
        <v>14264</v>
      </c>
      <c r="G35" s="62">
        <v>-6294</v>
      </c>
      <c r="H35" s="63">
        <v>7970</v>
      </c>
      <c r="I35" s="62">
        <v>203</v>
      </c>
      <c r="J35" s="62">
        <v>8173</v>
      </c>
      <c r="K35" s="68">
        <f>ROUND($K$14*N35,0)</f>
        <v>3212</v>
      </c>
      <c r="L35" s="68">
        <f>J35-K35</f>
        <v>4961</v>
      </c>
      <c r="N35" s="101">
        <v>3.8352999999999998E-2</v>
      </c>
      <c r="O35" s="44">
        <f>($L$14+$L$15)*N35</f>
        <v>2576.1326569999997</v>
      </c>
      <c r="P35" s="44">
        <f>L35-O35</f>
        <v>2384.8673430000003</v>
      </c>
    </row>
    <row r="36" spans="1:18">
      <c r="A36" s="69">
        <v>16</v>
      </c>
      <c r="B36" s="84"/>
      <c r="C36" s="70"/>
      <c r="D36" s="70"/>
      <c r="E36" s="70" t="s">
        <v>49</v>
      </c>
      <c r="F36" s="68">
        <v>29770</v>
      </c>
      <c r="G36" s="68">
        <v>-4539</v>
      </c>
      <c r="H36" s="68">
        <v>25231</v>
      </c>
      <c r="I36" s="68">
        <v>203</v>
      </c>
      <c r="J36" s="68">
        <v>25434</v>
      </c>
      <c r="K36" s="99">
        <f>SUM(K33:K35)</f>
        <v>3212</v>
      </c>
      <c r="L36" s="99">
        <f>SUM(L33:L35)</f>
        <v>22222</v>
      </c>
      <c r="N36" s="47"/>
      <c r="O36" s="38"/>
      <c r="P36" s="44"/>
    </row>
    <row r="37" spans="1:18">
      <c r="A37" s="69"/>
      <c r="B37" s="84"/>
      <c r="C37" s="70"/>
      <c r="D37" s="70"/>
      <c r="E37" s="70"/>
      <c r="F37" s="68"/>
      <c r="G37" s="68"/>
      <c r="H37" s="68"/>
      <c r="I37" s="68"/>
      <c r="J37" s="68"/>
      <c r="K37" s="68"/>
      <c r="L37" s="68"/>
      <c r="P37" s="44"/>
    </row>
    <row r="38" spans="1:18">
      <c r="A38" s="69">
        <v>17</v>
      </c>
      <c r="B38" s="84" t="s">
        <v>50</v>
      </c>
      <c r="C38" s="70"/>
      <c r="D38" s="70"/>
      <c r="E38" s="70"/>
      <c r="F38" s="68">
        <v>6121</v>
      </c>
      <c r="G38" s="68">
        <v>24</v>
      </c>
      <c r="H38" s="65">
        <v>6145</v>
      </c>
      <c r="I38" s="68">
        <v>23</v>
      </c>
      <c r="J38" s="68">
        <v>6168</v>
      </c>
      <c r="K38" s="68">
        <f>ROUND($K$14*N38,0)</f>
        <v>363</v>
      </c>
      <c r="L38" s="68">
        <f>J38-K38</f>
        <v>5805</v>
      </c>
      <c r="N38" s="101">
        <v>4.3379999999999998E-3</v>
      </c>
      <c r="O38" s="44">
        <f>($L$14+$L$15)*N38</f>
        <v>291.379122</v>
      </c>
      <c r="P38" s="44">
        <f>L38-O38</f>
        <v>5513.6208779999997</v>
      </c>
    </row>
    <row r="39" spans="1:18">
      <c r="A39" s="69">
        <v>18</v>
      </c>
      <c r="B39" s="84" t="s">
        <v>51</v>
      </c>
      <c r="C39" s="70"/>
      <c r="D39" s="70"/>
      <c r="E39" s="70"/>
      <c r="F39" s="68">
        <v>9783</v>
      </c>
      <c r="G39" s="68">
        <v>-8919</v>
      </c>
      <c r="H39" s="65">
        <v>864</v>
      </c>
      <c r="I39" s="68"/>
      <c r="J39" s="68">
        <v>864</v>
      </c>
      <c r="K39" s="68"/>
      <c r="L39" s="68">
        <f>J39-K39</f>
        <v>864</v>
      </c>
      <c r="P39" s="44">
        <f>L39</f>
        <v>864</v>
      </c>
    </row>
    <row r="40" spans="1:18">
      <c r="A40" s="69">
        <v>19</v>
      </c>
      <c r="B40" s="84" t="s">
        <v>52</v>
      </c>
      <c r="C40" s="70"/>
      <c r="D40" s="70"/>
      <c r="E40" s="70"/>
      <c r="F40" s="68">
        <v>3</v>
      </c>
      <c r="G40" s="68">
        <v>0</v>
      </c>
      <c r="H40" s="65">
        <v>3</v>
      </c>
      <c r="I40" s="68"/>
      <c r="J40" s="68">
        <v>3</v>
      </c>
      <c r="K40" s="68"/>
      <c r="L40" s="68">
        <f>J40-K40</f>
        <v>3</v>
      </c>
      <c r="P40" s="44">
        <f>L40</f>
        <v>3</v>
      </c>
    </row>
    <row r="41" spans="1:18">
      <c r="A41" s="69"/>
      <c r="B41" s="84"/>
      <c r="C41" s="70"/>
      <c r="D41" s="70"/>
      <c r="E41" s="70"/>
      <c r="F41" s="68"/>
      <c r="G41" s="68"/>
      <c r="H41" s="65"/>
      <c r="I41" s="68"/>
      <c r="J41" s="68"/>
      <c r="K41" s="68"/>
      <c r="L41" s="68"/>
      <c r="N41" s="47"/>
      <c r="O41" s="38"/>
      <c r="P41" s="44"/>
    </row>
    <row r="42" spans="1:18">
      <c r="A42" s="69"/>
      <c r="B42" s="84" t="s">
        <v>53</v>
      </c>
      <c r="C42" s="70"/>
      <c r="D42" s="70"/>
      <c r="E42" s="70"/>
      <c r="F42" s="68"/>
      <c r="G42" s="68"/>
      <c r="H42" s="68"/>
      <c r="I42" s="68"/>
      <c r="J42" s="68"/>
      <c r="K42" s="68"/>
      <c r="L42" s="68"/>
      <c r="Q42" s="44"/>
    </row>
    <row r="43" spans="1:18">
      <c r="A43" s="69">
        <v>20</v>
      </c>
      <c r="B43" s="84"/>
      <c r="C43" s="70" t="s">
        <v>46</v>
      </c>
      <c r="D43" s="70"/>
      <c r="E43" s="70"/>
      <c r="F43" s="68">
        <v>11384</v>
      </c>
      <c r="G43" s="68">
        <v>552</v>
      </c>
      <c r="H43" s="65">
        <v>11936</v>
      </c>
      <c r="I43" s="68">
        <v>11</v>
      </c>
      <c r="J43" s="68">
        <v>11947</v>
      </c>
      <c r="K43" s="68">
        <f>ROUND($K$14*N43,0)</f>
        <v>168</v>
      </c>
      <c r="L43" s="68">
        <f>J43-K43</f>
        <v>11779</v>
      </c>
      <c r="N43" s="101">
        <v>2E-3</v>
      </c>
      <c r="O43" s="44">
        <f>($L$14+$L$15)*N43</f>
        <v>134.33799999999999</v>
      </c>
      <c r="P43" s="49">
        <f>L43-O43</f>
        <v>11644.662</v>
      </c>
    </row>
    <row r="44" spans="1:18">
      <c r="A44" s="69">
        <v>21</v>
      </c>
      <c r="B44" s="84"/>
      <c r="C44" s="70" t="s">
        <v>83</v>
      </c>
      <c r="D44" s="70"/>
      <c r="E44" s="70"/>
      <c r="F44" s="68">
        <v>2734</v>
      </c>
      <c r="G44" s="68">
        <v>-474</v>
      </c>
      <c r="H44" s="65">
        <v>2260</v>
      </c>
      <c r="I44" s="68"/>
      <c r="J44" s="68">
        <v>2260</v>
      </c>
      <c r="K44" s="68"/>
      <c r="L44" s="68">
        <f>J44-K44</f>
        <v>2260</v>
      </c>
      <c r="Q44" s="44">
        <f>L44</f>
        <v>2260</v>
      </c>
    </row>
    <row r="45" spans="1:18">
      <c r="A45" s="69">
        <v>22</v>
      </c>
      <c r="B45" s="84"/>
      <c r="C45" s="89" t="s">
        <v>103</v>
      </c>
      <c r="D45" s="70"/>
      <c r="E45" s="70"/>
      <c r="F45" s="68">
        <v>-186</v>
      </c>
      <c r="G45" s="68">
        <v>288</v>
      </c>
      <c r="H45" s="65">
        <v>102</v>
      </c>
      <c r="I45" s="68"/>
      <c r="J45" s="68">
        <v>102</v>
      </c>
      <c r="K45" s="68"/>
      <c r="L45" s="68">
        <f>J45-K45</f>
        <v>102</v>
      </c>
      <c r="P45" s="44"/>
      <c r="Q45" s="44">
        <f>L45</f>
        <v>102</v>
      </c>
    </row>
    <row r="46" spans="1:18">
      <c r="A46" s="69">
        <v>23</v>
      </c>
      <c r="B46" s="84"/>
      <c r="C46" s="70" t="s">
        <v>47</v>
      </c>
      <c r="D46" s="70"/>
      <c r="E46" s="70"/>
      <c r="F46" s="62">
        <v>0</v>
      </c>
      <c r="G46" s="62">
        <v>5</v>
      </c>
      <c r="H46" s="63">
        <v>5</v>
      </c>
      <c r="I46" s="62"/>
      <c r="J46" s="62">
        <v>5</v>
      </c>
      <c r="K46" s="62"/>
      <c r="L46" s="68">
        <f>J46-K46</f>
        <v>5</v>
      </c>
      <c r="P46" s="44">
        <f>L46</f>
        <v>5</v>
      </c>
    </row>
    <row r="47" spans="1:18">
      <c r="A47" s="69">
        <v>24</v>
      </c>
      <c r="B47" s="84"/>
      <c r="C47" s="70"/>
      <c r="D47" s="70" t="s">
        <v>54</v>
      </c>
      <c r="E47" s="77"/>
      <c r="F47" s="66">
        <v>13932</v>
      </c>
      <c r="G47" s="66">
        <v>371</v>
      </c>
      <c r="H47" s="66">
        <v>14303</v>
      </c>
      <c r="I47" s="66">
        <v>11</v>
      </c>
      <c r="J47" s="66">
        <v>14314</v>
      </c>
      <c r="K47" s="66">
        <f>SUM(K43:K46)</f>
        <v>168</v>
      </c>
      <c r="L47" s="66">
        <f>SUM(L43:L46)</f>
        <v>14146</v>
      </c>
    </row>
    <row r="48" spans="1:18">
      <c r="A48" s="69">
        <v>25</v>
      </c>
      <c r="B48" s="84" t="s">
        <v>104</v>
      </c>
      <c r="C48" s="70"/>
      <c r="D48" s="70"/>
      <c r="E48" s="70"/>
      <c r="F48" s="62">
        <v>247558</v>
      </c>
      <c r="G48" s="62">
        <v>-118763</v>
      </c>
      <c r="H48" s="62">
        <v>128795</v>
      </c>
      <c r="I48" s="62">
        <v>237</v>
      </c>
      <c r="J48" s="62">
        <v>129032</v>
      </c>
      <c r="K48" s="68">
        <f>K24+K30+K36+K38+K39+K40+K47</f>
        <v>83750</v>
      </c>
      <c r="L48" s="68">
        <f>L24+L30+L36+L38+L39+L40+L47</f>
        <v>45282</v>
      </c>
      <c r="N48" s="50">
        <f>1-SUM(N33:N43)</f>
        <v>0.95530899999999996</v>
      </c>
      <c r="O48" s="44">
        <f>SUM(O18:O43)</f>
        <v>3001.8497789999997</v>
      </c>
      <c r="P48" s="44">
        <f>SUM(P16:P46)</f>
        <v>31988.150221</v>
      </c>
      <c r="Q48" s="44">
        <f>SUM(Q16:Q46)</f>
        <v>10193</v>
      </c>
      <c r="R48" s="44">
        <f>SUM(R53:R58)</f>
        <v>21986</v>
      </c>
    </row>
    <row r="49" spans="1:19">
      <c r="A49" s="69"/>
      <c r="B49" s="84"/>
      <c r="C49" s="70"/>
      <c r="D49" s="70"/>
      <c r="E49" s="70"/>
      <c r="F49" s="68"/>
      <c r="G49" s="68"/>
      <c r="H49" s="68"/>
      <c r="I49" s="68"/>
      <c r="J49" s="68"/>
      <c r="K49" s="99"/>
      <c r="L49" s="99"/>
      <c r="P49" s="38">
        <f>P48/N48</f>
        <v>33484.610969853733</v>
      </c>
      <c r="Q49" s="38">
        <f>Q48/N48</f>
        <v>10669.846091683425</v>
      </c>
      <c r="R49" s="38">
        <f>R48/N48</f>
        <v>23014.542938462844</v>
      </c>
      <c r="S49" s="39">
        <f>SUM(P49:R49)</f>
        <v>67169</v>
      </c>
    </row>
    <row r="50" spans="1:19">
      <c r="A50" s="69">
        <v>26</v>
      </c>
      <c r="B50" s="84" t="s">
        <v>55</v>
      </c>
      <c r="C50" s="70"/>
      <c r="D50" s="70"/>
      <c r="E50" s="70"/>
      <c r="F50" s="68">
        <v>17681</v>
      </c>
      <c r="G50" s="68">
        <v>-758</v>
      </c>
      <c r="H50" s="68">
        <v>16923</v>
      </c>
      <c r="I50" s="68">
        <v>5063</v>
      </c>
      <c r="J50" s="68">
        <v>21986</v>
      </c>
      <c r="K50" s="68">
        <f>K17-K48</f>
        <v>0</v>
      </c>
      <c r="L50" s="68">
        <f>L17-L48</f>
        <v>21986</v>
      </c>
      <c r="P50" s="40">
        <f>P49/$S$49</f>
        <v>0.49851287007181488</v>
      </c>
      <c r="Q50" s="40">
        <f>Q49/$S$49</f>
        <v>0.15885075096671716</v>
      </c>
      <c r="R50" s="40">
        <f>R49/$S$49</f>
        <v>0.34263637896146798</v>
      </c>
      <c r="S50" s="40">
        <f>S49/$S$49</f>
        <v>1</v>
      </c>
    </row>
    <row r="51" spans="1:19">
      <c r="A51" s="69"/>
      <c r="B51" s="84"/>
      <c r="C51" s="70"/>
      <c r="D51" s="70"/>
      <c r="E51" s="70"/>
      <c r="F51" s="68"/>
      <c r="G51" s="68"/>
      <c r="H51" s="68"/>
      <c r="I51" s="68"/>
      <c r="J51" s="68"/>
      <c r="K51" s="68"/>
      <c r="L51" s="68"/>
      <c r="R51" s="44"/>
    </row>
    <row r="52" spans="1:19">
      <c r="A52" s="69"/>
      <c r="B52" s="84" t="s">
        <v>56</v>
      </c>
      <c r="C52" s="70"/>
      <c r="D52" s="70"/>
      <c r="E52" s="70"/>
      <c r="F52" s="68"/>
      <c r="G52" s="68"/>
      <c r="H52" s="68"/>
      <c r="I52" s="68"/>
      <c r="J52" s="68"/>
      <c r="K52" s="68"/>
      <c r="L52" s="68"/>
      <c r="R52" s="44"/>
    </row>
    <row r="53" spans="1:19">
      <c r="A53" s="69">
        <v>27</v>
      </c>
      <c r="B53" s="84"/>
      <c r="C53" s="70" t="s">
        <v>57</v>
      </c>
      <c r="D53" s="70"/>
      <c r="E53" s="70"/>
      <c r="F53" s="68">
        <v>-591</v>
      </c>
      <c r="G53" s="68">
        <v>-330.30000000000007</v>
      </c>
      <c r="H53" s="65">
        <v>-921.30000000000007</v>
      </c>
      <c r="I53" s="68">
        <v>1772</v>
      </c>
      <c r="J53" s="68">
        <v>850.69999999999993</v>
      </c>
      <c r="K53" s="68"/>
      <c r="L53" s="68">
        <f>J53-K53</f>
        <v>850.69999999999993</v>
      </c>
      <c r="R53" s="44">
        <f>L53</f>
        <v>850.69999999999993</v>
      </c>
    </row>
    <row r="54" spans="1:19">
      <c r="A54" s="69">
        <v>28</v>
      </c>
      <c r="B54" s="84"/>
      <c r="C54" s="90" t="s">
        <v>84</v>
      </c>
      <c r="D54" s="70"/>
      <c r="E54" s="70"/>
      <c r="F54" s="68">
        <v>0</v>
      </c>
      <c r="G54" s="68">
        <v>-72.962400000000002</v>
      </c>
      <c r="H54" s="65">
        <v>-72.962400000000002</v>
      </c>
      <c r="I54" s="68">
        <v>0</v>
      </c>
      <c r="J54" s="68">
        <v>-72.962400000000002</v>
      </c>
      <c r="K54" s="68"/>
      <c r="L54" s="68">
        <f>J54-K54</f>
        <v>-72.962400000000002</v>
      </c>
      <c r="R54" s="44">
        <f>L54</f>
        <v>-72.962400000000002</v>
      </c>
    </row>
    <row r="55" spans="1:19">
      <c r="A55" s="69">
        <v>29</v>
      </c>
      <c r="B55" s="84"/>
      <c r="C55" s="70" t="s">
        <v>105</v>
      </c>
      <c r="D55" s="70"/>
      <c r="E55" s="70"/>
      <c r="F55" s="68">
        <v>5719</v>
      </c>
      <c r="G55" s="68">
        <v>-28</v>
      </c>
      <c r="H55" s="65">
        <v>5691</v>
      </c>
      <c r="I55" s="68"/>
      <c r="J55" s="68">
        <v>5691</v>
      </c>
      <c r="K55" s="68"/>
      <c r="L55" s="68">
        <f>J55-K55</f>
        <v>5691</v>
      </c>
      <c r="R55" s="44">
        <f>L55</f>
        <v>5691</v>
      </c>
    </row>
    <row r="56" spans="1:19">
      <c r="A56" s="69">
        <v>30</v>
      </c>
      <c r="B56" s="84"/>
      <c r="C56" s="70" t="s">
        <v>106</v>
      </c>
      <c r="D56" s="70"/>
      <c r="E56" s="70"/>
      <c r="F56" s="62">
        <v>-27</v>
      </c>
      <c r="G56" s="62">
        <v>0</v>
      </c>
      <c r="H56" s="63">
        <v>-27</v>
      </c>
      <c r="I56" s="62"/>
      <c r="J56" s="62">
        <v>-27</v>
      </c>
      <c r="K56" s="68"/>
      <c r="L56" s="68">
        <f>J56-K56</f>
        <v>-27</v>
      </c>
      <c r="R56" s="44">
        <f>L56</f>
        <v>-27</v>
      </c>
    </row>
    <row r="57" spans="1:19">
      <c r="A57" s="69"/>
      <c r="B57" s="84"/>
      <c r="C57" s="84"/>
      <c r="D57" s="84"/>
      <c r="E57" s="84"/>
      <c r="F57" s="68"/>
      <c r="G57" s="68"/>
      <c r="H57" s="68"/>
      <c r="I57" s="91"/>
      <c r="J57" s="68"/>
      <c r="K57" s="99"/>
      <c r="L57" s="99"/>
    </row>
    <row r="58" spans="1:19" ht="15.75" thickBot="1">
      <c r="A58" s="69">
        <v>31</v>
      </c>
      <c r="B58" s="86" t="s">
        <v>58</v>
      </c>
      <c r="C58" s="86"/>
      <c r="D58" s="86"/>
      <c r="E58" s="86"/>
      <c r="F58" s="67">
        <v>12580</v>
      </c>
      <c r="G58" s="67">
        <v>-326.73759999999993</v>
      </c>
      <c r="H58" s="67">
        <v>12253.2624</v>
      </c>
      <c r="I58" s="67">
        <v>3291</v>
      </c>
      <c r="J58" s="67">
        <v>15544.2624</v>
      </c>
      <c r="K58" s="67">
        <f>K50-SUM(K53:K56)</f>
        <v>0</v>
      </c>
      <c r="L58" s="67">
        <f>L50-SUM(L53:L56)</f>
        <v>15544.2624</v>
      </c>
      <c r="R58" s="44">
        <f>L58</f>
        <v>15544.2624</v>
      </c>
    </row>
    <row r="59" spans="1:19" ht="15.75" thickTop="1">
      <c r="A59" s="69"/>
      <c r="B59" s="84"/>
      <c r="C59" s="84"/>
      <c r="D59" s="84"/>
      <c r="E59" s="84"/>
      <c r="F59" s="68"/>
      <c r="G59" s="68"/>
      <c r="H59" s="68"/>
      <c r="I59" s="68"/>
      <c r="J59" s="68"/>
      <c r="K59" s="68"/>
      <c r="L59" s="68"/>
    </row>
    <row r="60" spans="1:19">
      <c r="A60" s="69"/>
      <c r="B60" s="84"/>
      <c r="C60" s="84"/>
      <c r="D60" s="84"/>
      <c r="E60" s="84"/>
      <c r="F60" s="68"/>
      <c r="G60" s="68"/>
      <c r="H60" s="68"/>
      <c r="I60" s="68"/>
      <c r="J60" s="68"/>
      <c r="K60" s="68"/>
      <c r="L60" s="68"/>
    </row>
    <row r="61" spans="1:19">
      <c r="A61" s="69"/>
      <c r="B61" s="84" t="s">
        <v>107</v>
      </c>
      <c r="C61" s="84"/>
      <c r="D61" s="84"/>
      <c r="E61" s="84"/>
      <c r="F61" s="68"/>
      <c r="G61" s="68"/>
      <c r="H61" s="68"/>
      <c r="I61" s="68"/>
      <c r="J61" s="68"/>
      <c r="K61" s="68"/>
      <c r="L61" s="68"/>
    </row>
    <row r="62" spans="1:19">
      <c r="A62" s="69">
        <v>32</v>
      </c>
      <c r="B62" s="70"/>
      <c r="C62" s="70" t="s">
        <v>101</v>
      </c>
      <c r="D62" s="70"/>
      <c r="E62" s="70"/>
      <c r="F62" s="68">
        <v>22008</v>
      </c>
      <c r="G62" s="68">
        <v>2120</v>
      </c>
      <c r="H62" s="65">
        <v>24128</v>
      </c>
      <c r="I62" s="68"/>
      <c r="J62" s="68">
        <v>24128</v>
      </c>
      <c r="K62" s="68"/>
      <c r="L62" s="68">
        <f>J62-K62</f>
        <v>24128</v>
      </c>
      <c r="P62" s="40">
        <f>Q62/$Q$65</f>
        <v>0.52092483139543544</v>
      </c>
      <c r="Q62" s="39">
        <f>P48+O48</f>
        <v>34990</v>
      </c>
    </row>
    <row r="63" spans="1:19">
      <c r="A63" s="69">
        <v>33</v>
      </c>
      <c r="B63" s="70"/>
      <c r="C63" s="70" t="s">
        <v>108</v>
      </c>
      <c r="D63" s="70"/>
      <c r="E63" s="70"/>
      <c r="F63" s="68">
        <v>281279</v>
      </c>
      <c r="G63" s="68">
        <v>7688</v>
      </c>
      <c r="H63" s="65">
        <v>288967</v>
      </c>
      <c r="I63" s="68"/>
      <c r="J63" s="68">
        <v>288967</v>
      </c>
      <c r="K63" s="68"/>
      <c r="L63" s="68">
        <f>J63-K63</f>
        <v>288967</v>
      </c>
      <c r="P63" s="40">
        <f>Q63/$Q$65</f>
        <v>0.15175155205526358</v>
      </c>
      <c r="Q63" s="44">
        <f>Q48</f>
        <v>10193</v>
      </c>
    </row>
    <row r="64" spans="1:19">
      <c r="A64" s="69">
        <v>34</v>
      </c>
      <c r="B64" s="70"/>
      <c r="C64" s="70" t="s">
        <v>109</v>
      </c>
      <c r="D64" s="70"/>
      <c r="E64" s="70"/>
      <c r="F64" s="62">
        <v>38971</v>
      </c>
      <c r="G64" s="62">
        <v>1328</v>
      </c>
      <c r="H64" s="63">
        <v>40299</v>
      </c>
      <c r="I64" s="62"/>
      <c r="J64" s="62">
        <v>40299</v>
      </c>
      <c r="K64" s="62"/>
      <c r="L64" s="68">
        <f>J64-K64</f>
        <v>40299</v>
      </c>
      <c r="P64" s="40">
        <f>Q64/$Q$65</f>
        <v>0.32732361654930103</v>
      </c>
      <c r="Q64" s="44">
        <f>R48</f>
        <v>21986</v>
      </c>
      <c r="R64" s="39">
        <f>L48-L16</f>
        <v>45183</v>
      </c>
    </row>
    <row r="65" spans="1:18">
      <c r="A65" s="69">
        <v>35</v>
      </c>
      <c r="B65" s="70"/>
      <c r="C65" s="70"/>
      <c r="D65" s="70"/>
      <c r="E65" s="70" t="s">
        <v>59</v>
      </c>
      <c r="F65" s="68">
        <v>342258</v>
      </c>
      <c r="G65" s="68">
        <v>11136</v>
      </c>
      <c r="H65" s="68">
        <v>353394</v>
      </c>
      <c r="I65" s="68">
        <v>0</v>
      </c>
      <c r="J65" s="68">
        <v>353394</v>
      </c>
      <c r="K65" s="99">
        <f>SUM(K62:K64)</f>
        <v>0</v>
      </c>
      <c r="L65" s="99">
        <f>SUM(L62:L64)</f>
        <v>353394</v>
      </c>
      <c r="P65" s="40">
        <f>SUM(P62:P64)</f>
        <v>1</v>
      </c>
      <c r="Q65" s="39">
        <f>SUM(Q62:Q64)</f>
        <v>67169</v>
      </c>
      <c r="R65" s="44">
        <f>L28+L34+L44</f>
        <v>10091</v>
      </c>
    </row>
    <row r="66" spans="1:18">
      <c r="A66" s="69"/>
      <c r="B66" s="70"/>
      <c r="C66" s="70"/>
      <c r="D66" s="70"/>
      <c r="E66" s="70"/>
      <c r="F66" s="68"/>
      <c r="G66" s="68"/>
      <c r="H66" s="68"/>
      <c r="I66" s="68"/>
      <c r="J66" s="68"/>
      <c r="K66" s="68"/>
      <c r="L66" s="68"/>
      <c r="R66" s="39">
        <f>R64-R65</f>
        <v>35092</v>
      </c>
    </row>
    <row r="67" spans="1:18">
      <c r="A67" s="69"/>
      <c r="B67" s="70" t="s">
        <v>110</v>
      </c>
      <c r="C67" s="70"/>
      <c r="D67" s="70"/>
      <c r="E67" s="70"/>
      <c r="F67" s="68"/>
      <c r="G67" s="68"/>
      <c r="H67" s="68"/>
      <c r="I67" s="68"/>
      <c r="J67" s="68"/>
      <c r="K67" s="68"/>
      <c r="L67" s="68"/>
    </row>
    <row r="68" spans="1:18">
      <c r="A68" s="69">
        <v>36</v>
      </c>
      <c r="B68" s="70"/>
      <c r="C68" s="70" t="s">
        <v>101</v>
      </c>
      <c r="D68" s="70"/>
      <c r="E68" s="70"/>
      <c r="F68" s="68">
        <v>8286</v>
      </c>
      <c r="G68" s="68">
        <v>166</v>
      </c>
      <c r="H68" s="65">
        <v>8452</v>
      </c>
      <c r="I68" s="68"/>
      <c r="J68" s="68">
        <v>8452</v>
      </c>
      <c r="K68" s="68"/>
      <c r="L68" s="68">
        <f>J68-K68</f>
        <v>8452</v>
      </c>
    </row>
    <row r="69" spans="1:18">
      <c r="A69" s="69">
        <v>37</v>
      </c>
      <c r="B69" s="70"/>
      <c r="C69" s="70" t="s">
        <v>108</v>
      </c>
      <c r="D69" s="70"/>
      <c r="E69" s="70"/>
      <c r="F69" s="68">
        <v>97489</v>
      </c>
      <c r="G69" s="68">
        <v>2161</v>
      </c>
      <c r="H69" s="65">
        <v>99650</v>
      </c>
      <c r="I69" s="68"/>
      <c r="J69" s="68">
        <v>99650</v>
      </c>
      <c r="K69" s="68"/>
      <c r="L69" s="68">
        <f>J69-K69</f>
        <v>99650</v>
      </c>
      <c r="Q69" s="45"/>
      <c r="R69" s="44"/>
    </row>
    <row r="70" spans="1:18">
      <c r="A70" s="69">
        <v>38</v>
      </c>
      <c r="B70" s="70"/>
      <c r="C70" s="70" t="s">
        <v>109</v>
      </c>
      <c r="D70" s="70"/>
      <c r="E70" s="70"/>
      <c r="F70" s="62">
        <v>10926</v>
      </c>
      <c r="G70" s="62">
        <v>-714</v>
      </c>
      <c r="H70" s="63">
        <v>10212</v>
      </c>
      <c r="I70" s="62"/>
      <c r="J70" s="62">
        <v>10212</v>
      </c>
      <c r="K70" s="68"/>
      <c r="L70" s="68">
        <f>J70-K70</f>
        <v>10212</v>
      </c>
      <c r="Q70" s="46"/>
      <c r="R70" s="44"/>
    </row>
    <row r="71" spans="1:18">
      <c r="A71" s="69">
        <v>39</v>
      </c>
      <c r="B71" s="70" t="s">
        <v>111</v>
      </c>
      <c r="C71" s="70"/>
      <c r="D71" s="70"/>
      <c r="E71" s="77"/>
      <c r="F71" s="66">
        <v>116701</v>
      </c>
      <c r="G71" s="66">
        <v>1613</v>
      </c>
      <c r="H71" s="66">
        <v>118314</v>
      </c>
      <c r="I71" s="66">
        <v>0</v>
      </c>
      <c r="J71" s="66">
        <v>118314</v>
      </c>
      <c r="K71" s="66">
        <f>SUM(K68:K70)</f>
        <v>0</v>
      </c>
      <c r="L71" s="66">
        <f>SUM(L68:L70)</f>
        <v>118314</v>
      </c>
      <c r="Q71" s="45"/>
      <c r="R71" s="44"/>
    </row>
    <row r="72" spans="1:18">
      <c r="A72" s="69">
        <v>40</v>
      </c>
      <c r="B72" s="90" t="s">
        <v>112</v>
      </c>
      <c r="C72" s="70"/>
      <c r="D72" s="70"/>
      <c r="E72" s="70"/>
      <c r="F72" s="68">
        <v>225557</v>
      </c>
      <c r="G72" s="68">
        <v>9523</v>
      </c>
      <c r="H72" s="68">
        <v>235080</v>
      </c>
      <c r="I72" s="68">
        <v>0</v>
      </c>
      <c r="J72" s="68">
        <v>235080</v>
      </c>
      <c r="K72" s="68">
        <f>K65-K71</f>
        <v>0</v>
      </c>
      <c r="L72" s="68">
        <f>L65-L71</f>
        <v>235080</v>
      </c>
    </row>
    <row r="73" spans="1:18">
      <c r="A73" s="69">
        <v>41</v>
      </c>
      <c r="B73" s="70" t="s">
        <v>113</v>
      </c>
      <c r="C73" s="70"/>
      <c r="D73" s="70"/>
      <c r="E73" s="70"/>
      <c r="F73" s="62">
        <v>-41707</v>
      </c>
      <c r="G73" s="62">
        <v>-2655</v>
      </c>
      <c r="H73" s="63">
        <v>-44362</v>
      </c>
      <c r="I73" s="62"/>
      <c r="J73" s="62">
        <v>-44362</v>
      </c>
      <c r="K73" s="68"/>
      <c r="L73" s="68">
        <f>J73-K73</f>
        <v>-44362</v>
      </c>
    </row>
    <row r="74" spans="1:18">
      <c r="A74" s="69">
        <v>42</v>
      </c>
      <c r="B74" s="70"/>
      <c r="C74" s="90" t="s">
        <v>114</v>
      </c>
      <c r="D74" s="70"/>
      <c r="E74" s="70"/>
      <c r="F74" s="68">
        <v>183850</v>
      </c>
      <c r="G74" s="68">
        <v>6868</v>
      </c>
      <c r="H74" s="68">
        <v>190718</v>
      </c>
      <c r="I74" s="68">
        <v>0</v>
      </c>
      <c r="J74" s="68">
        <v>190718</v>
      </c>
      <c r="K74" s="99">
        <f>K72+K73</f>
        <v>0</v>
      </c>
      <c r="L74" s="99">
        <f>L72+L73</f>
        <v>190718</v>
      </c>
    </row>
    <row r="75" spans="1:18">
      <c r="A75" s="69">
        <v>43</v>
      </c>
      <c r="B75" s="92" t="s">
        <v>115</v>
      </c>
      <c r="C75" s="92"/>
      <c r="D75" s="92"/>
      <c r="E75" s="92"/>
      <c r="F75" s="93">
        <v>13753</v>
      </c>
      <c r="G75" s="93">
        <v>0</v>
      </c>
      <c r="H75" s="94">
        <v>13753</v>
      </c>
      <c r="I75" s="93"/>
      <c r="J75" s="93">
        <v>13753</v>
      </c>
      <c r="K75" s="93"/>
      <c r="L75" s="68">
        <f>J75-K75</f>
        <v>13753</v>
      </c>
    </row>
    <row r="76" spans="1:18">
      <c r="A76" s="69">
        <v>44</v>
      </c>
      <c r="B76" s="92" t="s">
        <v>116</v>
      </c>
      <c r="C76" s="92"/>
      <c r="D76" s="92"/>
      <c r="E76" s="92"/>
      <c r="F76" s="93">
        <v>-14</v>
      </c>
      <c r="G76" s="93">
        <v>14</v>
      </c>
      <c r="H76" s="94">
        <v>0</v>
      </c>
      <c r="I76" s="93"/>
      <c r="J76" s="93">
        <v>0</v>
      </c>
      <c r="K76" s="93"/>
      <c r="L76" s="68">
        <f>J76-K76</f>
        <v>0</v>
      </c>
    </row>
    <row r="77" spans="1:18">
      <c r="A77" s="69">
        <v>45</v>
      </c>
      <c r="B77" s="92" t="s">
        <v>117</v>
      </c>
      <c r="C77" s="92"/>
      <c r="D77" s="92"/>
      <c r="E77" s="92"/>
      <c r="F77" s="93">
        <v>-1010</v>
      </c>
      <c r="G77" s="93">
        <v>-2</v>
      </c>
      <c r="H77" s="94">
        <v>-1012</v>
      </c>
      <c r="I77" s="93"/>
      <c r="J77" s="93">
        <v>-1012</v>
      </c>
      <c r="K77" s="93"/>
      <c r="L77" s="68">
        <f>J77-K77</f>
        <v>-1012</v>
      </c>
    </row>
    <row r="78" spans="1:18">
      <c r="A78" s="69">
        <v>46</v>
      </c>
      <c r="B78" s="92" t="s">
        <v>118</v>
      </c>
      <c r="C78" s="92"/>
      <c r="D78" s="92"/>
      <c r="E78" s="92"/>
      <c r="F78" s="64">
        <v>0</v>
      </c>
      <c r="G78" s="64">
        <v>0</v>
      </c>
      <c r="H78" s="71">
        <v>0</v>
      </c>
      <c r="I78" s="64"/>
      <c r="J78" s="64">
        <v>0</v>
      </c>
      <c r="K78" s="64"/>
      <c r="L78" s="68">
        <f>J78-K78</f>
        <v>0</v>
      </c>
    </row>
    <row r="79" spans="1:18">
      <c r="A79" s="69"/>
      <c r="B79" s="84"/>
      <c r="C79" s="84"/>
      <c r="D79" s="84"/>
      <c r="E79" s="84"/>
      <c r="F79" s="85"/>
      <c r="G79" s="85"/>
      <c r="H79" s="95"/>
      <c r="I79" s="85"/>
      <c r="J79" s="85"/>
      <c r="K79" s="85"/>
      <c r="L79" s="100"/>
    </row>
    <row r="80" spans="1:18" ht="15.75" thickBot="1">
      <c r="A80" s="69">
        <v>47</v>
      </c>
      <c r="B80" s="86" t="s">
        <v>119</v>
      </c>
      <c r="C80" s="86"/>
      <c r="D80" s="86"/>
      <c r="E80" s="86"/>
      <c r="F80" s="72">
        <v>196579</v>
      </c>
      <c r="G80" s="72">
        <v>6882</v>
      </c>
      <c r="H80" s="72">
        <v>203459</v>
      </c>
      <c r="I80" s="72">
        <v>0</v>
      </c>
      <c r="J80" s="72">
        <v>203459</v>
      </c>
      <c r="K80" s="72"/>
      <c r="L80" s="72">
        <f>SUM(L74:L78)</f>
        <v>203459</v>
      </c>
    </row>
    <row r="81" spans="1:12" ht="15.75" thickTop="1">
      <c r="A81" s="69">
        <v>48</v>
      </c>
      <c r="B81" s="84" t="s">
        <v>120</v>
      </c>
      <c r="C81" s="84"/>
      <c r="D81" s="84"/>
      <c r="E81" s="84"/>
      <c r="F81" s="96">
        <v>6.4000000000000001E-2</v>
      </c>
      <c r="G81" s="97"/>
      <c r="H81" s="96">
        <v>6.0199999999999997E-2</v>
      </c>
      <c r="I81" s="96"/>
      <c r="J81" s="96">
        <v>7.6399999999999996E-2</v>
      </c>
      <c r="K81" s="96"/>
      <c r="L81" s="96">
        <v>7.6399999999999996E-2</v>
      </c>
    </row>
    <row r="82" spans="1:12" s="43" customFormat="1" ht="6.6" customHeight="1">
      <c r="A82" s="69"/>
      <c r="B82" s="84"/>
      <c r="C82" s="84"/>
      <c r="D82" s="84"/>
      <c r="E82" s="84"/>
      <c r="F82" s="96"/>
      <c r="G82" s="97"/>
      <c r="H82" s="96"/>
      <c r="I82" s="96"/>
      <c r="J82" s="96"/>
      <c r="K82" s="96"/>
      <c r="L82" s="96"/>
    </row>
    <row r="83" spans="1:12" s="43" customFormat="1">
      <c r="A83" s="69">
        <v>49</v>
      </c>
      <c r="B83" s="84" t="s">
        <v>127</v>
      </c>
      <c r="C83" s="84"/>
      <c r="D83" s="84"/>
      <c r="E83" s="84"/>
      <c r="F83" s="96"/>
      <c r="G83" s="97"/>
      <c r="H83" s="96"/>
      <c r="I83" s="96"/>
      <c r="J83" s="96"/>
      <c r="K83" s="102">
        <v>246632165</v>
      </c>
      <c r="L83" s="96"/>
    </row>
    <row r="84" spans="1:12">
      <c r="A84" s="42">
        <v>50</v>
      </c>
      <c r="B84" s="41" t="s">
        <v>128</v>
      </c>
      <c r="C84" s="41"/>
      <c r="D84" s="41"/>
      <c r="E84" s="21"/>
      <c r="F84" s="21"/>
      <c r="G84" s="21"/>
      <c r="H84" s="21"/>
      <c r="I84" s="21"/>
      <c r="K84" s="103">
        <f>K14/K83*1000</f>
        <v>0.33957452386634163</v>
      </c>
    </row>
  </sheetData>
  <mergeCells count="1">
    <mergeCell ref="I6:J6"/>
  </mergeCells>
  <pageMargins left="0.7" right="0.17" top="0.5" bottom="0.28000000000000003" header="0.3" footer="0.3"/>
  <pageSetup scale="60" orientation="landscape" r:id="rId1"/>
  <rowBreaks count="1" manualBreakCount="1"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8"/>
  <sheetViews>
    <sheetView tabSelected="1" zoomScaleNormal="100" workbookViewId="0">
      <selection activeCell="C40" sqref="C40"/>
    </sheetView>
  </sheetViews>
  <sheetFormatPr defaultRowHeight="15"/>
  <cols>
    <col min="1" max="1" width="4.5703125" style="106" customWidth="1"/>
    <col min="2" max="2" width="44.7109375" customWidth="1"/>
    <col min="3" max="3" width="19.42578125" customWidth="1"/>
    <col min="4" max="4" width="22.28515625" customWidth="1"/>
    <col min="5" max="5" width="19.42578125" customWidth="1"/>
    <col min="6" max="6" width="18.140625" customWidth="1"/>
    <col min="7" max="7" width="21.7109375" customWidth="1"/>
    <col min="8" max="8" width="17.5703125" customWidth="1"/>
  </cols>
  <sheetData>
    <row r="1" spans="1:8" s="106" customFormat="1" ht="15.75">
      <c r="A1" s="123" t="s">
        <v>22</v>
      </c>
      <c r="B1" s="123"/>
      <c r="C1" s="123"/>
      <c r="D1" s="123"/>
      <c r="E1" s="123"/>
      <c r="F1" s="123"/>
      <c r="G1" s="123"/>
      <c r="H1" s="123"/>
    </row>
    <row r="2" spans="1:8" s="106" customFormat="1" ht="15.75">
      <c r="A2" s="123" t="s">
        <v>144</v>
      </c>
      <c r="B2" s="123"/>
      <c r="C2" s="123"/>
      <c r="D2" s="123"/>
      <c r="E2" s="123"/>
      <c r="F2" s="123"/>
      <c r="G2" s="123"/>
      <c r="H2" s="123"/>
    </row>
    <row r="3" spans="1:8" s="106" customFormat="1" ht="15.75">
      <c r="A3" s="124" t="s">
        <v>145</v>
      </c>
      <c r="B3" s="124"/>
      <c r="C3" s="124"/>
      <c r="D3" s="124"/>
      <c r="E3" s="124"/>
      <c r="F3" s="124"/>
      <c r="G3" s="124"/>
      <c r="H3" s="124"/>
    </row>
    <row r="4" spans="1:8" s="106" customFormat="1" ht="15.75">
      <c r="A4" s="126"/>
      <c r="B4" s="126"/>
      <c r="C4" s="126"/>
      <c r="D4" s="126"/>
      <c r="E4" s="126"/>
      <c r="F4" s="126"/>
      <c r="G4" s="126"/>
      <c r="H4" s="122"/>
    </row>
    <row r="5" spans="1:8" ht="15.75">
      <c r="A5" s="126"/>
      <c r="B5" s="126"/>
      <c r="C5" s="135" t="s">
        <v>60</v>
      </c>
      <c r="D5" s="135" t="s">
        <v>61</v>
      </c>
      <c r="E5" s="135" t="s">
        <v>62</v>
      </c>
      <c r="F5" s="135" t="s">
        <v>63</v>
      </c>
      <c r="G5" s="135" t="s">
        <v>133</v>
      </c>
      <c r="H5" s="135" t="s">
        <v>149</v>
      </c>
    </row>
    <row r="6" spans="1:8" ht="15.75">
      <c r="A6" s="126"/>
      <c r="B6" s="126"/>
      <c r="C6" s="136" t="s">
        <v>64</v>
      </c>
      <c r="D6" s="136" t="s">
        <v>130</v>
      </c>
      <c r="E6" s="136" t="s">
        <v>131</v>
      </c>
      <c r="F6" s="136" t="s">
        <v>132</v>
      </c>
      <c r="G6" s="136" t="s">
        <v>147</v>
      </c>
      <c r="H6" s="136" t="s">
        <v>150</v>
      </c>
    </row>
    <row r="7" spans="1:8" ht="15.75">
      <c r="A7" s="126"/>
      <c r="B7" s="126"/>
      <c r="C7" s="126"/>
      <c r="D7" s="126"/>
      <c r="E7" s="126"/>
      <c r="F7" s="126"/>
      <c r="G7" s="126"/>
      <c r="H7" s="122"/>
    </row>
    <row r="8" spans="1:8" s="106" customFormat="1" ht="15.75">
      <c r="A8" s="126">
        <v>1</v>
      </c>
      <c r="B8" s="126" t="s">
        <v>146</v>
      </c>
      <c r="C8" s="127">
        <f>SUM(D8:H8)</f>
        <v>150029000</v>
      </c>
      <c r="D8" s="127">
        <v>107942000</v>
      </c>
      <c r="E8" s="127">
        <v>33798000</v>
      </c>
      <c r="F8" s="127">
        <v>3762000</v>
      </c>
      <c r="G8" s="127">
        <v>730000</v>
      </c>
      <c r="H8" s="127">
        <f>1544000+2253000</f>
        <v>3797000</v>
      </c>
    </row>
    <row r="9" spans="1:8" s="106" customFormat="1" ht="15.75">
      <c r="A9" s="126">
        <v>2</v>
      </c>
      <c r="B9" s="126" t="s">
        <v>148</v>
      </c>
      <c r="C9" s="127">
        <f>SUM(D9:H9)</f>
        <v>12135000</v>
      </c>
      <c r="D9" s="127">
        <v>9360000</v>
      </c>
      <c r="E9" s="127">
        <v>2168000</v>
      </c>
      <c r="F9" s="127">
        <v>195000</v>
      </c>
      <c r="G9" s="127">
        <v>28000</v>
      </c>
      <c r="H9" s="127">
        <v>384000</v>
      </c>
    </row>
    <row r="10" spans="1:8" s="106" customFormat="1" ht="15.75">
      <c r="A10" s="126">
        <v>3</v>
      </c>
      <c r="B10" s="126" t="s">
        <v>152</v>
      </c>
      <c r="C10" s="127">
        <f>SUM(D10:H10)</f>
        <v>162164000</v>
      </c>
      <c r="D10" s="128">
        <f>D8+D9</f>
        <v>117302000</v>
      </c>
      <c r="E10" s="128">
        <f>E8+E9</f>
        <v>35966000</v>
      </c>
      <c r="F10" s="128">
        <f>F8+F9</f>
        <v>3957000</v>
      </c>
      <c r="G10" s="128">
        <f>G8+G9</f>
        <v>758000</v>
      </c>
      <c r="H10" s="128">
        <f>H8+H9</f>
        <v>4181000</v>
      </c>
    </row>
    <row r="11" spans="1:8" s="106" customFormat="1" ht="15.75">
      <c r="A11" s="126"/>
      <c r="B11" s="126"/>
      <c r="C11" s="126"/>
      <c r="D11" s="126"/>
      <c r="E11" s="126"/>
      <c r="F11" s="126"/>
      <c r="G11" s="126"/>
      <c r="H11" s="122"/>
    </row>
    <row r="12" spans="1:8" s="106" customFormat="1" ht="15.75">
      <c r="A12" s="126">
        <v>4</v>
      </c>
      <c r="B12" s="126" t="s">
        <v>151</v>
      </c>
      <c r="C12" s="129">
        <f>SUM(D12:G12)</f>
        <v>166976530</v>
      </c>
      <c r="D12" s="130">
        <v>114766242</v>
      </c>
      <c r="E12" s="130">
        <v>45312560</v>
      </c>
      <c r="F12" s="130">
        <v>5674290</v>
      </c>
      <c r="G12" s="130">
        <v>1223438</v>
      </c>
      <c r="H12" s="122"/>
    </row>
    <row r="13" spans="1:8" s="106" customFormat="1" ht="15.75">
      <c r="A13" s="126">
        <v>5</v>
      </c>
      <c r="B13" s="126" t="s">
        <v>135</v>
      </c>
      <c r="C13" s="126"/>
      <c r="D13" s="131">
        <v>0.49802999999999997</v>
      </c>
      <c r="E13" s="131">
        <v>0.49535000000000001</v>
      </c>
      <c r="F13" s="131">
        <v>0.47449000000000002</v>
      </c>
      <c r="G13" s="131">
        <v>0.44955000000000001</v>
      </c>
      <c r="H13" s="122"/>
    </row>
    <row r="14" spans="1:8" s="106" customFormat="1" ht="15.75">
      <c r="A14" s="126">
        <v>6</v>
      </c>
      <c r="B14" s="126" t="s">
        <v>134</v>
      </c>
      <c r="C14" s="127">
        <f>SUM(D14:G14)</f>
        <v>82844998.514260009</v>
      </c>
      <c r="D14" s="127">
        <f>D12*D13</f>
        <v>57157031.503259994</v>
      </c>
      <c r="E14" s="127">
        <f>E12*E13</f>
        <v>22445576.596000001</v>
      </c>
      <c r="F14" s="127">
        <f>F12*F13</f>
        <v>2692393.8621</v>
      </c>
      <c r="G14" s="127">
        <f>G12*G13</f>
        <v>549996.55290000001</v>
      </c>
      <c r="H14" s="122"/>
    </row>
    <row r="15" spans="1:8" s="106" customFormat="1" ht="15.75">
      <c r="A15" s="126"/>
      <c r="B15" s="126"/>
      <c r="C15" s="126"/>
      <c r="D15" s="126"/>
      <c r="E15" s="126"/>
      <c r="F15" s="126"/>
      <c r="G15" s="126"/>
      <c r="H15" s="122"/>
    </row>
    <row r="16" spans="1:8" s="106" customFormat="1" ht="15.75">
      <c r="A16" s="126">
        <v>7</v>
      </c>
      <c r="B16" s="126" t="s">
        <v>154</v>
      </c>
      <c r="C16" s="127">
        <f>SUM(D16:G16)</f>
        <v>75138001.485739991</v>
      </c>
      <c r="D16" s="128">
        <f>D10-D14</f>
        <v>60144968.496740006</v>
      </c>
      <c r="E16" s="128">
        <f>E10-E14</f>
        <v>13520423.403999999</v>
      </c>
      <c r="F16" s="128">
        <f>F10-F14</f>
        <v>1264606.1379</v>
      </c>
      <c r="G16" s="128">
        <f>G10-G14</f>
        <v>208003.44709999999</v>
      </c>
      <c r="H16" s="122"/>
    </row>
    <row r="17" spans="1:8" s="106" customFormat="1" ht="15.75">
      <c r="A17" s="126"/>
      <c r="B17" s="126"/>
      <c r="C17" s="126"/>
      <c r="D17" s="126"/>
      <c r="E17" s="126"/>
      <c r="F17" s="126"/>
      <c r="G17" s="126"/>
      <c r="H17" s="122"/>
    </row>
    <row r="18" spans="1:8" ht="15.75">
      <c r="A18" s="126">
        <v>8</v>
      </c>
      <c r="B18" s="126" t="s">
        <v>65</v>
      </c>
      <c r="C18" s="129">
        <f>SUM(D18:G18)</f>
        <v>1798424</v>
      </c>
      <c r="D18" s="132">
        <v>1768267</v>
      </c>
      <c r="E18" s="132">
        <v>29797</v>
      </c>
      <c r="F18" s="132">
        <v>336</v>
      </c>
      <c r="G18" s="132">
        <v>24</v>
      </c>
      <c r="H18" s="122"/>
    </row>
    <row r="19" spans="1:8" ht="15.75">
      <c r="A19" s="126">
        <v>9</v>
      </c>
      <c r="B19" s="126" t="s">
        <v>142</v>
      </c>
      <c r="C19" s="127"/>
      <c r="D19" s="127">
        <v>12</v>
      </c>
      <c r="E19" s="127">
        <v>85.7</v>
      </c>
      <c r="F19" s="127">
        <v>207.13</v>
      </c>
      <c r="G19" s="133">
        <f>G18*G17</f>
        <v>0</v>
      </c>
      <c r="H19" s="122"/>
    </row>
    <row r="20" spans="1:8" ht="15.75">
      <c r="A20" s="126">
        <v>10</v>
      </c>
      <c r="B20" s="126" t="s">
        <v>155</v>
      </c>
      <c r="C20" s="127">
        <f>SUM(D20:G20)</f>
        <v>23842402.579999998</v>
      </c>
      <c r="D20" s="133">
        <f>D19*D18</f>
        <v>21219204</v>
      </c>
      <c r="E20" s="133">
        <f>E19*E18</f>
        <v>2553602.9</v>
      </c>
      <c r="F20" s="133">
        <f>F19*F18</f>
        <v>69595.679999999993</v>
      </c>
      <c r="G20" s="133">
        <f>G19*G18</f>
        <v>0</v>
      </c>
      <c r="H20" s="122"/>
    </row>
    <row r="21" spans="1:8" s="43" customFormat="1" ht="15.75">
      <c r="A21" s="126"/>
      <c r="B21" s="126"/>
      <c r="C21" s="127"/>
      <c r="D21" s="133"/>
      <c r="E21" s="133"/>
      <c r="F21" s="133"/>
      <c r="G21" s="133"/>
      <c r="H21" s="122"/>
    </row>
    <row r="22" spans="1:8" s="43" customFormat="1" ht="15.75">
      <c r="A22" s="126">
        <v>11</v>
      </c>
      <c r="B22" s="126" t="s">
        <v>153</v>
      </c>
      <c r="C22" s="127">
        <f>SUM(D22:G22)</f>
        <v>51295598.905740008</v>
      </c>
      <c r="D22" s="133">
        <f>D16-D20</f>
        <v>38925764.496740006</v>
      </c>
      <c r="E22" s="133">
        <f>E16-E20</f>
        <v>10966820.503999999</v>
      </c>
      <c r="F22" s="133">
        <f>F16-F20</f>
        <v>1195010.4579</v>
      </c>
      <c r="G22" s="133">
        <f>G16-G20</f>
        <v>208003.44709999999</v>
      </c>
      <c r="H22" s="122"/>
    </row>
    <row r="23" spans="1:8" ht="15.75">
      <c r="A23" s="134"/>
      <c r="B23" s="134"/>
      <c r="C23" s="134"/>
      <c r="D23" s="134"/>
      <c r="E23" s="134"/>
      <c r="F23" s="134"/>
      <c r="G23" s="134"/>
    </row>
    <row r="27" spans="1:8">
      <c r="D27" s="19"/>
      <c r="F27" s="19"/>
    </row>
    <row r="28" spans="1:8">
      <c r="D28" s="19"/>
      <c r="F28" s="19"/>
    </row>
    <row r="29" spans="1:8">
      <c r="D29" s="19"/>
      <c r="F29" s="19"/>
    </row>
    <row r="30" spans="1:8">
      <c r="D30" s="19"/>
    </row>
    <row r="31" spans="1:8">
      <c r="D31" s="20"/>
      <c r="F31" s="20"/>
    </row>
    <row r="32" spans="1:8">
      <c r="D32" s="19"/>
      <c r="F32" s="20"/>
    </row>
    <row r="33" spans="4:6">
      <c r="D33" s="19"/>
      <c r="F33" s="19"/>
    </row>
    <row r="36" spans="4:6">
      <c r="D36" s="19"/>
      <c r="F36" s="19"/>
    </row>
    <row r="37" spans="4:6">
      <c r="D37" s="19"/>
      <c r="F37" s="19"/>
    </row>
    <row r="38" spans="4:6">
      <c r="D38" s="19"/>
      <c r="F38" s="19"/>
    </row>
  </sheetData>
  <mergeCells count="3">
    <mergeCell ref="A1:H1"/>
    <mergeCell ref="A2:H2"/>
    <mergeCell ref="A3:H3"/>
  </mergeCells>
  <pageMargins left="0.51" right="0.5" top="0.75" bottom="0.75" header="0.3" footer="0.3"/>
  <pageSetup scale="75" orientation="landscape" r:id="rId1"/>
  <headerFooter>
    <oddHeader>&amp;RExhibit No.___(PDE-10)</oddHeader>
    <oddFooter>&amp;RPage 1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zoomScaleNormal="100" workbookViewId="0">
      <selection activeCell="E13" sqref="E13"/>
    </sheetView>
  </sheetViews>
  <sheetFormatPr defaultRowHeight="15"/>
  <cols>
    <col min="1" max="1" width="6.42578125" customWidth="1"/>
    <col min="2" max="2" width="44.42578125" customWidth="1"/>
    <col min="3" max="3" width="18.28515625" customWidth="1"/>
    <col min="4" max="5" width="16.42578125" customWidth="1"/>
    <col min="7" max="7" width="13.140625" bestFit="1" customWidth="1"/>
    <col min="8" max="8" width="12" bestFit="1" customWidth="1"/>
  </cols>
  <sheetData>
    <row r="1" spans="1:6" ht="15.75">
      <c r="A1" s="123" t="s">
        <v>22</v>
      </c>
      <c r="B1" s="123"/>
      <c r="C1" s="123"/>
      <c r="D1" s="123"/>
      <c r="E1" s="123"/>
      <c r="F1" s="137"/>
    </row>
    <row r="2" spans="1:6" ht="15.75">
      <c r="A2" s="123" t="s">
        <v>144</v>
      </c>
      <c r="B2" s="123"/>
      <c r="C2" s="123"/>
      <c r="D2" s="123"/>
      <c r="E2" s="123"/>
      <c r="F2" s="137"/>
    </row>
    <row r="3" spans="1:6" ht="15.75">
      <c r="A3" s="124" t="s">
        <v>156</v>
      </c>
      <c r="B3" s="124"/>
      <c r="C3" s="124"/>
      <c r="D3" s="124"/>
      <c r="E3" s="124"/>
      <c r="F3" s="138"/>
    </row>
    <row r="4" spans="1:6" ht="15.75">
      <c r="A4" s="147"/>
      <c r="B4" s="147"/>
      <c r="C4" s="147"/>
      <c r="D4" s="147"/>
      <c r="E4" s="147"/>
    </row>
    <row r="5" spans="1:6" ht="15.75">
      <c r="A5" s="147"/>
      <c r="B5" s="147"/>
      <c r="C5" s="147"/>
      <c r="D5" s="147"/>
      <c r="E5" s="147"/>
    </row>
    <row r="6" spans="1:6" ht="47.25">
      <c r="A6" s="148" t="s">
        <v>19</v>
      </c>
      <c r="B6" s="149"/>
      <c r="C6" s="148" t="s">
        <v>18</v>
      </c>
      <c r="D6" s="148" t="s">
        <v>21</v>
      </c>
      <c r="E6" s="148" t="s">
        <v>20</v>
      </c>
    </row>
    <row r="7" spans="1:6" ht="15.75">
      <c r="A7" s="147"/>
      <c r="B7" s="150" t="s">
        <v>16</v>
      </c>
      <c r="C7" s="150" t="s">
        <v>15</v>
      </c>
      <c r="D7" s="150" t="s">
        <v>14</v>
      </c>
      <c r="E7" s="150" t="s">
        <v>13</v>
      </c>
    </row>
    <row r="8" spans="1:6" ht="15.75">
      <c r="A8" s="150"/>
      <c r="B8" s="155"/>
      <c r="C8" s="150"/>
      <c r="D8" s="150"/>
      <c r="E8" s="150"/>
    </row>
    <row r="9" spans="1:6" s="106" customFormat="1" ht="15.75">
      <c r="A9" s="150">
        <v>1</v>
      </c>
      <c r="B9" s="155" t="s">
        <v>153</v>
      </c>
      <c r="C9" s="150" t="s">
        <v>157</v>
      </c>
      <c r="D9" s="151">
        <f>'PDE-10, Page 1'!D22</f>
        <v>38925764.496740006</v>
      </c>
      <c r="E9" s="151">
        <f>'PDE-10, Page 1'!E22+'PDE-10, Page 1'!F22+'PDE-10, Page 1'!G22</f>
        <v>12369834.409</v>
      </c>
    </row>
    <row r="10" spans="1:6" s="106" customFormat="1" ht="15.75">
      <c r="A10" s="150"/>
      <c r="B10" s="155"/>
      <c r="C10" s="150"/>
      <c r="D10" s="150"/>
      <c r="E10" s="150"/>
    </row>
    <row r="11" spans="1:6" s="106" customFormat="1" ht="15.75">
      <c r="A11" s="150">
        <v>2</v>
      </c>
      <c r="B11" s="147" t="s">
        <v>160</v>
      </c>
      <c r="C11" s="150" t="s">
        <v>85</v>
      </c>
      <c r="D11" s="152">
        <f>'PDE-10, Page 1'!D18/12</f>
        <v>147355.58333333334</v>
      </c>
      <c r="E11" s="152">
        <f>SUM('PDE-10, Page 1'!E18:G18)/12</f>
        <v>2513.0833333333335</v>
      </c>
    </row>
    <row r="12" spans="1:6" s="106" customFormat="1" ht="15.75">
      <c r="A12" s="150"/>
      <c r="B12" s="155"/>
      <c r="C12" s="150"/>
      <c r="D12" s="150"/>
      <c r="E12" s="150"/>
    </row>
    <row r="13" spans="1:6" s="106" customFormat="1" ht="15.75">
      <c r="A13" s="150">
        <v>3</v>
      </c>
      <c r="B13" s="155" t="s">
        <v>158</v>
      </c>
      <c r="C13" s="150" t="str">
        <f>"("&amp;A9&amp;") / ("&amp;A$11&amp;")"</f>
        <v>(1) / (2)</v>
      </c>
      <c r="D13" s="157">
        <f>D9/D11</f>
        <v>264.16212820851155</v>
      </c>
      <c r="E13" s="157">
        <f>E9/E11</f>
        <v>4922.1743843220474</v>
      </c>
    </row>
    <row r="14" spans="1:6" s="106" customFormat="1" ht="15.75">
      <c r="A14" s="150"/>
      <c r="B14" s="155"/>
      <c r="C14" s="150"/>
      <c r="D14" s="150"/>
      <c r="E14" s="150"/>
    </row>
    <row r="15" spans="1:6" s="104" customFormat="1" ht="15.75" hidden="1">
      <c r="A15" s="153" t="e">
        <f>#REF!+1</f>
        <v>#REF!</v>
      </c>
      <c r="B15" s="159" t="e">
        <f>#REF!</f>
        <v>#REF!</v>
      </c>
      <c r="C15" s="153" t="e">
        <f>"("&amp;#REF!&amp;") - ("&amp;#REF!&amp;")"</f>
        <v>#REF!</v>
      </c>
      <c r="D15" s="154" t="e">
        <f>#REF!-#REF!</f>
        <v>#REF!</v>
      </c>
      <c r="E15" s="154" t="e">
        <f>#REF!-#REF!</f>
        <v>#REF!</v>
      </c>
    </row>
    <row r="16" spans="1:6" s="104" customFormat="1" ht="15.75" hidden="1">
      <c r="A16" s="153" t="e">
        <f t="shared" ref="A16:A20" si="0">A15+1</f>
        <v>#REF!</v>
      </c>
      <c r="B16" s="159" t="e">
        <f>#REF!</f>
        <v>#REF!</v>
      </c>
      <c r="C16" s="153" t="e">
        <f>"("&amp;#REF!&amp;") - ("&amp;#REF!&amp;")"</f>
        <v>#REF!</v>
      </c>
      <c r="D16" s="154" t="e">
        <f>#REF!-#REF!</f>
        <v>#REF!</v>
      </c>
      <c r="E16" s="154" t="e">
        <f>#REF!-#REF!</f>
        <v>#REF!</v>
      </c>
    </row>
    <row r="17" spans="1:5" s="104" customFormat="1" ht="15.75" hidden="1">
      <c r="A17" s="153" t="e">
        <f t="shared" si="0"/>
        <v>#REF!</v>
      </c>
      <c r="B17" s="159" t="e">
        <f>#REF!</f>
        <v>#REF!</v>
      </c>
      <c r="C17" s="153" t="e">
        <f>"("&amp;#REF!&amp;") - ("&amp;#REF!&amp;")"</f>
        <v>#REF!</v>
      </c>
      <c r="D17" s="154" t="e">
        <f>#REF!-#REF!</f>
        <v>#REF!</v>
      </c>
      <c r="E17" s="154" t="e">
        <f>#REF!-#REF!</f>
        <v>#REF!</v>
      </c>
    </row>
    <row r="18" spans="1:5" s="104" customFormat="1" ht="15.75" hidden="1">
      <c r="A18" s="153" t="e">
        <f t="shared" si="0"/>
        <v>#REF!</v>
      </c>
      <c r="B18" s="159" t="e">
        <f>#REF!</f>
        <v>#REF!</v>
      </c>
      <c r="C18" s="153" t="e">
        <f>"("&amp;#REF!&amp;") - ("&amp;#REF!&amp;")"</f>
        <v>#REF!</v>
      </c>
      <c r="D18" s="154" t="e">
        <f>#REF!-#REF!</f>
        <v>#REF!</v>
      </c>
      <c r="E18" s="154" t="e">
        <f>#REF!-#REF!</f>
        <v>#REF!</v>
      </c>
    </row>
    <row r="19" spans="1:5" ht="15.75">
      <c r="A19" s="150"/>
      <c r="B19" s="147"/>
      <c r="C19" s="147"/>
      <c r="D19" s="158"/>
      <c r="E19" s="158"/>
    </row>
    <row r="20" spans="1:5" ht="15.75">
      <c r="A20" s="150"/>
      <c r="B20" s="156" t="s">
        <v>140</v>
      </c>
      <c r="C20" s="147"/>
      <c r="D20" s="147"/>
      <c r="E20" s="147"/>
    </row>
    <row r="21" spans="1:5" ht="15.75">
      <c r="A21" s="134"/>
      <c r="B21" s="134"/>
      <c r="C21" s="134"/>
      <c r="D21" s="134"/>
      <c r="E21" s="134"/>
    </row>
    <row r="22" spans="1:5" ht="15.75">
      <c r="A22" s="134"/>
      <c r="B22" s="134"/>
      <c r="C22" s="134"/>
      <c r="D22" s="134"/>
      <c r="E22" s="134"/>
    </row>
    <row r="23" spans="1:5" ht="15.75">
      <c r="A23" s="134"/>
      <c r="B23" s="134"/>
      <c r="C23" s="134"/>
      <c r="D23" s="134"/>
      <c r="E23" s="134"/>
    </row>
    <row r="24" spans="1:5" ht="15.75">
      <c r="A24" s="134"/>
      <c r="B24" s="134"/>
      <c r="C24" s="134"/>
      <c r="D24" s="134"/>
      <c r="E24" s="134"/>
    </row>
    <row r="25" spans="1:5" ht="15.75">
      <c r="A25" s="134"/>
      <c r="B25" s="134"/>
      <c r="C25" s="134"/>
      <c r="D25" s="134"/>
      <c r="E25" s="134"/>
    </row>
    <row r="26" spans="1:5" ht="15.75">
      <c r="A26" s="134"/>
      <c r="B26" s="134"/>
      <c r="C26" s="134"/>
      <c r="D26" s="134"/>
      <c r="E26" s="134"/>
    </row>
  </sheetData>
  <mergeCells count="3">
    <mergeCell ref="A1:E1"/>
    <mergeCell ref="A2:E2"/>
    <mergeCell ref="A3:E3"/>
  </mergeCells>
  <printOptions horizontalCentered="1"/>
  <pageMargins left="0.56999999999999995" right="0.28999999999999998" top="0.75" bottom="0.75" header="0.3" footer="0.3"/>
  <pageSetup scale="87" orientation="landscape" r:id="rId1"/>
  <headerFooter>
    <oddHeader>&amp;RExhibit No.___(PDE-10)</oddHeader>
    <oddFooter>&amp;RPage 2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4"/>
  <sheetViews>
    <sheetView zoomScale="90" zoomScaleNormal="90" workbookViewId="0">
      <selection activeCell="D21" sqref="D21"/>
    </sheetView>
  </sheetViews>
  <sheetFormatPr defaultRowHeight="15"/>
  <cols>
    <col min="2" max="2" width="50.140625" customWidth="1"/>
    <col min="3" max="3" width="14.7109375" customWidth="1"/>
    <col min="4" max="15" width="11.42578125" customWidth="1"/>
    <col min="16" max="16" width="13.85546875" bestFit="1" customWidth="1"/>
  </cols>
  <sheetData>
    <row r="1" spans="1:16" ht="15.75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.75">
      <c r="A2" s="123" t="str">
        <f>'PDE-10, Page 2'!A2:E2</f>
        <v>Natural Gas Decoupling Mechanism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.75">
      <c r="A3" s="124" t="s">
        <v>159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>
      <c r="A4" s="139"/>
      <c r="B4" s="139"/>
      <c r="C4" s="141"/>
      <c r="D4" s="141"/>
      <c r="E4" s="141"/>
      <c r="F4" s="141"/>
      <c r="G4" s="141"/>
      <c r="H4" s="139"/>
      <c r="I4" s="139"/>
      <c r="J4" s="139"/>
      <c r="K4" s="139"/>
      <c r="L4" s="139"/>
      <c r="M4" s="139"/>
      <c r="N4" s="139"/>
      <c r="O4" s="139"/>
      <c r="P4" s="139"/>
    </row>
    <row r="5" spans="1:16">
      <c r="A5" s="139"/>
      <c r="B5" s="139"/>
      <c r="C5" s="141"/>
      <c r="D5" s="141"/>
      <c r="E5" s="141"/>
      <c r="F5" s="141"/>
      <c r="G5" s="141"/>
      <c r="H5" s="139"/>
      <c r="I5" s="139"/>
      <c r="J5" s="139"/>
      <c r="K5" s="139"/>
      <c r="L5" s="139"/>
      <c r="M5" s="139"/>
      <c r="N5" s="139"/>
      <c r="O5" s="139"/>
      <c r="P5" s="139"/>
    </row>
    <row r="6" spans="1:16">
      <c r="A6" s="160" t="s">
        <v>19</v>
      </c>
      <c r="B6" s="140"/>
      <c r="C6" s="161" t="s">
        <v>18</v>
      </c>
      <c r="D6" s="162" t="s">
        <v>66</v>
      </c>
      <c r="E6" s="162" t="s">
        <v>67</v>
      </c>
      <c r="F6" s="162" t="s">
        <v>68</v>
      </c>
      <c r="G6" s="162" t="s">
        <v>69</v>
      </c>
      <c r="H6" s="162" t="s">
        <v>70</v>
      </c>
      <c r="I6" s="162" t="s">
        <v>71</v>
      </c>
      <c r="J6" s="162" t="s">
        <v>72</v>
      </c>
      <c r="K6" s="162" t="s">
        <v>73</v>
      </c>
      <c r="L6" s="162" t="s">
        <v>74</v>
      </c>
      <c r="M6" s="162" t="s">
        <v>75</v>
      </c>
      <c r="N6" s="162" t="s">
        <v>76</v>
      </c>
      <c r="O6" s="162" t="s">
        <v>77</v>
      </c>
      <c r="P6" s="160" t="s">
        <v>64</v>
      </c>
    </row>
    <row r="7" spans="1:16" ht="15" customHeight="1">
      <c r="A7" s="139"/>
      <c r="B7" s="141" t="s">
        <v>16</v>
      </c>
      <c r="C7" s="141" t="s">
        <v>15</v>
      </c>
      <c r="D7" s="141" t="s">
        <v>14</v>
      </c>
      <c r="E7" s="141" t="s">
        <v>13</v>
      </c>
      <c r="F7" s="141" t="s">
        <v>12</v>
      </c>
      <c r="G7" s="141" t="s">
        <v>11</v>
      </c>
      <c r="H7" s="141" t="s">
        <v>10</v>
      </c>
      <c r="I7" s="141" t="s">
        <v>9</v>
      </c>
      <c r="J7" s="141" t="s">
        <v>8</v>
      </c>
      <c r="K7" s="141" t="s">
        <v>7</v>
      </c>
      <c r="L7" s="141" t="s">
        <v>6</v>
      </c>
      <c r="M7" s="141" t="s">
        <v>5</v>
      </c>
      <c r="N7" s="141" t="s">
        <v>4</v>
      </c>
      <c r="O7" s="141" t="s">
        <v>3</v>
      </c>
      <c r="P7" s="141" t="s">
        <v>2</v>
      </c>
    </row>
    <row r="8" spans="1:16" ht="15" customHeight="1">
      <c r="A8" s="141">
        <v>1</v>
      </c>
      <c r="B8" s="142"/>
      <c r="C8" s="141"/>
      <c r="D8" s="141"/>
      <c r="E8" s="141"/>
      <c r="F8" s="141"/>
      <c r="G8" s="141"/>
      <c r="H8" s="141"/>
      <c r="I8" s="141"/>
      <c r="J8" s="139"/>
      <c r="K8" s="139"/>
      <c r="L8" s="139"/>
      <c r="M8" s="139"/>
      <c r="N8" s="139"/>
      <c r="O8" s="139"/>
      <c r="P8" s="139"/>
    </row>
    <row r="9" spans="1:16" ht="15" customHeight="1">
      <c r="A9" s="141">
        <f t="shared" ref="A9:A27" si="0">A8+1</f>
        <v>2</v>
      </c>
      <c r="B9" s="163" t="s">
        <v>138</v>
      </c>
      <c r="C9" s="141"/>
      <c r="D9" s="139"/>
      <c r="E9" s="139"/>
      <c r="F9" s="139"/>
      <c r="G9" s="139"/>
      <c r="H9" s="143"/>
      <c r="I9" s="143"/>
      <c r="J9" s="139"/>
      <c r="K9" s="139"/>
      <c r="L9" s="139"/>
      <c r="M9" s="139"/>
      <c r="N9" s="139"/>
      <c r="O9" s="139"/>
      <c r="P9" s="164"/>
    </row>
    <row r="10" spans="1:16" ht="15" customHeight="1">
      <c r="A10" s="141">
        <f t="shared" si="0"/>
        <v>3</v>
      </c>
      <c r="B10" s="165" t="s">
        <v>21</v>
      </c>
      <c r="C10" s="141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64"/>
    </row>
    <row r="11" spans="1:16" ht="15" customHeight="1">
      <c r="A11" s="141">
        <f t="shared" si="0"/>
        <v>4</v>
      </c>
      <c r="B11" s="145" t="s">
        <v>137</v>
      </c>
      <c r="C11" s="141" t="s">
        <v>86</v>
      </c>
      <c r="D11" s="166">
        <v>19888326.706799999</v>
      </c>
      <c r="E11" s="166">
        <v>17302334.428399999</v>
      </c>
      <c r="F11" s="166">
        <v>13541335.9221</v>
      </c>
      <c r="G11" s="166">
        <v>8503741.4674999993</v>
      </c>
      <c r="H11" s="166">
        <v>4877162.3607999999</v>
      </c>
      <c r="I11" s="166">
        <v>2837441.4356</v>
      </c>
      <c r="J11" s="166">
        <v>2150247</v>
      </c>
      <c r="K11" s="166">
        <v>1991297</v>
      </c>
      <c r="L11" s="166">
        <v>2325300</v>
      </c>
      <c r="M11" s="166">
        <v>7065637.676</v>
      </c>
      <c r="N11" s="166">
        <v>14067891.726299999</v>
      </c>
      <c r="O11" s="166">
        <v>20215526.207600001</v>
      </c>
      <c r="P11" s="167">
        <f>SUM(D11:O11)</f>
        <v>114766241.93109998</v>
      </c>
    </row>
    <row r="12" spans="1:16" ht="15" customHeight="1">
      <c r="A12" s="141">
        <f t="shared" si="0"/>
        <v>5</v>
      </c>
      <c r="B12" s="139" t="s">
        <v>78</v>
      </c>
      <c r="C12" s="168" t="s">
        <v>143</v>
      </c>
      <c r="D12" s="169">
        <f t="shared" ref="D12:O12" si="1">D11/$P11</f>
        <v>0.17329422286685989</v>
      </c>
      <c r="E12" s="169">
        <f t="shared" si="1"/>
        <v>0.1507615317646061</v>
      </c>
      <c r="F12" s="169">
        <f t="shared" si="1"/>
        <v>0.11799058411470469</v>
      </c>
      <c r="G12" s="169">
        <f t="shared" si="1"/>
        <v>7.409619174081894E-2</v>
      </c>
      <c r="H12" s="169">
        <f t="shared" si="1"/>
        <v>4.2496489200439351E-2</v>
      </c>
      <c r="I12" s="169">
        <f t="shared" si="1"/>
        <v>2.4723659046912597E-2</v>
      </c>
      <c r="J12" s="169">
        <f t="shared" si="1"/>
        <v>1.8735884035402176E-2</v>
      </c>
      <c r="K12" s="169">
        <f t="shared" si="1"/>
        <v>1.7350894884189699E-2</v>
      </c>
      <c r="L12" s="169">
        <f t="shared" si="1"/>
        <v>2.0261184481373852E-2</v>
      </c>
      <c r="M12" s="169">
        <f t="shared" si="1"/>
        <v>6.1565470447676261E-2</v>
      </c>
      <c r="N12" s="169">
        <f t="shared" si="1"/>
        <v>0.12257865631555376</v>
      </c>
      <c r="O12" s="169">
        <f t="shared" si="1"/>
        <v>0.17614523110146285</v>
      </c>
      <c r="P12" s="169">
        <f>SUM(D12:O12)</f>
        <v>1</v>
      </c>
    </row>
    <row r="13" spans="1:16" ht="15" customHeight="1">
      <c r="A13" s="141">
        <f t="shared" si="0"/>
        <v>6</v>
      </c>
      <c r="B13" s="139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spans="1:16" ht="15" customHeight="1">
      <c r="A14" s="141">
        <f t="shared" si="0"/>
        <v>7</v>
      </c>
      <c r="B14" s="165" t="s">
        <v>141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</row>
    <row r="15" spans="1:16" ht="15" customHeight="1">
      <c r="A15" s="141">
        <f t="shared" si="0"/>
        <v>8</v>
      </c>
      <c r="B15" s="145" t="s">
        <v>137</v>
      </c>
      <c r="C15" s="141" t="s">
        <v>86</v>
      </c>
      <c r="D15" s="166">
        <v>7504081.0027999999</v>
      </c>
      <c r="E15" s="166">
        <v>6700906.2508000005</v>
      </c>
      <c r="F15" s="166">
        <v>5876177.4268000005</v>
      </c>
      <c r="G15" s="166">
        <v>4177374.0350000001</v>
      </c>
      <c r="H15" s="166">
        <v>2743000.6728000003</v>
      </c>
      <c r="I15" s="166">
        <v>2153195.9829000002</v>
      </c>
      <c r="J15" s="166">
        <v>1668319</v>
      </c>
      <c r="K15" s="166">
        <v>1757314</v>
      </c>
      <c r="L15" s="166">
        <v>1794128</v>
      </c>
      <c r="M15" s="166">
        <v>4559869.4680000003</v>
      </c>
      <c r="N15" s="166">
        <v>5696808.9996999996</v>
      </c>
      <c r="O15" s="166">
        <v>7579113.7024999997</v>
      </c>
      <c r="P15" s="167">
        <f>SUM(D15:O15)</f>
        <v>52210288.541300014</v>
      </c>
    </row>
    <row r="16" spans="1:16" ht="15" customHeight="1">
      <c r="A16" s="141">
        <f t="shared" si="0"/>
        <v>9</v>
      </c>
      <c r="B16" s="139" t="s">
        <v>78</v>
      </c>
      <c r="C16" s="168" t="s">
        <v>143</v>
      </c>
      <c r="D16" s="172">
        <f t="shared" ref="D16:O16" si="2">D15/$P15</f>
        <v>0.14372801247524289</v>
      </c>
      <c r="E16" s="172">
        <f t="shared" si="2"/>
        <v>0.12834455502959669</v>
      </c>
      <c r="F16" s="172">
        <f t="shared" si="2"/>
        <v>0.11254826569578821</v>
      </c>
      <c r="G16" s="172">
        <f t="shared" si="2"/>
        <v>8.0010552550299804E-2</v>
      </c>
      <c r="H16" s="172">
        <f t="shared" si="2"/>
        <v>5.2537550537193424E-2</v>
      </c>
      <c r="I16" s="172">
        <f t="shared" si="2"/>
        <v>4.1240836682922236E-2</v>
      </c>
      <c r="J16" s="172">
        <f t="shared" si="2"/>
        <v>3.1953836046707658E-2</v>
      </c>
      <c r="K16" s="172">
        <f t="shared" si="2"/>
        <v>3.3658385140122489E-2</v>
      </c>
      <c r="L16" s="172">
        <f t="shared" si="2"/>
        <v>3.4363495206137143E-2</v>
      </c>
      <c r="M16" s="172">
        <f t="shared" si="2"/>
        <v>8.7336607312426498E-2</v>
      </c>
      <c r="N16" s="172">
        <f t="shared" si="2"/>
        <v>0.10911276606321837</v>
      </c>
      <c r="O16" s="172">
        <f t="shared" si="2"/>
        <v>0.14516513726034433</v>
      </c>
      <c r="P16" s="172">
        <f>SUM(D16:O16)</f>
        <v>0.99999999999999978</v>
      </c>
    </row>
    <row r="17" spans="1:16" ht="15" customHeight="1">
      <c r="A17" s="141">
        <f t="shared" si="0"/>
        <v>10</v>
      </c>
      <c r="B17" s="139"/>
      <c r="C17" s="141"/>
      <c r="D17" s="172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ht="15" customHeight="1">
      <c r="A18" s="141">
        <f t="shared" si="0"/>
        <v>11</v>
      </c>
      <c r="B18" s="163" t="s">
        <v>164</v>
      </c>
      <c r="C18" s="141"/>
      <c r="D18" s="172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15" customHeight="1">
      <c r="A19" s="141">
        <f t="shared" si="0"/>
        <v>12</v>
      </c>
      <c r="B19" s="165" t="s">
        <v>21</v>
      </c>
      <c r="C19" s="141"/>
      <c r="D19" s="172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15" customHeight="1">
      <c r="A20" s="141">
        <f t="shared" si="0"/>
        <v>13</v>
      </c>
      <c r="B20" s="139" t="s">
        <v>161</v>
      </c>
      <c r="C20" s="141" t="s">
        <v>162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73">
        <f>'PDE-10, Page 2'!D13</f>
        <v>264.16212820851155</v>
      </c>
    </row>
    <row r="21" spans="1:16" ht="15" customHeight="1">
      <c r="A21" s="141">
        <f t="shared" si="0"/>
        <v>14</v>
      </c>
      <c r="B21" s="139" t="s">
        <v>163</v>
      </c>
      <c r="C21" s="141" t="str">
        <f>"("&amp;A$12&amp;") x ("&amp;A20&amp;")"</f>
        <v>(5) x (13)</v>
      </c>
      <c r="D21" s="174">
        <f t="shared" ref="D21:O21" si="3">$P20*D$12</f>
        <v>45.777770718749814</v>
      </c>
      <c r="E21" s="174">
        <f t="shared" si="3"/>
        <v>39.825487082913462</v>
      </c>
      <c r="F21" s="174">
        <f t="shared" si="3"/>
        <v>31.168643808305784</v>
      </c>
      <c r="G21" s="174">
        <f t="shared" si="3"/>
        <v>19.573407702400669</v>
      </c>
      <c r="H21" s="174">
        <f t="shared" si="3"/>
        <v>11.225963028578086</v>
      </c>
      <c r="I21" s="174">
        <f t="shared" si="3"/>
        <v>6.5310543909340515</v>
      </c>
      <c r="J21" s="174">
        <f t="shared" si="3"/>
        <v>4.9493110006597139</v>
      </c>
      <c r="K21" s="174">
        <f t="shared" si="3"/>
        <v>4.5834493189297261</v>
      </c>
      <c r="L21" s="174">
        <f t="shared" si="3"/>
        <v>5.3522376126249842</v>
      </c>
      <c r="M21" s="174">
        <f t="shared" si="3"/>
        <v>16.263265697616387</v>
      </c>
      <c r="N21" s="174">
        <f t="shared" si="3"/>
        <v>32.380638725256382</v>
      </c>
      <c r="O21" s="174">
        <f t="shared" si="3"/>
        <v>46.530899121542525</v>
      </c>
      <c r="P21" s="173">
        <f>SUM(D21:O21)</f>
        <v>264.1621282085116</v>
      </c>
    </row>
    <row r="22" spans="1:16" ht="15" customHeight="1">
      <c r="A22" s="141">
        <f t="shared" si="0"/>
        <v>15</v>
      </c>
      <c r="B22" s="139"/>
      <c r="C22" s="175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73"/>
    </row>
    <row r="23" spans="1:16" ht="15" customHeight="1">
      <c r="A23" s="141">
        <f t="shared" si="0"/>
        <v>16</v>
      </c>
      <c r="B23" s="165" t="s">
        <v>141</v>
      </c>
      <c r="C23" s="175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73"/>
    </row>
    <row r="24" spans="1:16" ht="15" customHeight="1">
      <c r="A24" s="141">
        <f t="shared" si="0"/>
        <v>17</v>
      </c>
      <c r="B24" s="139" t="s">
        <v>161</v>
      </c>
      <c r="C24" s="141" t="s">
        <v>162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73">
        <f>'PDE-10, Page 2'!E13</f>
        <v>4922.1743843220474</v>
      </c>
    </row>
    <row r="25" spans="1:16" ht="15" customHeight="1">
      <c r="A25" s="141">
        <f t="shared" si="0"/>
        <v>18</v>
      </c>
      <c r="B25" s="139" t="s">
        <v>163</v>
      </c>
      <c r="C25" s="141" t="str">
        <f>"("&amp;A$16&amp;") x ("&amp;A24&amp;")"</f>
        <v>(9) x (17)</v>
      </c>
      <c r="D25" s="174">
        <f t="shared" ref="D25:O25" si="4">$P24*D$16</f>
        <v>707.45434131516026</v>
      </c>
      <c r="E25" s="174">
        <f t="shared" si="4"/>
        <v>631.73428113389218</v>
      </c>
      <c r="F25" s="174">
        <f t="shared" si="4"/>
        <v>553.9821904076806</v>
      </c>
      <c r="G25" s="174">
        <f t="shared" si="4"/>
        <v>393.82589223853876</v>
      </c>
      <c r="H25" s="174">
        <f t="shared" si="4"/>
        <v>258.59898546919851</v>
      </c>
      <c r="I25" s="174">
        <f t="shared" si="4"/>
        <v>202.99458990868885</v>
      </c>
      <c r="J25" s="174">
        <f t="shared" si="4"/>
        <v>157.28235326993092</v>
      </c>
      <c r="K25" s="174">
        <f t="shared" si="4"/>
        <v>165.67244115435676</v>
      </c>
      <c r="L25" s="174">
        <f t="shared" si="4"/>
        <v>169.14311585942173</v>
      </c>
      <c r="M25" s="174">
        <f t="shared" si="4"/>
        <v>429.8860113268193</v>
      </c>
      <c r="N25" s="174">
        <f t="shared" si="4"/>
        <v>537.07206211889752</v>
      </c>
      <c r="O25" s="174">
        <f t="shared" si="4"/>
        <v>714.52812011946082</v>
      </c>
      <c r="P25" s="173">
        <f>SUM(D25:O25)</f>
        <v>4922.1743843220465</v>
      </c>
    </row>
    <row r="26" spans="1:16" ht="15" customHeight="1">
      <c r="A26" s="141">
        <f t="shared" si="0"/>
        <v>19</v>
      </c>
      <c r="B26" s="139"/>
      <c r="C26" s="175"/>
      <c r="D26" s="141"/>
      <c r="E26" s="141"/>
      <c r="F26" s="141"/>
      <c r="G26" s="141"/>
      <c r="H26" s="139"/>
      <c r="I26" s="139"/>
      <c r="J26" s="139"/>
      <c r="K26" s="139"/>
      <c r="L26" s="139"/>
      <c r="M26" s="139"/>
      <c r="N26" s="139"/>
      <c r="O26" s="139"/>
      <c r="P26" s="173"/>
    </row>
    <row r="27" spans="1:16" ht="15" customHeight="1">
      <c r="A27" s="141">
        <f t="shared" si="0"/>
        <v>20</v>
      </c>
      <c r="B27" s="145" t="s">
        <v>140</v>
      </c>
      <c r="C27" s="141"/>
      <c r="D27" s="141"/>
      <c r="E27" s="141"/>
      <c r="F27" s="141"/>
      <c r="G27" s="141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6" ht="1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3">
    <mergeCell ref="A1:P1"/>
    <mergeCell ref="A2:P2"/>
    <mergeCell ref="A3:P3"/>
  </mergeCells>
  <pageMargins left="0.18" right="0.19" top="1" bottom="0.27" header="0.3" footer="0.3"/>
  <pageSetup scale="60" orientation="landscape" r:id="rId1"/>
  <headerFooter>
    <oddHeader>&amp;RExhibit No.___(PDE-10)</oddHeader>
    <oddFooter>&amp;RPage 3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D40"/>
  <sheetViews>
    <sheetView view="pageBreakPreview" zoomScale="115" zoomScaleNormal="100" zoomScaleSheetLayoutView="115" workbookViewId="0">
      <pane xSplit="3" ySplit="6" topLeftCell="D10" activePane="bottomRight" state="frozen"/>
      <selection activeCell="Q63" sqref="Q63"/>
      <selection pane="topRight" activeCell="Q63" sqref="Q63"/>
      <selection pane="bottomLeft" activeCell="Q63" sqref="Q63"/>
      <selection pane="bottomRight" activeCell="B34" sqref="B34"/>
    </sheetView>
  </sheetViews>
  <sheetFormatPr defaultColWidth="9.140625" defaultRowHeight="12.75"/>
  <cols>
    <col min="1" max="1" width="5" style="1" customWidth="1"/>
    <col min="2" max="2" width="42.140625" style="1" customWidth="1"/>
    <col min="3" max="3" width="12.42578125" style="1" bestFit="1" customWidth="1"/>
    <col min="4" max="14" width="14.7109375" style="1" customWidth="1"/>
    <col min="15" max="15" width="16.85546875" style="1" customWidth="1"/>
    <col min="16" max="17" width="6.28515625" style="1" hidden="1" customWidth="1"/>
    <col min="18" max="18" width="12.28515625" style="1" customWidth="1"/>
    <col min="19" max="16384" width="9.140625" style="1"/>
  </cols>
  <sheetData>
    <row r="1" spans="1:30" ht="15.75">
      <c r="A1" s="189" t="s">
        <v>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"/>
    </row>
    <row r="2" spans="1:30" ht="15.75">
      <c r="A2" s="189" t="s">
        <v>136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2"/>
    </row>
    <row r="3" spans="1:30" ht="15.75">
      <c r="A3" s="190" t="s">
        <v>172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2"/>
    </row>
    <row r="4" spans="1:30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2"/>
    </row>
    <row r="5" spans="1:30" ht="25.5" customHeight="1">
      <c r="A5" s="176" t="s">
        <v>19</v>
      </c>
      <c r="B5" s="177"/>
      <c r="C5" s="178" t="s">
        <v>18</v>
      </c>
      <c r="D5" s="179">
        <v>42005</v>
      </c>
      <c r="E5" s="179">
        <f t="shared" ref="E5:O5" si="0">EDATE(D5,1)</f>
        <v>42036</v>
      </c>
      <c r="F5" s="179">
        <f t="shared" si="0"/>
        <v>42064</v>
      </c>
      <c r="G5" s="179">
        <f t="shared" si="0"/>
        <v>42095</v>
      </c>
      <c r="H5" s="179">
        <f t="shared" si="0"/>
        <v>42125</v>
      </c>
      <c r="I5" s="179">
        <f t="shared" si="0"/>
        <v>42156</v>
      </c>
      <c r="J5" s="179">
        <f t="shared" si="0"/>
        <v>42186</v>
      </c>
      <c r="K5" s="179">
        <f t="shared" si="0"/>
        <v>42217</v>
      </c>
      <c r="L5" s="179">
        <f t="shared" si="0"/>
        <v>42248</v>
      </c>
      <c r="M5" s="179">
        <f t="shared" si="0"/>
        <v>42278</v>
      </c>
      <c r="N5" s="179">
        <f t="shared" si="0"/>
        <v>42309</v>
      </c>
      <c r="O5" s="179">
        <f t="shared" si="0"/>
        <v>42339</v>
      </c>
      <c r="P5" s="17" t="s">
        <v>17</v>
      </c>
      <c r="Q5" s="16"/>
      <c r="R5" s="16"/>
      <c r="S5" s="15"/>
      <c r="T5" s="15"/>
      <c r="U5" s="15"/>
    </row>
    <row r="6" spans="1:30">
      <c r="A6" s="141"/>
      <c r="B6" s="141" t="s">
        <v>16</v>
      </c>
      <c r="C6" s="141" t="s">
        <v>15</v>
      </c>
      <c r="D6" s="141" t="s">
        <v>14</v>
      </c>
      <c r="E6" s="141" t="s">
        <v>13</v>
      </c>
      <c r="F6" s="141" t="s">
        <v>12</v>
      </c>
      <c r="G6" s="141" t="s">
        <v>11</v>
      </c>
      <c r="H6" s="141" t="s">
        <v>10</v>
      </c>
      <c r="I6" s="141" t="s">
        <v>9</v>
      </c>
      <c r="J6" s="141" t="s">
        <v>8</v>
      </c>
      <c r="K6" s="141" t="s">
        <v>7</v>
      </c>
      <c r="L6" s="141" t="s">
        <v>6</v>
      </c>
      <c r="M6" s="141" t="s">
        <v>5</v>
      </c>
      <c r="N6" s="141" t="s">
        <v>4</v>
      </c>
      <c r="O6" s="141" t="s">
        <v>3</v>
      </c>
      <c r="P6" s="4" t="s">
        <v>2</v>
      </c>
    </row>
    <row r="7" spans="1:30">
      <c r="A7" s="141"/>
      <c r="B7" s="192" t="s">
        <v>173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6"/>
    </row>
    <row r="8" spans="1:30">
      <c r="A8" s="141">
        <v>1</v>
      </c>
      <c r="B8" s="139" t="s">
        <v>166</v>
      </c>
      <c r="C8" s="141" t="s">
        <v>165</v>
      </c>
      <c r="D8" s="180">
        <v>150000</v>
      </c>
      <c r="E8" s="180">
        <v>150125</v>
      </c>
      <c r="F8" s="180">
        <v>150250</v>
      </c>
      <c r="G8" s="180">
        <v>150375</v>
      </c>
      <c r="H8" s="180">
        <v>150500</v>
      </c>
      <c r="I8" s="180">
        <v>150625</v>
      </c>
      <c r="J8" s="180">
        <v>150750</v>
      </c>
      <c r="K8" s="180">
        <v>150875</v>
      </c>
      <c r="L8" s="180">
        <v>151000</v>
      </c>
      <c r="M8" s="180">
        <v>151125</v>
      </c>
      <c r="N8" s="180">
        <v>151250</v>
      </c>
      <c r="O8" s="180">
        <v>151375</v>
      </c>
      <c r="P8" s="14"/>
      <c r="Q8" s="10">
        <f>AVERAGE(D8:O8)</f>
        <v>150687.5</v>
      </c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>
      <c r="A9" s="141">
        <f t="shared" ref="A9:A38" si="1">A8+1</f>
        <v>2</v>
      </c>
      <c r="B9" s="139" t="s">
        <v>167</v>
      </c>
      <c r="C9" s="181" t="s">
        <v>168</v>
      </c>
      <c r="D9" s="182">
        <f>'PDE-10, Page 3'!D21</f>
        <v>45.777770718749814</v>
      </c>
      <c r="E9" s="182">
        <f>'PDE-10, Page 3'!E21</f>
        <v>39.825487082913462</v>
      </c>
      <c r="F9" s="182">
        <f>'PDE-10, Page 3'!F21</f>
        <v>31.168643808305784</v>
      </c>
      <c r="G9" s="182">
        <f>'PDE-10, Page 3'!G21</f>
        <v>19.573407702400669</v>
      </c>
      <c r="H9" s="182">
        <f>'PDE-10, Page 3'!H21</f>
        <v>11.225963028578086</v>
      </c>
      <c r="I9" s="182">
        <f>'PDE-10, Page 3'!I21</f>
        <v>6.5310543909340515</v>
      </c>
      <c r="J9" s="182">
        <f>'PDE-10, Page 3'!J21</f>
        <v>4.9493110006597139</v>
      </c>
      <c r="K9" s="182">
        <f>'PDE-10, Page 3'!K21</f>
        <v>4.5834493189297261</v>
      </c>
      <c r="L9" s="182">
        <f>'PDE-10, Page 3'!L21</f>
        <v>5.3522376126249842</v>
      </c>
      <c r="M9" s="182">
        <f>'PDE-10, Page 3'!M21</f>
        <v>16.263265697616387</v>
      </c>
      <c r="N9" s="182">
        <f>'PDE-10, Page 3'!N21</f>
        <v>32.380638725256382</v>
      </c>
      <c r="O9" s="182">
        <f>'PDE-10, Page 3'!O21</f>
        <v>46.530899121542525</v>
      </c>
      <c r="P9" s="3"/>
      <c r="Q9" s="13"/>
      <c r="R9" s="13"/>
    </row>
    <row r="10" spans="1:30">
      <c r="A10" s="141">
        <f t="shared" si="1"/>
        <v>3</v>
      </c>
      <c r="B10" s="139" t="s">
        <v>153</v>
      </c>
      <c r="C10" s="141" t="str">
        <f>"("&amp;A8&amp;") x ("&amp;A9&amp;")"</f>
        <v>(1) x (2)</v>
      </c>
      <c r="D10" s="183">
        <f t="shared" ref="D10:O10" si="2">D8*D9</f>
        <v>6866665.6078124717</v>
      </c>
      <c r="E10" s="183">
        <f t="shared" si="2"/>
        <v>5978801.2483223835</v>
      </c>
      <c r="F10" s="183">
        <f t="shared" si="2"/>
        <v>4683088.7321979441</v>
      </c>
      <c r="G10" s="183">
        <f t="shared" si="2"/>
        <v>2943351.1832485003</v>
      </c>
      <c r="H10" s="183">
        <f t="shared" si="2"/>
        <v>1689507.435801002</v>
      </c>
      <c r="I10" s="183">
        <f t="shared" si="2"/>
        <v>983740.06763444154</v>
      </c>
      <c r="J10" s="183">
        <f t="shared" si="2"/>
        <v>746108.63334945182</v>
      </c>
      <c r="K10" s="183">
        <f t="shared" si="2"/>
        <v>691527.91599352239</v>
      </c>
      <c r="L10" s="183">
        <f t="shared" si="2"/>
        <v>808187.87950637261</v>
      </c>
      <c r="M10" s="183">
        <f t="shared" si="2"/>
        <v>2457786.0285522765</v>
      </c>
      <c r="N10" s="183">
        <f t="shared" si="2"/>
        <v>4897571.6071950281</v>
      </c>
      <c r="O10" s="183">
        <f t="shared" si="2"/>
        <v>7043614.8545234995</v>
      </c>
      <c r="P10" s="5">
        <f>SUM(D10:O10)</f>
        <v>39789951.194136895</v>
      </c>
      <c r="Q10" s="7"/>
      <c r="R10" s="7"/>
    </row>
    <row r="11" spans="1:30">
      <c r="A11" s="141"/>
      <c r="B11" s="139"/>
      <c r="C11" s="14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6"/>
      <c r="Q11" s="12"/>
      <c r="R11" s="12"/>
    </row>
    <row r="12" spans="1:30">
      <c r="A12" s="141">
        <v>4</v>
      </c>
      <c r="B12" s="144" t="s">
        <v>169</v>
      </c>
      <c r="C12" s="141" t="s">
        <v>165</v>
      </c>
      <c r="D12" s="184">
        <v>9300000</v>
      </c>
      <c r="E12" s="184">
        <v>8000000</v>
      </c>
      <c r="F12" s="184">
        <v>6900000</v>
      </c>
      <c r="G12" s="184">
        <v>4800000</v>
      </c>
      <c r="H12" s="184">
        <v>3200000</v>
      </c>
      <c r="I12" s="184">
        <v>2600000</v>
      </c>
      <c r="J12" s="184">
        <v>2300000</v>
      </c>
      <c r="K12" s="184">
        <v>2200000</v>
      </c>
      <c r="L12" s="184">
        <v>2500000</v>
      </c>
      <c r="M12" s="184">
        <v>3800000</v>
      </c>
      <c r="N12" s="184">
        <v>6400000</v>
      </c>
      <c r="O12" s="184">
        <v>9100000</v>
      </c>
      <c r="P12" s="6"/>
      <c r="Q12" s="18">
        <f>SUM(D12:O12)</f>
        <v>61100000</v>
      </c>
      <c r="R12" s="10"/>
    </row>
    <row r="13" spans="1:30">
      <c r="A13" s="141">
        <v>5</v>
      </c>
      <c r="B13" s="139" t="s">
        <v>170</v>
      </c>
      <c r="C13" s="141" t="s">
        <v>165</v>
      </c>
      <c r="D13" s="184">
        <v>1800000</v>
      </c>
      <c r="E13" s="184">
        <v>1801500</v>
      </c>
      <c r="F13" s="184">
        <v>1803000</v>
      </c>
      <c r="G13" s="184">
        <v>1804500</v>
      </c>
      <c r="H13" s="184">
        <v>1806000</v>
      </c>
      <c r="I13" s="184">
        <v>1807500</v>
      </c>
      <c r="J13" s="184">
        <v>1809000</v>
      </c>
      <c r="K13" s="184">
        <v>1810500</v>
      </c>
      <c r="L13" s="184">
        <v>1812000</v>
      </c>
      <c r="M13" s="184">
        <v>1813500</v>
      </c>
      <c r="N13" s="184">
        <v>1815000</v>
      </c>
      <c r="O13" s="184">
        <v>1816500</v>
      </c>
      <c r="P13" s="9"/>
      <c r="Q13" s="116">
        <f>SUM(D13:O13)</f>
        <v>21699000</v>
      </c>
      <c r="R13" s="8"/>
    </row>
    <row r="14" spans="1:30">
      <c r="A14" s="141">
        <v>6</v>
      </c>
      <c r="B14" s="139" t="s">
        <v>171</v>
      </c>
      <c r="C14" s="141" t="str">
        <f>"("&amp;A12&amp;") - ("&amp;A13&amp;")"</f>
        <v>(4) - (5)</v>
      </c>
      <c r="D14" s="183">
        <f>D12-D13</f>
        <v>7500000</v>
      </c>
      <c r="E14" s="183">
        <f t="shared" ref="E14:O14" si="3">E12-E13</f>
        <v>6198500</v>
      </c>
      <c r="F14" s="183">
        <f t="shared" si="3"/>
        <v>5097000</v>
      </c>
      <c r="G14" s="183">
        <f t="shared" si="3"/>
        <v>2995500</v>
      </c>
      <c r="H14" s="183">
        <f t="shared" si="3"/>
        <v>1394000</v>
      </c>
      <c r="I14" s="183">
        <f t="shared" si="3"/>
        <v>792500</v>
      </c>
      <c r="J14" s="183">
        <f t="shared" si="3"/>
        <v>491000</v>
      </c>
      <c r="K14" s="183">
        <f t="shared" si="3"/>
        <v>389500</v>
      </c>
      <c r="L14" s="183">
        <f t="shared" si="3"/>
        <v>688000</v>
      </c>
      <c r="M14" s="183">
        <f t="shared" si="3"/>
        <v>1986500</v>
      </c>
      <c r="N14" s="183">
        <f t="shared" si="3"/>
        <v>4585000</v>
      </c>
      <c r="O14" s="183">
        <f t="shared" si="3"/>
        <v>7283500</v>
      </c>
      <c r="P14" s="5">
        <f>SUM(D14:O14)</f>
        <v>39401000</v>
      </c>
      <c r="Q14" s="7"/>
      <c r="R14" s="7"/>
    </row>
    <row r="15" spans="1:30">
      <c r="A15" s="141"/>
      <c r="B15" s="139"/>
      <c r="C15" s="141"/>
      <c r="D15" s="146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5"/>
    </row>
    <row r="16" spans="1:30">
      <c r="A16" s="141">
        <v>7</v>
      </c>
      <c r="B16" s="139" t="s">
        <v>175</v>
      </c>
      <c r="C16" s="141" t="str">
        <f>"("&amp;A$10&amp;") - ("&amp;A14&amp;")"</f>
        <v>(3) - (6)</v>
      </c>
      <c r="D16" s="183">
        <f t="shared" ref="D16:O16" si="4">D10-D14</f>
        <v>-633334.39218752831</v>
      </c>
      <c r="E16" s="183">
        <f t="shared" si="4"/>
        <v>-219698.7516776165</v>
      </c>
      <c r="F16" s="183">
        <f t="shared" si="4"/>
        <v>-413911.26780205593</v>
      </c>
      <c r="G16" s="183">
        <f t="shared" si="4"/>
        <v>-52148.81675149966</v>
      </c>
      <c r="H16" s="183">
        <f t="shared" si="4"/>
        <v>295507.43580100196</v>
      </c>
      <c r="I16" s="183">
        <f t="shared" si="4"/>
        <v>191240.06763444154</v>
      </c>
      <c r="J16" s="183">
        <f t="shared" si="4"/>
        <v>255108.63334945182</v>
      </c>
      <c r="K16" s="183">
        <f t="shared" si="4"/>
        <v>302027.91599352239</v>
      </c>
      <c r="L16" s="183">
        <f t="shared" si="4"/>
        <v>120187.87950637261</v>
      </c>
      <c r="M16" s="183">
        <f t="shared" si="4"/>
        <v>471286.02855227655</v>
      </c>
      <c r="N16" s="183">
        <f t="shared" si="4"/>
        <v>312571.6071950281</v>
      </c>
      <c r="O16" s="183">
        <f t="shared" si="4"/>
        <v>-239885.1454765005</v>
      </c>
      <c r="P16" s="5">
        <f>SUM(D16:O16)</f>
        <v>388951.19413689408</v>
      </c>
      <c r="Q16" s="7"/>
      <c r="R16" s="7"/>
    </row>
    <row r="17" spans="1:18">
      <c r="A17" s="141"/>
      <c r="B17" s="139"/>
      <c r="C17" s="14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5"/>
    </row>
    <row r="18" spans="1:18" s="118" customFormat="1">
      <c r="A18" s="141">
        <v>8</v>
      </c>
      <c r="B18" s="139" t="s">
        <v>1</v>
      </c>
      <c r="C18" s="185" t="s">
        <v>139</v>
      </c>
      <c r="D18" s="186">
        <f>D16/2*0.0325/12</f>
        <v>-857.64032275394459</v>
      </c>
      <c r="E18" s="186">
        <f>(D20+E16/2)*0.0325/12</f>
        <v>-2015.11214761212</v>
      </c>
      <c r="F18" s="186">
        <f t="shared" ref="F18:O18" si="5">(E20+F16/2)*0.0325/12</f>
        <v>-2878.583311057293</v>
      </c>
      <c r="G18" s="186">
        <f t="shared" si="5"/>
        <v>-3517.5025053576796</v>
      </c>
      <c r="H18" s="186">
        <f t="shared" si="5"/>
        <v>-3197.4809446801555</v>
      </c>
      <c r="I18" s="186">
        <f t="shared" si="5"/>
        <v>-2547.0035446698344</v>
      </c>
      <c r="J18" s="186">
        <f t="shared" si="5"/>
        <v>-1949.4711466876263</v>
      </c>
      <c r="K18" s="186">
        <f t="shared" si="5"/>
        <v>-1200.2952204746277</v>
      </c>
      <c r="L18" s="186">
        <f t="shared" si="5"/>
        <v>-631.79546362397195</v>
      </c>
      <c r="M18" s="186">
        <f t="shared" si="5"/>
        <v>167.44767415813385</v>
      </c>
      <c r="N18" s="186">
        <f t="shared" si="5"/>
        <v>1229.3750600167871</v>
      </c>
      <c r="O18" s="186">
        <f t="shared" si="5"/>
        <v>1331.1342010481719</v>
      </c>
      <c r="P18" s="117">
        <f>SUM(D18:O18)</f>
        <v>-16066.927671694164</v>
      </c>
      <c r="Q18" s="119"/>
      <c r="R18" s="119"/>
    </row>
    <row r="19" spans="1:18" ht="13.5" thickBot="1">
      <c r="A19" s="141"/>
      <c r="B19" s="139"/>
      <c r="C19" s="14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5"/>
    </row>
    <row r="20" spans="1:18" ht="13.5" thickBot="1">
      <c r="A20" s="141">
        <v>9</v>
      </c>
      <c r="B20" s="139" t="s">
        <v>0</v>
      </c>
      <c r="C20" s="141" t="str">
        <f>"Σ(("&amp;A$16&amp;") + ("&amp;A18&amp;"))"</f>
        <v>Σ((7) + (8))</v>
      </c>
      <c r="D20" s="183">
        <f>D16+D18</f>
        <v>-634192.03251028224</v>
      </c>
      <c r="E20" s="183">
        <f t="shared" ref="E20:O20" si="6">D20+E16+E18</f>
        <v>-855905.89633551089</v>
      </c>
      <c r="F20" s="183">
        <f t="shared" si="6"/>
        <v>-1272695.7474486241</v>
      </c>
      <c r="G20" s="183">
        <f t="shared" si="6"/>
        <v>-1328362.0667054814</v>
      </c>
      <c r="H20" s="183">
        <f t="shared" si="6"/>
        <v>-1036052.1118491596</v>
      </c>
      <c r="I20" s="183">
        <f t="shared" si="6"/>
        <v>-847359.04775938787</v>
      </c>
      <c r="J20" s="183">
        <f t="shared" si="6"/>
        <v>-594199.88555662369</v>
      </c>
      <c r="K20" s="183">
        <f t="shared" si="6"/>
        <v>-293372.26478357596</v>
      </c>
      <c r="L20" s="183">
        <f t="shared" si="6"/>
        <v>-173816.18074082732</v>
      </c>
      <c r="M20" s="183">
        <f t="shared" si="6"/>
        <v>297637.29548560735</v>
      </c>
      <c r="N20" s="183">
        <f t="shared" si="6"/>
        <v>611438.27774065221</v>
      </c>
      <c r="O20" s="187">
        <f t="shared" si="6"/>
        <v>372884.26646519988</v>
      </c>
      <c r="P20" s="5"/>
    </row>
    <row r="21" spans="1:18">
      <c r="A21" s="141"/>
      <c r="B21" s="139"/>
      <c r="C21" s="14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5"/>
    </row>
    <row r="22" spans="1:18">
      <c r="A22" s="141"/>
      <c r="B22" s="139"/>
      <c r="C22" s="141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5"/>
    </row>
    <row r="23" spans="1:18">
      <c r="A23" s="141"/>
      <c r="B23" s="139"/>
      <c r="C23" s="141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5"/>
    </row>
    <row r="24" spans="1:18">
      <c r="A24" s="141"/>
      <c r="B24" s="192" t="s">
        <v>174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10"/>
      <c r="Q24" s="107"/>
    </row>
    <row r="25" spans="1:18">
      <c r="A25" s="141">
        <v>10</v>
      </c>
      <c r="B25" s="139" t="s">
        <v>166</v>
      </c>
      <c r="C25" s="141" t="s">
        <v>165</v>
      </c>
      <c r="D25" s="180">
        <v>2550</v>
      </c>
      <c r="E25" s="180">
        <v>2550</v>
      </c>
      <c r="F25" s="180">
        <v>2550</v>
      </c>
      <c r="G25" s="180">
        <v>2550</v>
      </c>
      <c r="H25" s="180">
        <v>2550</v>
      </c>
      <c r="I25" s="180">
        <v>2550</v>
      </c>
      <c r="J25" s="180">
        <v>2550</v>
      </c>
      <c r="K25" s="180">
        <v>2550</v>
      </c>
      <c r="L25" s="180">
        <v>2550</v>
      </c>
      <c r="M25" s="180">
        <v>2550</v>
      </c>
      <c r="N25" s="180">
        <v>2550</v>
      </c>
      <c r="O25" s="180">
        <v>2550</v>
      </c>
      <c r="P25" s="115"/>
      <c r="Q25" s="112">
        <f>AVERAGE(D25:O25)</f>
        <v>2550</v>
      </c>
    </row>
    <row r="26" spans="1:18">
      <c r="A26" s="141">
        <f t="shared" si="1"/>
        <v>11</v>
      </c>
      <c r="B26" s="139" t="s">
        <v>167</v>
      </c>
      <c r="C26" s="181" t="s">
        <v>79</v>
      </c>
      <c r="D26" s="182">
        <f>'PDE-10, Page 3'!D25</f>
        <v>707.45434131516026</v>
      </c>
      <c r="E26" s="182">
        <f>'PDE-10, Page 3'!E25</f>
        <v>631.73428113389218</v>
      </c>
      <c r="F26" s="182">
        <f>'PDE-10, Page 3'!F25</f>
        <v>553.9821904076806</v>
      </c>
      <c r="G26" s="182">
        <f>'PDE-10, Page 3'!G25</f>
        <v>393.82589223853876</v>
      </c>
      <c r="H26" s="182">
        <f>'PDE-10, Page 3'!H25</f>
        <v>258.59898546919851</v>
      </c>
      <c r="I26" s="182">
        <f>'PDE-10, Page 3'!I25</f>
        <v>202.99458990868885</v>
      </c>
      <c r="J26" s="182">
        <f>'PDE-10, Page 3'!J25</f>
        <v>157.28235326993092</v>
      </c>
      <c r="K26" s="182">
        <f>'PDE-10, Page 3'!K25</f>
        <v>165.67244115435676</v>
      </c>
      <c r="L26" s="182">
        <f>'PDE-10, Page 3'!L25</f>
        <v>169.14311585942173</v>
      </c>
      <c r="M26" s="182">
        <f>'PDE-10, Page 3'!M25</f>
        <v>429.8860113268193</v>
      </c>
      <c r="N26" s="182">
        <f>'PDE-10, Page 3'!N25</f>
        <v>537.07206211889752</v>
      </c>
      <c r="O26" s="182">
        <f>'PDE-10, Page 3'!O25</f>
        <v>714.52812011946082</v>
      </c>
      <c r="P26" s="108"/>
      <c r="Q26" s="114"/>
    </row>
    <row r="27" spans="1:18">
      <c r="A27" s="141">
        <f t="shared" si="1"/>
        <v>12</v>
      </c>
      <c r="B27" s="139" t="s">
        <v>153</v>
      </c>
      <c r="C27" s="141" t="str">
        <f>"("&amp;A25&amp;") x ("&amp;A26&amp;")"</f>
        <v>(10) x (11)</v>
      </c>
      <c r="D27" s="183">
        <f t="shared" ref="D27:O27" si="7">D25*D26</f>
        <v>1804008.5703536586</v>
      </c>
      <c r="E27" s="183">
        <f t="shared" si="7"/>
        <v>1610922.4168914251</v>
      </c>
      <c r="F27" s="183">
        <f t="shared" si="7"/>
        <v>1412654.5855395854</v>
      </c>
      <c r="G27" s="183">
        <f t="shared" si="7"/>
        <v>1004256.0252082738</v>
      </c>
      <c r="H27" s="183">
        <f t="shared" si="7"/>
        <v>659427.41294645623</v>
      </c>
      <c r="I27" s="183">
        <f t="shared" si="7"/>
        <v>517636.20426715654</v>
      </c>
      <c r="J27" s="183">
        <f t="shared" si="7"/>
        <v>401070.00083832385</v>
      </c>
      <c r="K27" s="183">
        <f t="shared" si="7"/>
        <v>422464.72494360973</v>
      </c>
      <c r="L27" s="183">
        <f t="shared" si="7"/>
        <v>431314.94544152543</v>
      </c>
      <c r="M27" s="183">
        <f t="shared" si="7"/>
        <v>1096209.3288833892</v>
      </c>
      <c r="N27" s="183">
        <f t="shared" si="7"/>
        <v>1369533.7584031888</v>
      </c>
      <c r="O27" s="183">
        <f t="shared" si="7"/>
        <v>1822046.7063046251</v>
      </c>
      <c r="P27" s="109">
        <f>SUM(D27:O27)</f>
        <v>12551544.680021219</v>
      </c>
      <c r="Q27" s="111"/>
    </row>
    <row r="28" spans="1:18">
      <c r="A28" s="141"/>
      <c r="B28" s="139"/>
      <c r="C28" s="14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10"/>
      <c r="Q28" s="113"/>
    </row>
    <row r="29" spans="1:18">
      <c r="A29" s="141">
        <v>13</v>
      </c>
      <c r="B29" s="144" t="s">
        <v>169</v>
      </c>
      <c r="C29" s="141" t="s">
        <v>165</v>
      </c>
      <c r="D29" s="184">
        <v>1888000</v>
      </c>
      <c r="E29" s="184">
        <v>1770000</v>
      </c>
      <c r="F29" s="184">
        <v>1534000</v>
      </c>
      <c r="G29" s="184">
        <v>1180000</v>
      </c>
      <c r="H29" s="184">
        <v>826000</v>
      </c>
      <c r="I29" s="184">
        <v>708000</v>
      </c>
      <c r="J29" s="184">
        <v>590000</v>
      </c>
      <c r="K29" s="184">
        <v>590000</v>
      </c>
      <c r="L29" s="184">
        <v>708000</v>
      </c>
      <c r="M29" s="184">
        <v>1298000</v>
      </c>
      <c r="N29" s="184">
        <v>1770000</v>
      </c>
      <c r="O29" s="184">
        <v>2124000</v>
      </c>
      <c r="P29" s="110"/>
      <c r="Q29" s="116">
        <f>SUM(D29:O29)</f>
        <v>14986000</v>
      </c>
    </row>
    <row r="30" spans="1:18">
      <c r="A30" s="141">
        <f t="shared" si="1"/>
        <v>14</v>
      </c>
      <c r="B30" s="139" t="s">
        <v>170</v>
      </c>
      <c r="C30" s="141" t="s">
        <v>165</v>
      </c>
      <c r="D30" s="184">
        <v>221799</v>
      </c>
      <c r="E30" s="184">
        <v>221799</v>
      </c>
      <c r="F30" s="184">
        <v>221799</v>
      </c>
      <c r="G30" s="184">
        <v>221799</v>
      </c>
      <c r="H30" s="184">
        <v>221799</v>
      </c>
      <c r="I30" s="184">
        <v>221799</v>
      </c>
      <c r="J30" s="184">
        <v>221799</v>
      </c>
      <c r="K30" s="184">
        <v>221799</v>
      </c>
      <c r="L30" s="184">
        <v>221799</v>
      </c>
      <c r="M30" s="184">
        <v>221799</v>
      </c>
      <c r="N30" s="184">
        <v>221799</v>
      </c>
      <c r="O30" s="184">
        <v>221799</v>
      </c>
      <c r="P30" s="105">
        <f t="shared" ref="P30:Q30" si="8">86.98*P25</f>
        <v>0</v>
      </c>
      <c r="Q30" s="105">
        <f t="shared" si="8"/>
        <v>221799</v>
      </c>
    </row>
    <row r="31" spans="1:18">
      <c r="A31" s="141">
        <f t="shared" si="1"/>
        <v>15</v>
      </c>
      <c r="B31" s="139" t="s">
        <v>171</v>
      </c>
      <c r="C31" s="141" t="str">
        <f>"("&amp;A29&amp;") - ("&amp;A30&amp;")"</f>
        <v>(13) - (14)</v>
      </c>
      <c r="D31" s="183">
        <f t="shared" ref="D31:O31" si="9">D29-D30</f>
        <v>1666201</v>
      </c>
      <c r="E31" s="183">
        <f t="shared" si="9"/>
        <v>1548201</v>
      </c>
      <c r="F31" s="183">
        <f t="shared" si="9"/>
        <v>1312201</v>
      </c>
      <c r="G31" s="183">
        <f t="shared" si="9"/>
        <v>958201</v>
      </c>
      <c r="H31" s="183">
        <f t="shared" si="9"/>
        <v>604201</v>
      </c>
      <c r="I31" s="183">
        <f t="shared" si="9"/>
        <v>486201</v>
      </c>
      <c r="J31" s="183">
        <f t="shared" si="9"/>
        <v>368201</v>
      </c>
      <c r="K31" s="183">
        <f t="shared" si="9"/>
        <v>368201</v>
      </c>
      <c r="L31" s="183">
        <f t="shared" si="9"/>
        <v>486201</v>
      </c>
      <c r="M31" s="183">
        <f t="shared" si="9"/>
        <v>1076201</v>
      </c>
      <c r="N31" s="183">
        <f t="shared" si="9"/>
        <v>1548201</v>
      </c>
      <c r="O31" s="183">
        <f t="shared" si="9"/>
        <v>1902201</v>
      </c>
      <c r="P31" s="109">
        <f>SUM(D31:O31)</f>
        <v>12324412</v>
      </c>
      <c r="Q31" s="111"/>
    </row>
    <row r="32" spans="1:18" s="118" customFormat="1">
      <c r="A32" s="141"/>
      <c r="B32" s="139"/>
      <c r="C32" s="141"/>
      <c r="D32" s="146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09"/>
      <c r="Q32" s="107"/>
    </row>
    <row r="33" spans="1:17">
      <c r="A33" s="141">
        <v>16</v>
      </c>
      <c r="B33" s="139" t="s">
        <v>175</v>
      </c>
      <c r="C33" s="141" t="str">
        <f>"("&amp;A27&amp;") - ("&amp;A31&amp;")"</f>
        <v>(12) - (15)</v>
      </c>
      <c r="D33" s="183">
        <f t="shared" ref="D33:O33" si="10">D27-D31</f>
        <v>137807.57035365864</v>
      </c>
      <c r="E33" s="183">
        <f t="shared" si="10"/>
        <v>62721.41689142515</v>
      </c>
      <c r="F33" s="183">
        <f t="shared" si="10"/>
        <v>100453.58553958545</v>
      </c>
      <c r="G33" s="183">
        <f t="shared" si="10"/>
        <v>46055.025208273786</v>
      </c>
      <c r="H33" s="183">
        <f t="shared" si="10"/>
        <v>55226.412946456228</v>
      </c>
      <c r="I33" s="183">
        <f t="shared" si="10"/>
        <v>31435.204267156543</v>
      </c>
      <c r="J33" s="183">
        <f t="shared" si="10"/>
        <v>32869.000838323846</v>
      </c>
      <c r="K33" s="183">
        <f t="shared" si="10"/>
        <v>54263.724943609734</v>
      </c>
      <c r="L33" s="183">
        <f t="shared" si="10"/>
        <v>-54886.054558474571</v>
      </c>
      <c r="M33" s="183">
        <f t="shared" si="10"/>
        <v>20008.328883389244</v>
      </c>
      <c r="N33" s="183">
        <f t="shared" si="10"/>
        <v>-178667.24159681122</v>
      </c>
      <c r="O33" s="183">
        <f t="shared" si="10"/>
        <v>-80154.293695374858</v>
      </c>
      <c r="P33" s="109">
        <f>SUM(D33:O33)</f>
        <v>227132.68002121797</v>
      </c>
      <c r="Q33" s="111"/>
    </row>
    <row r="34" spans="1:17">
      <c r="A34" s="141"/>
      <c r="B34" s="139"/>
      <c r="C34" s="14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09"/>
      <c r="Q34" s="107"/>
    </row>
    <row r="35" spans="1:17">
      <c r="A35" s="141">
        <v>17</v>
      </c>
      <c r="B35" s="139" t="s">
        <v>1</v>
      </c>
      <c r="C35" s="141" t="s">
        <v>139</v>
      </c>
      <c r="D35" s="191">
        <f>D33/2*0.0325/12</f>
        <v>186.61441818724609</v>
      </c>
      <c r="E35" s="191">
        <f>(D37+E33/2)*0.0325/12</f>
        <v>458.66950246422084</v>
      </c>
      <c r="F35" s="191">
        <f t="shared" ref="F35:O35" si="11">(E37+F33/2)*0.0325/12</f>
        <v>680.87788149205494</v>
      </c>
      <c r="G35" s="191">
        <f t="shared" si="11"/>
        <v>881.11900280882185</v>
      </c>
      <c r="H35" s="191">
        <f t="shared" si="11"/>
        <v>1020.6573142759594</v>
      </c>
      <c r="I35" s="191">
        <f t="shared" si="11"/>
        <v>1140.7758678122241</v>
      </c>
      <c r="J35" s="191">
        <f t="shared" si="11"/>
        <v>1230.9440802012202</v>
      </c>
      <c r="K35" s="191">
        <f t="shared" si="11"/>
        <v>1352.2701199148003</v>
      </c>
      <c r="L35" s="191">
        <f t="shared" si="11"/>
        <v>1355.0897801361066</v>
      </c>
      <c r="M35" s="191">
        <f t="shared" si="11"/>
        <v>1311.529561438964</v>
      </c>
      <c r="N35" s="191">
        <f t="shared" si="11"/>
        <v>1100.2310097017687</v>
      </c>
      <c r="O35" s="191">
        <f t="shared" si="11"/>
        <v>752.72330631154261</v>
      </c>
      <c r="P35" s="117">
        <f>SUM(D35:O35)</f>
        <v>11471.501844744929</v>
      </c>
      <c r="Q35" s="119"/>
    </row>
    <row r="36" spans="1:17" ht="13.5" thickBot="1">
      <c r="A36" s="141"/>
      <c r="B36" s="139"/>
      <c r="C36" s="14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09"/>
      <c r="Q36" s="107"/>
    </row>
    <row r="37" spans="1:17" ht="13.5" thickBot="1">
      <c r="A37" s="141">
        <v>18</v>
      </c>
      <c r="B37" s="139" t="s">
        <v>0</v>
      </c>
      <c r="C37" s="141" t="str">
        <f>"Σ(("&amp;A33&amp;") + ("&amp;A35&amp;"))"</f>
        <v>Σ((16) + (17))</v>
      </c>
      <c r="D37" s="183">
        <f>D33+D35</f>
        <v>137994.18477184587</v>
      </c>
      <c r="E37" s="183">
        <f t="shared" ref="E37:O37" si="12">D37+E33+E35</f>
        <v>201174.27116573523</v>
      </c>
      <c r="F37" s="183">
        <f t="shared" si="12"/>
        <v>302308.73458681273</v>
      </c>
      <c r="G37" s="183">
        <f t="shared" si="12"/>
        <v>349244.87879789533</v>
      </c>
      <c r="H37" s="183">
        <f t="shared" si="12"/>
        <v>405491.94905862754</v>
      </c>
      <c r="I37" s="183">
        <f t="shared" si="12"/>
        <v>438067.9291935963</v>
      </c>
      <c r="J37" s="183">
        <f t="shared" si="12"/>
        <v>472167.87411212135</v>
      </c>
      <c r="K37" s="183">
        <f t="shared" si="12"/>
        <v>527783.86917564587</v>
      </c>
      <c r="L37" s="183">
        <f t="shared" si="12"/>
        <v>474252.90439730743</v>
      </c>
      <c r="M37" s="183">
        <f t="shared" si="12"/>
        <v>495572.76284213562</v>
      </c>
      <c r="N37" s="183">
        <f t="shared" si="12"/>
        <v>318005.75225502619</v>
      </c>
      <c r="O37" s="187">
        <f t="shared" si="12"/>
        <v>238604.18186596289</v>
      </c>
      <c r="P37" s="109"/>
      <c r="Q37" s="107"/>
    </row>
    <row r="38" spans="1:17">
      <c r="A38" s="141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7">
      <c r="A39" s="141"/>
      <c r="B39" s="139"/>
      <c r="C39" s="141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09"/>
      <c r="Q39" s="107"/>
    </row>
    <row r="40" spans="1:17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</row>
  </sheetData>
  <mergeCells count="3">
    <mergeCell ref="A1:O1"/>
    <mergeCell ref="A2:O2"/>
    <mergeCell ref="A3:O3"/>
  </mergeCells>
  <printOptions horizontalCentered="1"/>
  <pageMargins left="0" right="0" top="0.75" bottom="0.75" header="0.3" footer="0.3"/>
  <pageSetup scale="55" orientation="landscape" blackAndWhite="1" r:id="rId1"/>
  <headerFooter alignWithMargins="0">
    <oddHeader>&amp;RExhibit No.___(PDE-10)</oddHeader>
    <oddFooter>&amp;RPage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E4172E-91FD-4B53-94CE-409F7FBB6EC9}"/>
</file>

<file path=customXml/itemProps2.xml><?xml version="1.0" encoding="utf-8"?>
<ds:datastoreItem xmlns:ds="http://schemas.openxmlformats.org/officeDocument/2006/customXml" ds:itemID="{7CD98A0B-8195-4261-A041-EE3ED7B2CFC3}"/>
</file>

<file path=customXml/itemProps3.xml><?xml version="1.0" encoding="utf-8"?>
<ds:datastoreItem xmlns:ds="http://schemas.openxmlformats.org/officeDocument/2006/customXml" ds:itemID="{188FF4B6-97FF-46D4-97F8-1F2759CF0907}"/>
</file>

<file path=customXml/itemProps4.xml><?xml version="1.0" encoding="utf-8"?>
<ds:datastoreItem xmlns:ds="http://schemas.openxmlformats.org/officeDocument/2006/customXml" ds:itemID="{B3956AE4-9685-4646-AE84-D79F52DF8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Embedded PGA</vt:lpstr>
      <vt:lpstr>PDE-10, Page 1</vt:lpstr>
      <vt:lpstr>PDE-10, Page 2</vt:lpstr>
      <vt:lpstr>PDE-10, Page 3</vt:lpstr>
      <vt:lpstr>PDE-10, Page 4</vt:lpstr>
      <vt:lpstr>'Embedded PGA'!Print_Area</vt:lpstr>
      <vt:lpstr>'PDE-10, Page 2'!Print_Area</vt:lpstr>
      <vt:lpstr>'PDE-10, Page 4'!Print_Area</vt:lpstr>
      <vt:lpstr>'PDE-10, Page 4'!Print_Titles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Patrick Ehrbar</cp:lastModifiedBy>
  <cp:lastPrinted>2014-01-21T22:22:17Z</cp:lastPrinted>
  <dcterms:created xsi:type="dcterms:W3CDTF">2013-02-28T17:31:50Z</dcterms:created>
  <dcterms:modified xsi:type="dcterms:W3CDTF">2014-01-22T00:21:16Z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