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tg.wa.lcl\atg\DIV\PCC\ACTIVE\Cases\UE\UE_UG_190529_30_PSE_2019_GRC\1_Filings\Testimony_Direct_Response\PC\01 Drafts\Garrett\Exhibits\working copies\"/>
    </mc:Choice>
  </mc:AlternateContent>
  <bookViews>
    <workbookView xWindow="-105" yWindow="-105" windowWidth="23250" windowHeight="12600" tabRatio="991"/>
  </bookViews>
  <sheets>
    <sheet name="RevReq" sheetId="1" r:id="rId1"/>
    <sheet name="Adj.Summary" sheetId="12" r:id="rId2"/>
    <sheet name="Wage Increase" sheetId="18" r:id="rId3"/>
    <sheet name="Incentives" sheetId="14" r:id="rId4"/>
    <sheet name="Plant Update" sheetId="8" r:id="rId5"/>
    <sheet name="Interim Protected EDIT" sheetId="6" r:id="rId6"/>
    <sheet name="AMI" sheetId="4" r:id="rId7"/>
    <sheet name="Tax Benefit of Interest" sheetId="15" r:id="rId8"/>
    <sheet name="Cost of Capital" sheetId="13" r:id="rId9"/>
    <sheet name="Power Cost" sheetId="19" r:id="rId10"/>
    <sheet name="WP-1 AMI " sheetId="17" r:id="rId11"/>
    <sheet name="WP-2 GTZ " sheetId="20" r:id="rId12"/>
    <sheet name="WP-3 AMA Update" sheetId="16" r:id="rId13"/>
  </sheets>
  <definedNames>
    <definedName name="_xlnm.Print_Area" localSheetId="1">Adj.Summary!$A$1:$W$78</definedName>
    <definedName name="_xlnm.Print_Area" localSheetId="6">AMI!$A$1:$H$100</definedName>
    <definedName name="_xlnm.Print_Area" localSheetId="8">'Cost of Capital'!$A$1:$I$41</definedName>
    <definedName name="_xlnm.Print_Area" localSheetId="3">Incentives!$A$1:$F$30</definedName>
    <definedName name="_xlnm.Print_Area" localSheetId="5">'Interim Protected EDIT'!$A$1:$F$45</definedName>
    <definedName name="_xlnm.Print_Area" localSheetId="4">'Plant Update'!$A$1:$F$31</definedName>
    <definedName name="_xlnm.Print_Area" localSheetId="9">'Power Cost'!$A$1:$F$25</definedName>
    <definedName name="_xlnm.Print_Area" localSheetId="0">RevReq!$A$1:$G$37</definedName>
    <definedName name="_xlnm.Print_Area" localSheetId="7">'Tax Benefit of Interest'!$A$1:$F$24</definedName>
    <definedName name="_xlnm.Print_Area" localSheetId="2">'Wage Increase'!$A$1:$F$31</definedName>
    <definedName name="_xlnm.Print_Area" localSheetId="10">'WP-1 AMI '!$A$1:$M$75</definedName>
    <definedName name="_xlnm.Print_Area" localSheetId="11">'WP-2 GTZ '!$A$1:$H$66</definedName>
    <definedName name="_xlnm.Print_Area" localSheetId="12">'WP-3 AMA Update'!$A$1:$K$59</definedName>
  </definedName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3" i="20" l="1"/>
  <c r="D63" i="20"/>
  <c r="B63" i="20"/>
  <c r="H61" i="20"/>
  <c r="H63" i="20"/>
  <c r="F61" i="20"/>
  <c r="F65" i="20"/>
  <c r="D28" i="20"/>
  <c r="D61" i="20"/>
  <c r="D65" i="20"/>
  <c r="D27" i="20"/>
  <c r="B61" i="20"/>
  <c r="B65" i="20"/>
  <c r="D26" i="20"/>
  <c r="D29" i="20"/>
  <c r="F35" i="20"/>
  <c r="F36" i="20"/>
  <c r="F34" i="20"/>
  <c r="F29" i="20"/>
  <c r="F31" i="20"/>
  <c r="F17" i="20"/>
  <c r="F12" i="20"/>
  <c r="F14" i="20"/>
  <c r="D11" i="20"/>
  <c r="D10" i="20"/>
  <c r="D9" i="20"/>
  <c r="D12" i="20"/>
  <c r="F18" i="20"/>
  <c r="F19" i="20"/>
  <c r="F21" i="20"/>
  <c r="D14" i="20"/>
  <c r="D18" i="20"/>
  <c r="D19" i="20"/>
  <c r="D35" i="20"/>
  <c r="D36" i="20"/>
  <c r="D31" i="20"/>
  <c r="D38" i="20"/>
  <c r="F38" i="20"/>
  <c r="H65" i="20"/>
  <c r="D21" i="20"/>
  <c r="L61" i="17"/>
  <c r="D61" i="17"/>
  <c r="F60" i="17"/>
  <c r="L53" i="17"/>
  <c r="D53" i="17"/>
  <c r="L52" i="17"/>
  <c r="F52" i="17"/>
  <c r="L51" i="17"/>
  <c r="L55" i="17"/>
  <c r="F51" i="17"/>
  <c r="L50" i="17"/>
  <c r="F50" i="17"/>
  <c r="F42" i="17"/>
  <c r="H42" i="17"/>
  <c r="J42" i="17"/>
  <c r="L41" i="17"/>
  <c r="D41" i="17"/>
  <c r="L38" i="17"/>
  <c r="L36" i="17"/>
  <c r="L43" i="17"/>
  <c r="F34" i="17"/>
  <c r="F36" i="17"/>
  <c r="F38" i="17"/>
  <c r="D33" i="17"/>
  <c r="D32" i="17"/>
  <c r="D31" i="17"/>
  <c r="H31" i="17"/>
  <c r="F23" i="17"/>
  <c r="F61" i="17"/>
  <c r="L22" i="17"/>
  <c r="D22" i="17"/>
  <c r="H22" i="17"/>
  <c r="L17" i="17"/>
  <c r="L19" i="17"/>
  <c r="F15" i="17"/>
  <c r="F17" i="17"/>
  <c r="D14" i="17"/>
  <c r="H14" i="17"/>
  <c r="J14" i="17"/>
  <c r="D13" i="17"/>
  <c r="D12" i="17"/>
  <c r="D52" i="17"/>
  <c r="H34" i="17"/>
  <c r="J34" i="17"/>
  <c r="D17" i="17"/>
  <c r="D36" i="17"/>
  <c r="H52" i="17"/>
  <c r="D60" i="17"/>
  <c r="H60" i="17"/>
  <c r="H12" i="17"/>
  <c r="D51" i="17"/>
  <c r="H51" i="17"/>
  <c r="J51" i="17"/>
  <c r="L24" i="17"/>
  <c r="L25" i="17"/>
  <c r="L27" i="17"/>
  <c r="L57" i="17"/>
  <c r="L62" i="17"/>
  <c r="D38" i="17"/>
  <c r="D43" i="17"/>
  <c r="D44" i="17"/>
  <c r="J52" i="17"/>
  <c r="F55" i="17"/>
  <c r="F24" i="17"/>
  <c r="F25" i="17"/>
  <c r="F19" i="17"/>
  <c r="D24" i="17"/>
  <c r="D19" i="17"/>
  <c r="H61" i="17"/>
  <c r="J61" i="17"/>
  <c r="J31" i="17"/>
  <c r="L44" i="17"/>
  <c r="L46" i="17"/>
  <c r="J12" i="17"/>
  <c r="J22" i="17"/>
  <c r="H32" i="17"/>
  <c r="J32" i="17"/>
  <c r="D50" i="17"/>
  <c r="F53" i="17"/>
  <c r="H53" i="17"/>
  <c r="J53" i="17"/>
  <c r="H15" i="17"/>
  <c r="J15" i="17"/>
  <c r="H23" i="17"/>
  <c r="J23" i="17"/>
  <c r="H33" i="17"/>
  <c r="J33" i="17"/>
  <c r="H41" i="17"/>
  <c r="L60" i="17"/>
  <c r="H13" i="17"/>
  <c r="J13" i="17"/>
  <c r="F43" i="17"/>
  <c r="F44" i="17"/>
  <c r="F46" i="17"/>
  <c r="F27" i="17"/>
  <c r="H50" i="17"/>
  <c r="D55" i="17"/>
  <c r="H36" i="17"/>
  <c r="H38" i="17"/>
  <c r="D46" i="17"/>
  <c r="F62" i="17"/>
  <c r="F63" i="17"/>
  <c r="F57" i="17"/>
  <c r="D25" i="17"/>
  <c r="D27" i="17"/>
  <c r="H24" i="17"/>
  <c r="J36" i="17"/>
  <c r="J38" i="17"/>
  <c r="J41" i="17"/>
  <c r="J17" i="17"/>
  <c r="J19" i="17"/>
  <c r="H43" i="17"/>
  <c r="J43" i="17"/>
  <c r="L63" i="17"/>
  <c r="L65" i="17"/>
  <c r="J60" i="17"/>
  <c r="H17" i="17"/>
  <c r="H19" i="17"/>
  <c r="H44" i="17"/>
  <c r="H46" i="17"/>
  <c r="F65" i="17"/>
  <c r="D62" i="17"/>
  <c r="D57" i="17"/>
  <c r="H27" i="17"/>
  <c r="J44" i="17"/>
  <c r="J46" i="17"/>
  <c r="H55" i="17"/>
  <c r="H57" i="17"/>
  <c r="J50" i="17"/>
  <c r="J55" i="17"/>
  <c r="J57" i="17"/>
  <c r="J24" i="17"/>
  <c r="J25" i="17"/>
  <c r="J27" i="17"/>
  <c r="H25" i="17"/>
  <c r="H62" i="17"/>
  <c r="D63" i="17"/>
  <c r="D65" i="17"/>
  <c r="H63" i="17"/>
  <c r="H65" i="17"/>
  <c r="J62" i="17"/>
  <c r="J63" i="17"/>
  <c r="J65" i="17"/>
  <c r="F58" i="16"/>
  <c r="E58" i="16"/>
  <c r="K56" i="16"/>
  <c r="G56" i="16"/>
  <c r="K55" i="16"/>
  <c r="G55" i="16"/>
  <c r="K54" i="16"/>
  <c r="G54" i="16"/>
  <c r="K53" i="16"/>
  <c r="G53" i="16"/>
  <c r="K52" i="16"/>
  <c r="G52" i="16"/>
  <c r="K51" i="16"/>
  <c r="G51" i="16"/>
  <c r="K50" i="16"/>
  <c r="G50" i="16"/>
  <c r="K49" i="16"/>
  <c r="G49" i="16"/>
  <c r="K48" i="16"/>
  <c r="G48" i="16"/>
  <c r="K47" i="16"/>
  <c r="G47" i="16"/>
  <c r="K46" i="16"/>
  <c r="G46" i="16"/>
  <c r="K45" i="16"/>
  <c r="G45" i="16"/>
  <c r="K44" i="16"/>
  <c r="G44" i="16"/>
  <c r="K43" i="16"/>
  <c r="G43" i="16"/>
  <c r="K42" i="16"/>
  <c r="G42" i="16"/>
  <c r="K41" i="16"/>
  <c r="G41" i="16"/>
  <c r="K40" i="16"/>
  <c r="G40" i="16"/>
  <c r="K39" i="16"/>
  <c r="G39" i="16"/>
  <c r="F100" i="4"/>
  <c r="D100" i="4"/>
  <c r="F95" i="4"/>
  <c r="D95" i="4"/>
  <c r="F76" i="4"/>
  <c r="D76" i="4"/>
  <c r="F57" i="4"/>
  <c r="D57" i="4"/>
  <c r="G58" i="16"/>
  <c r="K58" i="16"/>
  <c r="G59" i="16"/>
  <c r="K59" i="16"/>
  <c r="G16" i="16"/>
  <c r="I15" i="16"/>
  <c r="I14" i="16"/>
  <c r="I13" i="16"/>
  <c r="O60" i="12"/>
  <c r="K60" i="12"/>
  <c r="D13" i="19"/>
  <c r="F15" i="19"/>
  <c r="D15" i="19"/>
  <c r="D17" i="19"/>
  <c r="D19" i="19"/>
  <c r="F17" i="19"/>
  <c r="F19" i="19"/>
  <c r="G37" i="13"/>
  <c r="G33" i="13"/>
  <c r="G31" i="13"/>
  <c r="E35" i="13"/>
  <c r="G35" i="13"/>
  <c r="F25" i="6"/>
  <c r="K44" i="12"/>
  <c r="K45" i="12"/>
  <c r="D20" i="18"/>
  <c r="D23" i="18"/>
  <c r="D25" i="18"/>
  <c r="D26" i="18"/>
  <c r="D27" i="18"/>
  <c r="O47" i="12"/>
  <c r="K47" i="12"/>
  <c r="D33" i="6"/>
  <c r="D32" i="6"/>
  <c r="D31" i="6"/>
  <c r="F15" i="15"/>
  <c r="F17" i="15"/>
  <c r="F21" i="15"/>
  <c r="F23" i="15"/>
  <c r="M66" i="12"/>
  <c r="L66" i="12"/>
  <c r="K66" i="12"/>
  <c r="M65" i="12"/>
  <c r="L65" i="12"/>
  <c r="K65" i="12"/>
  <c r="M59" i="12"/>
  <c r="L59" i="12"/>
  <c r="K59" i="12"/>
  <c r="M57" i="12"/>
  <c r="L57" i="12"/>
  <c r="K57" i="12"/>
  <c r="D39" i="6"/>
  <c r="D38" i="6"/>
  <c r="D36" i="6"/>
  <c r="D35" i="6"/>
  <c r="D34" i="6"/>
  <c r="D40" i="6"/>
  <c r="D41" i="6"/>
  <c r="D42" i="6"/>
  <c r="D43" i="6"/>
  <c r="F25" i="8"/>
  <c r="F22" i="8"/>
  <c r="F26" i="8"/>
  <c r="F19" i="8"/>
  <c r="E16" i="16"/>
  <c r="D45" i="6"/>
  <c r="F23" i="8"/>
  <c r="F27" i="8"/>
  <c r="E21" i="16"/>
  <c r="E22" i="16"/>
  <c r="D27" i="4"/>
  <c r="D13" i="4"/>
  <c r="D13" i="8"/>
  <c r="D12" i="4"/>
  <c r="G21" i="16"/>
  <c r="G22" i="16"/>
  <c r="I20" i="16"/>
  <c r="D14" i="4"/>
  <c r="D14" i="8"/>
  <c r="D21" i="8"/>
  <c r="I21" i="16"/>
  <c r="I22" i="16"/>
  <c r="D16" i="8"/>
  <c r="I16" i="16"/>
  <c r="D19" i="8"/>
  <c r="Q30" i="12"/>
  <c r="M30" i="12"/>
  <c r="D22" i="8"/>
  <c r="D26" i="8"/>
  <c r="D25" i="8"/>
  <c r="F33" i="4"/>
  <c r="F22" i="4"/>
  <c r="D16" i="4"/>
  <c r="D31" i="4"/>
  <c r="D33" i="4"/>
  <c r="O52" i="12"/>
  <c r="K52" i="12"/>
  <c r="D22" i="4"/>
  <c r="F16" i="4"/>
  <c r="F24" i="4"/>
  <c r="D23" i="8"/>
  <c r="O31" i="12"/>
  <c r="K31" i="12"/>
  <c r="D27" i="8"/>
  <c r="Q31" i="12"/>
  <c r="M31" i="12"/>
  <c r="D24" i="4"/>
  <c r="Q52" i="12"/>
  <c r="M52" i="12"/>
  <c r="L62" i="12"/>
  <c r="M56" i="12"/>
  <c r="K56" i="12"/>
  <c r="G68" i="12"/>
  <c r="E68" i="12"/>
  <c r="D15" i="6"/>
  <c r="D17" i="6"/>
  <c r="D19" i="6"/>
  <c r="D23" i="6"/>
  <c r="K15" i="12"/>
  <c r="D25" i="6"/>
  <c r="Q64" i="12"/>
  <c r="M63" i="12"/>
  <c r="Q63" i="12"/>
  <c r="L63" i="12"/>
  <c r="M60" i="12"/>
  <c r="Q60" i="12"/>
  <c r="L60" i="12"/>
  <c r="Q59" i="12"/>
  <c r="M58" i="12"/>
  <c r="Q58" i="12"/>
  <c r="L58" i="12"/>
  <c r="Q57" i="12"/>
  <c r="Q56" i="12"/>
  <c r="L56" i="12"/>
  <c r="M55" i="12"/>
  <c r="Q55" i="12"/>
  <c r="L55" i="12"/>
  <c r="M54" i="12"/>
  <c r="Q54" i="12"/>
  <c r="L54" i="12"/>
  <c r="M53" i="12"/>
  <c r="Q53" i="12"/>
  <c r="L53" i="12"/>
  <c r="L52" i="12"/>
  <c r="M51" i="12"/>
  <c r="Q51" i="12"/>
  <c r="L51" i="12"/>
  <c r="M50" i="12"/>
  <c r="Q50" i="12"/>
  <c r="L50" i="12"/>
  <c r="M49" i="12"/>
  <c r="Q49" i="12"/>
  <c r="L49" i="12"/>
  <c r="M48" i="12"/>
  <c r="Q48" i="12"/>
  <c r="L48" i="12"/>
  <c r="M47" i="12"/>
  <c r="Q47" i="12"/>
  <c r="L47" i="12"/>
  <c r="M46" i="12"/>
  <c r="Q46" i="12"/>
  <c r="L46" i="12"/>
  <c r="M45" i="12"/>
  <c r="Q45" i="12"/>
  <c r="L45" i="12"/>
  <c r="M44" i="12"/>
  <c r="Q44" i="12"/>
  <c r="L44" i="12"/>
  <c r="M43" i="12"/>
  <c r="Q43" i="12"/>
  <c r="L43" i="12"/>
  <c r="M42" i="12"/>
  <c r="Q42" i="12"/>
  <c r="L42" i="12"/>
  <c r="M41" i="12"/>
  <c r="Q41" i="12"/>
  <c r="L41" i="12"/>
  <c r="Q66" i="12"/>
  <c r="Q65" i="12"/>
  <c r="Q62" i="12"/>
  <c r="Q61" i="12"/>
  <c r="Q38" i="12"/>
  <c r="O38" i="12"/>
  <c r="Q37" i="12"/>
  <c r="O37" i="12"/>
  <c r="Q36" i="12"/>
  <c r="O36" i="12"/>
  <c r="Q35" i="12"/>
  <c r="O35" i="12"/>
  <c r="Q34" i="12"/>
  <c r="O34" i="12"/>
  <c r="Q33" i="12"/>
  <c r="O33" i="12"/>
  <c r="Q32" i="12"/>
  <c r="O32" i="12"/>
  <c r="O30" i="12"/>
  <c r="Q29" i="12"/>
  <c r="O29" i="12"/>
  <c r="Q28" i="12"/>
  <c r="O28" i="12"/>
  <c r="Q27" i="12"/>
  <c r="O27" i="12"/>
  <c r="Q26" i="12"/>
  <c r="O26" i="12"/>
  <c r="Q25" i="12"/>
  <c r="O25" i="12"/>
  <c r="Q24" i="12"/>
  <c r="O24" i="12"/>
  <c r="Q23" i="12"/>
  <c r="O23" i="12"/>
  <c r="Q22" i="12"/>
  <c r="O22" i="12"/>
  <c r="Q21" i="12"/>
  <c r="O21" i="12"/>
  <c r="Q20" i="12"/>
  <c r="Q19" i="12"/>
  <c r="O19" i="12"/>
  <c r="Q18" i="12"/>
  <c r="O18" i="12"/>
  <c r="Q17" i="12"/>
  <c r="O17" i="12"/>
  <c r="Q16" i="12"/>
  <c r="O16" i="12"/>
  <c r="O15" i="12"/>
  <c r="Q14" i="12"/>
  <c r="O14" i="12"/>
  <c r="Q13" i="12"/>
  <c r="O13" i="12"/>
  <c r="D17" i="14"/>
  <c r="F15" i="14"/>
  <c r="F19" i="14"/>
  <c r="D13" i="14"/>
  <c r="F23" i="14"/>
  <c r="F25" i="14"/>
  <c r="D15" i="14"/>
  <c r="D19" i="14"/>
  <c r="D23" i="14"/>
  <c r="D25" i="14"/>
  <c r="K20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44" i="12"/>
  <c r="I43" i="12"/>
  <c r="I42" i="12"/>
  <c r="I41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O66" i="12"/>
  <c r="H68" i="12"/>
  <c r="F68" i="12"/>
  <c r="K51" i="12"/>
  <c r="O51" i="12"/>
  <c r="K50" i="12"/>
  <c r="O50" i="12"/>
  <c r="K49" i="12"/>
  <c r="O49" i="12"/>
  <c r="K48" i="12"/>
  <c r="O48" i="12"/>
  <c r="O46" i="12"/>
  <c r="O45" i="12"/>
  <c r="O44" i="12"/>
  <c r="O42" i="12"/>
  <c r="O41" i="12"/>
  <c r="O65" i="12"/>
  <c r="O64" i="12"/>
  <c r="K63" i="12"/>
  <c r="O63" i="12"/>
  <c r="O62" i="12"/>
  <c r="O61" i="12"/>
  <c r="O59" i="12"/>
  <c r="K58" i="12"/>
  <c r="O58" i="12"/>
  <c r="O57" i="12"/>
  <c r="O56" i="12"/>
  <c r="K55" i="12"/>
  <c r="O55" i="12"/>
  <c r="K54" i="12"/>
  <c r="O54" i="12"/>
  <c r="K53" i="12"/>
  <c r="O53" i="12"/>
  <c r="Q12" i="12"/>
  <c r="O12" i="12"/>
  <c r="I12" i="12"/>
  <c r="I68" i="12"/>
  <c r="G20" i="1"/>
  <c r="E16" i="1"/>
  <c r="E10" i="1"/>
  <c r="E39" i="13"/>
  <c r="G17" i="13"/>
  <c r="E15" i="13"/>
  <c r="G15" i="13"/>
  <c r="E19" i="13"/>
  <c r="G19" i="13"/>
  <c r="G39" i="13"/>
  <c r="S44" i="12"/>
  <c r="W44" i="12"/>
  <c r="D13" i="15"/>
  <c r="S50" i="12"/>
  <c r="W50" i="12"/>
  <c r="S24" i="12"/>
  <c r="W24" i="12"/>
  <c r="S57" i="12"/>
  <c r="W57" i="12"/>
  <c r="S31" i="12"/>
  <c r="W31" i="12"/>
  <c r="S23" i="12"/>
  <c r="W23" i="12"/>
  <c r="S38" i="12"/>
  <c r="W38" i="12"/>
  <c r="S30" i="12"/>
  <c r="W30" i="12"/>
  <c r="S55" i="12"/>
  <c r="W55" i="12"/>
  <c r="S47" i="12"/>
  <c r="W47" i="12"/>
  <c r="S29" i="12"/>
  <c r="W29" i="12"/>
  <c r="S21" i="12"/>
  <c r="W21" i="12"/>
  <c r="S12" i="12"/>
  <c r="W12" i="12"/>
  <c r="S36" i="12"/>
  <c r="W36" i="12"/>
  <c r="S19" i="12"/>
  <c r="W19" i="12"/>
  <c r="S60" i="12"/>
  <c r="W60" i="12"/>
  <c r="G12" i="1"/>
  <c r="S59" i="12"/>
  <c r="W59" i="12"/>
  <c r="S66" i="12"/>
  <c r="W66" i="12"/>
  <c r="S64" i="12"/>
  <c r="W64" i="12"/>
  <c r="E14" i="1"/>
  <c r="S25" i="12"/>
  <c r="W25" i="12"/>
  <c r="S62" i="12"/>
  <c r="W62" i="12"/>
  <c r="S48" i="12"/>
  <c r="W48" i="12"/>
  <c r="S33" i="12"/>
  <c r="W33" i="12"/>
  <c r="S14" i="12"/>
  <c r="W14" i="12"/>
  <c r="S51" i="12"/>
  <c r="W51" i="12"/>
  <c r="S46" i="12"/>
  <c r="W46" i="12"/>
  <c r="S13" i="12"/>
  <c r="W13" i="12"/>
  <c r="S41" i="12"/>
  <c r="W41" i="12"/>
  <c r="S26" i="12"/>
  <c r="W26" i="12"/>
  <c r="S65" i="12"/>
  <c r="W65" i="12"/>
  <c r="S54" i="12"/>
  <c r="W54" i="12"/>
  <c r="S22" i="12"/>
  <c r="W22" i="12"/>
  <c r="S49" i="12"/>
  <c r="W49" i="12"/>
  <c r="S34" i="12"/>
  <c r="W34" i="12"/>
  <c r="S52" i="12"/>
  <c r="W52" i="12"/>
  <c r="S42" i="12"/>
  <c r="W42" i="12"/>
  <c r="S58" i="12"/>
  <c r="W58" i="12"/>
  <c r="S18" i="12"/>
  <c r="W18" i="12"/>
  <c r="S16" i="12"/>
  <c r="W16" i="12"/>
  <c r="S27" i="12"/>
  <c r="W27" i="12"/>
  <c r="S35" i="12"/>
  <c r="W35" i="12"/>
  <c r="S45" i="12"/>
  <c r="W45" i="12"/>
  <c r="S63" i="12"/>
  <c r="W63" i="12"/>
  <c r="S28" i="12"/>
  <c r="W28" i="12"/>
  <c r="S37" i="12"/>
  <c r="W37" i="12"/>
  <c r="S56" i="12"/>
  <c r="W56" i="12"/>
  <c r="S32" i="12"/>
  <c r="W32" i="12"/>
  <c r="S17" i="12"/>
  <c r="W17" i="12"/>
  <c r="S53" i="12"/>
  <c r="W53" i="12"/>
  <c r="S61" i="12"/>
  <c r="W61" i="12"/>
  <c r="E18" i="1"/>
  <c r="E22" i="1"/>
  <c r="E26" i="1"/>
  <c r="E30" i="1"/>
  <c r="E34" i="1"/>
  <c r="O20" i="12"/>
  <c r="S20" i="12"/>
  <c r="W20" i="12"/>
  <c r="D21" i="6"/>
  <c r="M15" i="12"/>
  <c r="Q15" i="12"/>
  <c r="M68" i="12"/>
  <c r="Q68" i="12"/>
  <c r="S15" i="12"/>
  <c r="D11" i="15"/>
  <c r="D15" i="15"/>
  <c r="D17" i="15"/>
  <c r="D21" i="15"/>
  <c r="D23" i="15"/>
  <c r="O43" i="12"/>
  <c r="G10" i="1"/>
  <c r="G14" i="1"/>
  <c r="W15" i="12"/>
  <c r="K43" i="12"/>
  <c r="K68" i="12"/>
  <c r="S43" i="12"/>
  <c r="O68" i="12"/>
  <c r="G16" i="1"/>
  <c r="G18" i="1"/>
  <c r="G22" i="1"/>
  <c r="G26" i="1"/>
  <c r="G30" i="1"/>
  <c r="G34" i="1"/>
  <c r="W43" i="12"/>
  <c r="W68" i="12"/>
  <c r="S68" i="12"/>
</calcChain>
</file>

<file path=xl/sharedStrings.xml><?xml version="1.0" encoding="utf-8"?>
<sst xmlns="http://schemas.openxmlformats.org/spreadsheetml/2006/main" count="692" uniqueCount="376">
  <si>
    <t>CALCULATION OF GENERAL REVENUE REQUIREMENT</t>
  </si>
  <si>
    <t>Line</t>
  </si>
  <si>
    <t>No.</t>
  </si>
  <si>
    <t>Description</t>
  </si>
  <si>
    <t>Rate Base</t>
  </si>
  <si>
    <t>Net Operating Income Requirement</t>
  </si>
  <si>
    <t>Adjusted Net Operating Income</t>
  </si>
  <si>
    <t>Adjusted Rate Base</t>
  </si>
  <si>
    <t>Net Operating Income Deficiency/(Sufficiency)</t>
  </si>
  <si>
    <t>Revenue Conversion Factor</t>
  </si>
  <si>
    <t>Amount</t>
  </si>
  <si>
    <t>Per Company</t>
  </si>
  <si>
    <t>Per PC</t>
  </si>
  <si>
    <t>Schedule No. 1</t>
  </si>
  <si>
    <t>Adj. #</t>
  </si>
  <si>
    <t xml:space="preserve">NOI   </t>
  </si>
  <si>
    <t>Rev Req</t>
  </si>
  <si>
    <t>Public Counsel</t>
  </si>
  <si>
    <t>Rev. Req.</t>
  </si>
  <si>
    <t>Impact of</t>
  </si>
  <si>
    <t>Differences</t>
  </si>
  <si>
    <t>PC Neutral in Direct</t>
  </si>
  <si>
    <t>PC Opposes</t>
  </si>
  <si>
    <t>Public Counsel Adjustments</t>
  </si>
  <si>
    <t>and/or PC Neutral in Direct</t>
  </si>
  <si>
    <t>Schedule No. 2</t>
  </si>
  <si>
    <t>Source/Notes:</t>
  </si>
  <si>
    <t>Adjustment</t>
  </si>
  <si>
    <t>Federal Income Tax Rate</t>
  </si>
  <si>
    <t>Reduction in Federal Income Tax Expense</t>
  </si>
  <si>
    <t>Adjustment to Net Operating Income</t>
  </si>
  <si>
    <t>Schedule No. 3</t>
  </si>
  <si>
    <t>Schedule No. 4</t>
  </si>
  <si>
    <t>Schedule No. 5</t>
  </si>
  <si>
    <t>Pro Forma Adjustments</t>
  </si>
  <si>
    <t>Rate of Return</t>
  </si>
  <si>
    <t>(1)</t>
  </si>
  <si>
    <t>(3)</t>
  </si>
  <si>
    <t>(2)</t>
  </si>
  <si>
    <t>TRADITIONAL PRO FORMA COST OF CAPITAL</t>
  </si>
  <si>
    <t>Capital</t>
  </si>
  <si>
    <t>Weighted</t>
  </si>
  <si>
    <t>Component</t>
  </si>
  <si>
    <t>Structure</t>
  </si>
  <si>
    <t>Cost</t>
  </si>
  <si>
    <t>Total Debt</t>
  </si>
  <si>
    <t>Common</t>
  </si>
  <si>
    <t>Total</t>
  </si>
  <si>
    <t>PUBLIC COUNSEL</t>
  </si>
  <si>
    <t>COST OF CAPITAL</t>
  </si>
  <si>
    <t>PC Adjustment</t>
  </si>
  <si>
    <t xml:space="preserve">     Pro Forma Total</t>
  </si>
  <si>
    <t>Injuries &amp; Damages</t>
  </si>
  <si>
    <t>Schedule No. 6</t>
  </si>
  <si>
    <t>TWELVE MONTHS ENDED DECEMBER 31, 2018</t>
  </si>
  <si>
    <t>Dockets UE-190529 &amp; UG-190530</t>
  </si>
  <si>
    <t>PSE</t>
  </si>
  <si>
    <t>6.01 ER</t>
  </si>
  <si>
    <t>6.02 ER</t>
  </si>
  <si>
    <t>6.03 ER</t>
  </si>
  <si>
    <t>6.04 ER</t>
  </si>
  <si>
    <t>6.05 ER</t>
  </si>
  <si>
    <t>6.06 ER</t>
  </si>
  <si>
    <t>6.07 ER</t>
  </si>
  <si>
    <t>6.08 ER</t>
  </si>
  <si>
    <t>6.09 ER</t>
  </si>
  <si>
    <t>6.10 ER</t>
  </si>
  <si>
    <t>6.11 ER</t>
  </si>
  <si>
    <t>6.12 ER</t>
  </si>
  <si>
    <t>6.13 ER</t>
  </si>
  <si>
    <t>6.14 ER</t>
  </si>
  <si>
    <t>6.15 ER</t>
  </si>
  <si>
    <t>6.16 ER</t>
  </si>
  <si>
    <t>6.17 ER</t>
  </si>
  <si>
    <t>6.18 ER</t>
  </si>
  <si>
    <t>6.23 ER</t>
  </si>
  <si>
    <t>7.01 ER</t>
  </si>
  <si>
    <t>7.02 ER</t>
  </si>
  <si>
    <t>7.03 ER</t>
  </si>
  <si>
    <t>7.04 ER</t>
  </si>
  <si>
    <t>7.05 ER</t>
  </si>
  <si>
    <t>7.07 ER</t>
  </si>
  <si>
    <t>Colstrip Depreciation</t>
  </si>
  <si>
    <t>Storm Damage</t>
  </si>
  <si>
    <t>ASC 815</t>
  </si>
  <si>
    <t>Wild Horse Solar</t>
  </si>
  <si>
    <t>Montana Tax</t>
  </si>
  <si>
    <t>Power Cost</t>
  </si>
  <si>
    <t>Annualize Rent Expense</t>
  </si>
  <si>
    <t>AMA to EOP Depreciation</t>
  </si>
  <si>
    <t>AMA to EOP Rate Base</t>
  </si>
  <si>
    <t>Employee Insurance</t>
  </si>
  <si>
    <t>6.19 ER</t>
  </si>
  <si>
    <t>Investment Plan</t>
  </si>
  <si>
    <t>Wage &amp; Payroll Tax</t>
  </si>
  <si>
    <t>Pension Plan</t>
  </si>
  <si>
    <t>Rate Case Expense</t>
  </si>
  <si>
    <t>Interest on Customer Deposits</t>
  </si>
  <si>
    <t>D&amp;O Insurance</t>
  </si>
  <si>
    <t>Excise Tax &amp; Filing Fee</t>
  </si>
  <si>
    <t>Incentive Pay</t>
  </si>
  <si>
    <t>Bad Debts</t>
  </si>
  <si>
    <t>Tax-Benefit of Interest</t>
  </si>
  <si>
    <t>Federal Income Tax</t>
  </si>
  <si>
    <t>Temperature Normalization</t>
  </si>
  <si>
    <t>Revenues and Expenses</t>
  </si>
  <si>
    <t>6.01 EP</t>
  </si>
  <si>
    <t>6.02 EP</t>
  </si>
  <si>
    <t>6.04 EP</t>
  </si>
  <si>
    <t>6.09 EP</t>
  </si>
  <si>
    <t>6.10 EP</t>
  </si>
  <si>
    <t>6.14 EP</t>
  </si>
  <si>
    <t>6.15 EP</t>
  </si>
  <si>
    <t>6.16 EP</t>
  </si>
  <si>
    <t>6.17 EP</t>
  </si>
  <si>
    <t>6.20 EP</t>
  </si>
  <si>
    <t>6.21 EP</t>
  </si>
  <si>
    <t>6.22 EP</t>
  </si>
  <si>
    <t>6.23 EP</t>
  </si>
  <si>
    <t>6.24 EP</t>
  </si>
  <si>
    <t>6.25 EP</t>
  </si>
  <si>
    <t>6.26 EP</t>
  </si>
  <si>
    <t>6.27 EP</t>
  </si>
  <si>
    <t>6.28 EP</t>
  </si>
  <si>
    <t>6.29 EP</t>
  </si>
  <si>
    <t>7.01 EP</t>
  </si>
  <si>
    <t>7.02 EP</t>
  </si>
  <si>
    <t>7.05 EP</t>
  </si>
  <si>
    <t>7.06 EP</t>
  </si>
  <si>
    <t>7.08 EP</t>
  </si>
  <si>
    <t>7.09 EP</t>
  </si>
  <si>
    <t>7.10 EP</t>
  </si>
  <si>
    <t>Energy Management System</t>
  </si>
  <si>
    <t>High Molecular Weight Cable</t>
  </si>
  <si>
    <t>Remove EIM</t>
  </si>
  <si>
    <t>HR Tops</t>
  </si>
  <si>
    <t>Contract Escalations</t>
  </si>
  <si>
    <t>Public Improvement</t>
  </si>
  <si>
    <t>Credit Card Amortization</t>
  </si>
  <si>
    <t>AMI</t>
  </si>
  <si>
    <t>Environmental Remediation</t>
  </si>
  <si>
    <t>Wage Increase</t>
  </si>
  <si>
    <t>Property &amp; Liability Insurance</t>
  </si>
  <si>
    <t>Tax Benefit of Interest</t>
  </si>
  <si>
    <t>PUGET SOUND ENERGY COMPANY</t>
  </si>
  <si>
    <t>ELECTRIC DOCKET NO. UE-190529</t>
  </si>
  <si>
    <t>TEST YEAR ENDED DECEMBER 31, 2018</t>
  </si>
  <si>
    <t>Regulatory Assets &amp; Liabilities</t>
  </si>
  <si>
    <t>INCENTIVE COMPENSATION</t>
  </si>
  <si>
    <t>Adjustment for Restated Expenses</t>
  </si>
  <si>
    <t>Exclude 50% Shareholder Benefit</t>
  </si>
  <si>
    <t>Test Year Incentive Compensation Plus Payroll Taxes</t>
  </si>
  <si>
    <t>Restated Incentive Compensation Plus Payroll Taxes</t>
  </si>
  <si>
    <t>Total Adjustment to Incentive Compensation and Payroll Taxes</t>
  </si>
  <si>
    <t>Attrition Adjustment</t>
  </si>
  <si>
    <t>Changes to Other Price Schedules</t>
  </si>
  <si>
    <t>Net Revenue Change before Attrition</t>
  </si>
  <si>
    <t>Net Revenue Change After Attrition</t>
  </si>
  <si>
    <t>PUGET SOUND ENERGY</t>
  </si>
  <si>
    <t>NOI</t>
  </si>
  <si>
    <t>NEW-PSE-WP-SEF-6.08E-6.08G-Incentive-19GRC-06-2019.xlsx, tab Electric</t>
  </si>
  <si>
    <t>Per PSE</t>
  </si>
  <si>
    <t>Reduction to Supported Amount</t>
  </si>
  <si>
    <t>Net Revenue Change Requested or Recommended</t>
  </si>
  <si>
    <t>(1) Amount related to wholesale</t>
  </si>
  <si>
    <t>Revenue Requirement Change(1)</t>
  </si>
  <si>
    <t>2018 Protected EDIT ARAM Amortization</t>
  </si>
  <si>
    <t>2019 Protected EDIT ARAM Amortization</t>
  </si>
  <si>
    <t>Portion of 2019 Amortization by February 28 ((31+28)/365)</t>
  </si>
  <si>
    <t>2019 Amortization through February 28</t>
  </si>
  <si>
    <t>Total Protected EDIT Amortization 1/1/2018 - 2/28/2019</t>
  </si>
  <si>
    <t>WUTC Staff 67</t>
  </si>
  <si>
    <r>
      <t xml:space="preserve">Puget Sound Energy Adjustments (Note </t>
    </r>
    <r>
      <rPr>
        <vertAlign val="superscript"/>
        <sz val="12"/>
        <color theme="1"/>
        <rFont val="Times New Roman"/>
        <family val="1"/>
      </rPr>
      <t>1)</t>
    </r>
  </si>
  <si>
    <t>TEST YEAR AMI COST AND INVESTMENT</t>
  </si>
  <si>
    <t>Total Post-Test Year Rate Base Adjustment</t>
  </si>
  <si>
    <t>Total Rate Base Adjustment</t>
  </si>
  <si>
    <t>PSE adjustment: NEW-PSE-WP-SEF-6.22E-AMI-19GRC-06-2019.xlsx.</t>
  </si>
  <si>
    <t>Net Operating Income</t>
  </si>
  <si>
    <t>Depreciation Expense</t>
  </si>
  <si>
    <t>Accumulated Amortization of Depreciation Deferral</t>
  </si>
  <si>
    <t>Total Deferred Depreciation</t>
  </si>
  <si>
    <t>Total Net Operating Income Adjustment</t>
  </si>
  <si>
    <t>Plant Additions</t>
  </si>
  <si>
    <t>Accumulated Depreciation</t>
  </si>
  <si>
    <t>Deferred Income Tax Liability</t>
  </si>
  <si>
    <t>Plant in Service</t>
  </si>
  <si>
    <t>Electric</t>
  </si>
  <si>
    <t>Gas</t>
  </si>
  <si>
    <t>Electric Depreciation and Amortization</t>
  </si>
  <si>
    <t>Depreciation</t>
  </si>
  <si>
    <t>Amortization</t>
  </si>
  <si>
    <t>Accumulated Deferred Income Tax</t>
  </si>
  <si>
    <t>ADIT</t>
  </si>
  <si>
    <t>Other</t>
  </si>
  <si>
    <t>2018 AMA</t>
  </si>
  <si>
    <t>Plant In Service</t>
  </si>
  <si>
    <t>Deferred Federal Income Tax</t>
  </si>
  <si>
    <t>Total Rate Base Update Adjustment</t>
  </si>
  <si>
    <t>12 Mo. Ending</t>
  </si>
  <si>
    <t>2018 Expense</t>
  </si>
  <si>
    <t>Depreciation Expense Update</t>
  </si>
  <si>
    <t>Income Tax Expense</t>
  </si>
  <si>
    <t>Sources and References</t>
  </si>
  <si>
    <t>Deferred Debits and Credits</t>
  </si>
  <si>
    <t>Allowance for Working Capital</t>
  </si>
  <si>
    <t>Accumulated Depreciation for Deprec. Exp. Update</t>
  </si>
  <si>
    <t>ADIT for Depreciation Expense Update</t>
  </si>
  <si>
    <t>2018 amounts: NEW-PSE-WP-SEF-4.00E-ELECTRIC-MODEL-19GRC-06-2019</t>
  </si>
  <si>
    <t>AMA Adjustment Calculation</t>
  </si>
  <si>
    <t>September 2018 Additional Property Related EDIT</t>
  </si>
  <si>
    <t>October 2018 Additional Property Related EDIT</t>
  </si>
  <si>
    <t>November 2018 Additional Property Related EDIT</t>
  </si>
  <si>
    <t>December 2018 Additional Property Related EDIT</t>
  </si>
  <si>
    <t>January 2019 Additional Property Related EDIT</t>
  </si>
  <si>
    <t>February 2019 Additional Property Related EDIT</t>
  </si>
  <si>
    <t>March 2019 Additional Property Related EDIT</t>
  </si>
  <si>
    <t>April 2019 Additional Property Related EDIT</t>
  </si>
  <si>
    <t>May 2019 Additional Property Related EDIT</t>
  </si>
  <si>
    <t>June 2019 Additional Property Related EDIT</t>
  </si>
  <si>
    <t>PC adjustment: NEW-PSE-WP-RJA-3-and-4-Attrition-Study-19GRC-06-2019.xlsx, tab AMI</t>
  </si>
  <si>
    <t>Supplemental Calculations</t>
  </si>
  <si>
    <t>From: NEW-PSE-WP-RJA-3-and-4-Attrition-Study-19GRC-06-2019.xlsx, tab AMI</t>
  </si>
  <si>
    <t>Plant</t>
  </si>
  <si>
    <t>Amort of Def'd Return through Apr 2020:  3YRS May '20 - Apr '23</t>
  </si>
  <si>
    <t>Amort of Def'd Deprec through Apr 2020:  3YRS May '20 - Apr '23</t>
  </si>
  <si>
    <t>TAX BENEFIT OF INTEREST</t>
  </si>
  <si>
    <t>Weighted Cost of Debt</t>
  </si>
  <si>
    <t>Pro Forma Interest</t>
  </si>
  <si>
    <t>Increase (Decrease) in Federal Income Tax at 21%</t>
  </si>
  <si>
    <t>Update Adjustment for the  Tax Benefit of Interest</t>
  </si>
  <si>
    <t>Restated Tax Benefit of Interest</t>
  </si>
  <si>
    <t>Increase (Decrease) to NOI</t>
  </si>
  <si>
    <t>6/2019 Expense</t>
  </si>
  <si>
    <t>Adjustment to EDIT AMA Regulatory Liability to 6/30/2019</t>
  </si>
  <si>
    <t>June 2018 Additional Property Related EDIT</t>
  </si>
  <si>
    <t>July 2018 Additional Property Related EDIT</t>
  </si>
  <si>
    <t>August 2018 Additional Property Related EDIT</t>
  </si>
  <si>
    <t>June 2019 Adjustment for Property Related EDIT</t>
  </si>
  <si>
    <t>WAGE INCREASES</t>
  </si>
  <si>
    <t>WAGES:</t>
  </si>
  <si>
    <t>Total Rate Base Adjustment for Depreciation Expense</t>
  </si>
  <si>
    <t>PC Opposes COC</t>
  </si>
  <si>
    <t>NEW-PSE-WP-SEF-6.15E-6.15G-WageIncr-19GRC-06-2019.xlsx.</t>
  </si>
  <si>
    <t>PSE amounts: NEW-PSE-WP-SEF-5.01-5.02-E-n-G-WC-RB-19GRC-06-2019.xlsx, tab 2017 GRC WC Det Format, cells AJ20, AJ21, AT20, AT21.</t>
  </si>
  <si>
    <t>PC amounts: PC Plant Update WP 1</t>
  </si>
  <si>
    <t>ELECTRIC DOCKET NO. UG-190529</t>
  </si>
  <si>
    <t>PLANT UPDATE</t>
  </si>
  <si>
    <t>PLANT UPDATE SUPPORT SCHEDULE 1</t>
  </si>
  <si>
    <t>(PC-212)</t>
  </si>
  <si>
    <t>(PC-213)</t>
  </si>
  <si>
    <t>INTERIM AMORTIZATION OF PROTECTED EDIT</t>
  </si>
  <si>
    <t>Impact on Net Operating Income</t>
  </si>
  <si>
    <t>Amortization of Interim EDIT (2 years for PC, TY for PSE)</t>
  </si>
  <si>
    <t>Pass-Through Revenue &amp; Exp.</t>
  </si>
  <si>
    <t>Property and Liability Insur.</t>
  </si>
  <si>
    <t xml:space="preserve">Excise Tax &amp; Filing Fee </t>
  </si>
  <si>
    <t>Def. G/L on Property Sales</t>
  </si>
  <si>
    <t>Exhibit No. MEG-3</t>
  </si>
  <si>
    <t>Schedule No. 8</t>
  </si>
  <si>
    <t>Schedule No. 9</t>
  </si>
  <si>
    <t xml:space="preserve">Description </t>
  </si>
  <si>
    <t>Position on PSE's</t>
  </si>
  <si>
    <t>Position</t>
  </si>
  <si>
    <t>GTZ Plant &amp; Deferral</t>
  </si>
  <si>
    <t>Purchased Power</t>
  </si>
  <si>
    <t>Other Power Supply</t>
  </si>
  <si>
    <t>Transmission</t>
  </si>
  <si>
    <t>Distribution</t>
  </si>
  <si>
    <t>Customer Accounts</t>
  </si>
  <si>
    <t>Customer Service</t>
  </si>
  <si>
    <t>Sales</t>
  </si>
  <si>
    <t>Admin &amp; General</t>
  </si>
  <si>
    <t>Total Wage Increase</t>
  </si>
  <si>
    <t>Payroll Taxes</t>
  </si>
  <si>
    <t>Total Wages &amp; Taxes</t>
  </si>
  <si>
    <t>Increase (Decrease) Operating Expense</t>
  </si>
  <si>
    <t>Increase(Decrease) FIT @ 21%</t>
  </si>
  <si>
    <t>Increase (Decrease) NOI</t>
  </si>
  <si>
    <t>REVENUE REQUIREMENT-ADJUSTMENT SUMMARY</t>
  </si>
  <si>
    <t>(4)</t>
  </si>
  <si>
    <t>(5)</t>
  </si>
  <si>
    <t>(6)</t>
  </si>
  <si>
    <t>(7)</t>
  </si>
  <si>
    <t>(8)</t>
  </si>
  <si>
    <t>Adjustment to share the financial related incentives with shareholders that directly benefit.</t>
  </si>
  <si>
    <t>Adjustment to the tax benefit of interest based on the rate base adjustments recommended by the Public Counsel.</t>
  </si>
  <si>
    <t>Adjustments to remove the post-test year adjustments opposed by the Public Counsel.</t>
  </si>
  <si>
    <t>Adjustment to recognize wage increases occurring within the pro forma year.</t>
  </si>
  <si>
    <t>Adjustment to exclude the AMI investment.</t>
  </si>
  <si>
    <t>Adjustment to amortized the unprotected EDIT over a two year period.</t>
  </si>
  <si>
    <t>WORK PAPER - DO NOT PRINT</t>
  </si>
  <si>
    <t>Remove Unprotected ADFIT</t>
  </si>
  <si>
    <t>Adjustment to include the protected EDIT that was reversed by the Company from January 2018 through February 2019, and to amortize the regulatory liability to ratepayers over a two year period.</t>
  </si>
  <si>
    <t>Adjustment to plant related investment and depreciation expense on an AMA basis to the pro forma period ended June 30, 2019.</t>
  </si>
  <si>
    <t>Depreciation Deferral</t>
  </si>
  <si>
    <t>ADFIT on Depreciation Deferral</t>
  </si>
  <si>
    <t>Less Avoided Depreciation from AMR Retirements in Rate YR.</t>
  </si>
  <si>
    <t>Gas Depreciation and Amortization</t>
  </si>
  <si>
    <t>Short-Term Debt</t>
  </si>
  <si>
    <t>Long-Term Debt</t>
  </si>
  <si>
    <t>*  Weighted short-term debt cost rate includes .03% of commttment and amortization fees</t>
  </si>
  <si>
    <t xml:space="preserve">    Weighted long-term debt cost rate includes .03% of amortization fees</t>
  </si>
  <si>
    <t>** Capital Structure Ratios are developed in Exhibit JRW-3.</t>
  </si>
  <si>
    <t>Structure**</t>
  </si>
  <si>
    <t>Cost*</t>
  </si>
  <si>
    <t>POWER COST</t>
  </si>
  <si>
    <t>Power Cost Adjustment</t>
  </si>
  <si>
    <t>Sources/References</t>
  </si>
  <si>
    <t>Net Increase (Decrease) to Income</t>
  </si>
  <si>
    <t>State Utility Tax Increase (Decrease) at 3.8734%</t>
  </si>
  <si>
    <t>PSE amounts: NEW-PSE-WP-SEF-7.01E-PowerCosts-19GRC-06-2019.xlsx.</t>
  </si>
  <si>
    <t>PC amounts: See the Confidential Responsive Testimony of Carla Colamonici.</t>
  </si>
  <si>
    <t>Schedule No. 10</t>
  </si>
  <si>
    <t>June 2019</t>
  </si>
  <si>
    <t>June 30, 2019 AMA</t>
  </si>
  <si>
    <t>June 30, 2019 AMA AMI</t>
  </si>
  <si>
    <t>Depreciation Expense, July 2018 - June 2019</t>
  </si>
  <si>
    <r>
      <t>AMA</t>
    </r>
    <r>
      <rPr>
        <vertAlign val="superscript"/>
        <sz val="12"/>
        <color theme="1"/>
        <rFont val="Times New Roman"/>
        <family val="1"/>
      </rPr>
      <t>(1)</t>
    </r>
  </si>
  <si>
    <t>(1) Amounts from revised and supplemental responses to PC-230. 232, and 233</t>
  </si>
  <si>
    <t>6/2019 expense amounts: Response to PC-212</t>
  </si>
  <si>
    <t>AMI REVENUE REQUIREMENT</t>
  </si>
  <si>
    <t>Electric Utility</t>
  </si>
  <si>
    <t>Pro Forma</t>
  </si>
  <si>
    <t>Test Year</t>
  </si>
  <si>
    <t>Year Ended</t>
  </si>
  <si>
    <t>Attrition</t>
  </si>
  <si>
    <t>Rate Year</t>
  </si>
  <si>
    <r>
      <t>2018</t>
    </r>
    <r>
      <rPr>
        <vertAlign val="superscript"/>
        <sz val="12"/>
        <color theme="1"/>
        <rFont val="Times New Roman"/>
        <family val="1"/>
      </rPr>
      <t>(1)</t>
    </r>
  </si>
  <si>
    <r>
      <t>Year Change</t>
    </r>
    <r>
      <rPr>
        <vertAlign val="superscript"/>
        <sz val="12"/>
        <color theme="1"/>
        <rFont val="Times New Roman"/>
        <family val="1"/>
      </rPr>
      <t>(2)</t>
    </r>
  </si>
  <si>
    <t>Change</t>
  </si>
  <si>
    <t>5/20 - 4/21</t>
  </si>
  <si>
    <t>Other - Deferred Return and Expenses</t>
  </si>
  <si>
    <t>Total Rate Base</t>
  </si>
  <si>
    <t>Requested Rate of Return</t>
  </si>
  <si>
    <t>Return Requirement</t>
  </si>
  <si>
    <t>Expenses:</t>
  </si>
  <si>
    <t>Other Amortization</t>
  </si>
  <si>
    <t>Income Tax Expense on Return Requirement</t>
  </si>
  <si>
    <t>Total Expenses</t>
  </si>
  <si>
    <t>Total Electric Revenue Requirement</t>
  </si>
  <si>
    <t>Gas Utility</t>
  </si>
  <si>
    <t>Total Gas Revenue Requirement</t>
  </si>
  <si>
    <t>Combined Utilities</t>
  </si>
  <si>
    <t>Total Combined Revenue Requirement</t>
  </si>
  <si>
    <t>(1) NEW-PSE-WP-RJA-3-and-4-Attrition-Study-19GRC-06-2019.xlsx, tab AMI</t>
  </si>
  <si>
    <t>(2) NEW-PSE-WP-SEF-4.00-GAS-MODEL-19GRC-06-2019.xlsx, tab Common Adj, column FT.</t>
  </si>
  <si>
    <t>(3) NEW-PSE-WP-RJA-3-and-4-Attrition-Study-19GRC-06-2019.xlsx, tab RJA-3 Electric Attrition, cells J47, J48, and J51</t>
  </si>
  <si>
    <t>(4) NEW-PSE-WP-RJA-3-and-4-Attrition-Study-19GRC-06-2019.xlsx, tab AMI_Forecast, cells N43 and O43</t>
  </si>
  <si>
    <t>(5) NEW-PSE-WP-SEF-4.00-ELECTRIC-MODEL-19GRC-06-2019.xlsx, tab Common Adj, column FS.</t>
  </si>
  <si>
    <t>(6) NEW-PSE-WP-RJA-3-and-4-Attrition-Study-19GRC-06-2019.xlsx, tab RJA-4 Gas Attrition, cells K45, K46, and K47.</t>
  </si>
  <si>
    <t>(7) NEW-PSE-WP-RJA-3-and-4-Attrition-Study-19GRC-06-2019.xlsx, tab AMI_Forecast, cells N53 and O53</t>
  </si>
  <si>
    <t>5/2020 - 4/2021</t>
  </si>
  <si>
    <t>Intangible Plant</t>
  </si>
  <si>
    <t>(1) Source: NEW-PSE-WP-RJA-3-and-4-Attritiona-Study-19GRC-06-2019.xlsx, tab GTZ Historical RB, columns C, G, K, and E</t>
  </si>
  <si>
    <t>(2) Source: NEW-PSE-WP-RJA-3-and-4-Attritiona-Study-19GRC-06-2019.xlsx, tab RJA-3_Electric_Attrition, cells K47, k48, &amp; K51.</t>
  </si>
  <si>
    <t>(3) Source: NEW-PSE-WP-RJA-3-and-4-Attritiona-Study-19GRC-06-2019.xlsx, tab GTZ_Forecast, cells N42 and O42.</t>
  </si>
  <si>
    <t>(4) Source: NEW-PSE-WP-RJA-3-and-4-Attritiona-Study-19GRC-06-2019.xlsx, tab RJA-4_Gas_Attrition, cells L45, L46, and L47</t>
  </si>
  <si>
    <t>(5) Source: NEW-PSE-WP-RJA-3-and-4-Attritiona-Study-19GRC-06-2019.xlsx, tab GTZ_Forecast, cells N45 and O45.</t>
  </si>
  <si>
    <t>Note (1)</t>
  </si>
  <si>
    <t>Accum. Deprec.</t>
  </si>
  <si>
    <t>Deprec. Exp</t>
  </si>
  <si>
    <t>Electric 2018 AMA @ 66.19%</t>
  </si>
  <si>
    <t>Gas 2018 AMA @ 33.81%</t>
  </si>
  <si>
    <t>GTZ REVENUE REQUIREMENT</t>
  </si>
  <si>
    <t>WP-1 AMI</t>
  </si>
  <si>
    <t>WP-2 GTZ</t>
  </si>
  <si>
    <t>WP-3 AMA Update</t>
  </si>
  <si>
    <t>Page 9 of 11</t>
  </si>
  <si>
    <t>Page 11 of 11</t>
  </si>
  <si>
    <t>Page 10 of 11</t>
  </si>
  <si>
    <t>Page 5 of 11</t>
  </si>
  <si>
    <t>Page 6 of 11</t>
  </si>
  <si>
    <t>Page 4 of 11</t>
  </si>
  <si>
    <t>Page 3 of 11</t>
  </si>
  <si>
    <t>Page 2 of 11</t>
  </si>
  <si>
    <t>Page 1 of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</si>
</sst>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000_);_(* \(#,##0.00000\);_(* &quot;-&quot;??_);_(@_)"/>
    <numFmt numFmtId="166" formatCode="_(* #,##0.000_);_(* \(#,##0.000\);_(* &quot;-&quot;??_);_(@_)"/>
    <numFmt numFmtId="167" formatCode="0.0%"/>
    <numFmt numFmtId="168" formatCode="0.000%"/>
    <numFmt numFmtId="169" formatCode="_(&quot;$&quot;* #,##0_);_(&quot;$&quot;* \(#,##0\);_(&quot;$&quot;* &quot;-&quot;??_);_(@_)"/>
    <numFmt numFmtId="170" formatCode="0.000000%"/>
    <numFmt numFmtId="171" formatCode="_(* #,##0.00000000000_);_(* \(#,##0.00000000000\);_(* &quot;-&quot;??_);_(@_)"/>
    <numFmt numFmtId="172" formatCode="_(* #,##0.0000000000_);_(* \(#,##0.0000000000\);_(* &quot;-&quot;??_);_(@_)"/>
    <numFmt numFmtId="173" formatCode="0.0000000000"/>
    <numFmt numFmtId="174" formatCode="_(* #,##0.00000000_);_(* \(#,##0.00000000\);_(* &quot;-&quot;??_);_(@_)"/>
    <numFmt numFmtId="175" formatCode="_(* #,##0.0000000_);_(* \(#,##0.0000000\);_(* &quot;-&quot;_);_(@_)"/>
    <numFmt numFmtId="176" formatCode="[$-409]mmmm\ d\,\ yyyy;@"/>
  </numFmts>
  <fonts count="22">
    <font>
      <sz val="12"/>
      <color theme="1"/>
      <name val="Times New Roman"/>
      <family val="2"/>
    </font>
    <font>
      <sz val="12"/>
      <color theme="1"/>
      <name val="Times New Roman"/>
      <family val="2"/>
    </font>
    <font>
      <u/>
      <sz val="12"/>
      <color theme="1"/>
      <name val="Times New Roman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Geneva"/>
      <family val="2"/>
    </font>
    <font>
      <sz val="12"/>
      <name val="Times New Roman"/>
      <family val="1"/>
    </font>
    <font>
      <vertAlign val="superscript"/>
      <sz val="12"/>
      <color theme="1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2"/>
    </font>
    <font>
      <sz val="20"/>
      <color theme="1"/>
      <name val="Times New Roman"/>
      <family val="2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indexed="12"/>
      <name val="Times New Roman"/>
      <family val="1"/>
    </font>
    <font>
      <b/>
      <u/>
      <sz val="12"/>
      <color theme="1"/>
      <name val="Times New Roman"/>
      <family val="1"/>
    </font>
    <font>
      <sz val="9"/>
      <color theme="1"/>
      <name val="Times New Roman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44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10" fontId="0" fillId="0" borderId="0" xfId="2" applyNumberFormat="1" applyFont="1"/>
    <xf numFmtId="10" fontId="0" fillId="0" borderId="1" xfId="2" applyNumberFormat="1" applyFont="1" applyBorder="1"/>
    <xf numFmtId="0" fontId="0" fillId="0" borderId="0" xfId="0" quotePrefix="1"/>
    <xf numFmtId="164" fontId="0" fillId="0" borderId="0" xfId="1" applyNumberFormat="1" applyFont="1"/>
    <xf numFmtId="164" fontId="0" fillId="0" borderId="0" xfId="0" applyNumberFormat="1"/>
    <xf numFmtId="164" fontId="0" fillId="0" borderId="1" xfId="0" applyNumberFormat="1" applyBorder="1"/>
    <xf numFmtId="165" fontId="0" fillId="0" borderId="1" xfId="0" applyNumberFormat="1" applyBorder="1"/>
    <xf numFmtId="0" fontId="0" fillId="0" borderId="0" xfId="0" applyAlignment="1">
      <alignment horizontal="right"/>
    </xf>
    <xf numFmtId="3" fontId="0" fillId="0" borderId="0" xfId="0" applyNumberFormat="1"/>
    <xf numFmtId="37" fontId="0" fillId="0" borderId="0" xfId="0" applyNumberFormat="1"/>
    <xf numFmtId="0" fontId="0" fillId="0" borderId="0" xfId="0" applyFill="1" applyBorder="1" applyAlignment="1">
      <alignment horizontal="center"/>
    </xf>
    <xf numFmtId="0" fontId="2" fillId="0" borderId="0" xfId="0" applyFont="1"/>
    <xf numFmtId="0" fontId="0" fillId="0" borderId="0" xfId="0" applyBorder="1" applyAlignment="1">
      <alignment horizontal="center"/>
    </xf>
    <xf numFmtId="0" fontId="0" fillId="0" borderId="0" xfId="0" applyBorder="1"/>
    <xf numFmtId="164" fontId="0" fillId="0" borderId="1" xfId="1" applyNumberFormat="1" applyFont="1" applyBorder="1"/>
    <xf numFmtId="164" fontId="0" fillId="0" borderId="2" xfId="1" applyNumberFormat="1" applyFont="1" applyBorder="1"/>
    <xf numFmtId="9" fontId="0" fillId="0" borderId="1" xfId="2" applyFont="1" applyBorder="1"/>
    <xf numFmtId="0" fontId="3" fillId="0" borderId="0" xfId="0" applyFont="1" applyAlignment="1">
      <alignment horizontal="right" vertical="center"/>
    </xf>
    <xf numFmtId="41" fontId="0" fillId="0" borderId="0" xfId="0" applyNumberFormat="1"/>
    <xf numFmtId="10" fontId="0" fillId="0" borderId="0" xfId="0" applyNumberFormat="1"/>
    <xf numFmtId="9" fontId="0" fillId="0" borderId="0" xfId="0" applyNumberFormat="1"/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9" fontId="0" fillId="0" borderId="0" xfId="0" quotePrefix="1" applyNumberFormat="1"/>
    <xf numFmtId="41" fontId="0" fillId="0" borderId="0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4" fillId="0" borderId="0" xfId="0" applyFont="1" applyBorder="1"/>
    <xf numFmtId="41" fontId="4" fillId="0" borderId="0" xfId="0" applyNumberFormat="1" applyFont="1" applyBorder="1"/>
    <xf numFmtId="166" fontId="0" fillId="0" borderId="0" xfId="1" applyNumberFormat="1" applyFont="1"/>
    <xf numFmtId="43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0" fillId="0" borderId="4" xfId="0" applyBorder="1" applyAlignment="1">
      <alignment horizontal="center"/>
    </xf>
    <xf numFmtId="169" fontId="0" fillId="0" borderId="0" xfId="4" applyNumberFormat="1" applyFont="1"/>
    <xf numFmtId="169" fontId="0" fillId="0" borderId="5" xfId="4" applyNumberFormat="1" applyFont="1" applyBorder="1"/>
    <xf numFmtId="170" fontId="0" fillId="0" borderId="1" xfId="2" applyNumberFormat="1" applyFont="1" applyBorder="1"/>
    <xf numFmtId="169" fontId="0" fillId="0" borderId="1" xfId="4" applyNumberFormat="1" applyFont="1" applyBorder="1"/>
    <xf numFmtId="169" fontId="0" fillId="0" borderId="0" xfId="0" applyNumberFormat="1"/>
    <xf numFmtId="169" fontId="0" fillId="0" borderId="2" xfId="0" applyNumberFormat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0" xfId="1" applyNumberFormat="1" applyFont="1" applyBorder="1"/>
    <xf numFmtId="169" fontId="0" fillId="0" borderId="2" xfId="4" applyNumberFormat="1" applyFont="1" applyBorder="1"/>
    <xf numFmtId="0" fontId="8" fillId="0" borderId="0" xfId="0" applyFont="1" applyAlignment="1">
      <alignment horizontal="left"/>
    </xf>
    <xf numFmtId="37" fontId="0" fillId="0" borderId="0" xfId="0" applyNumberFormat="1" applyFill="1"/>
    <xf numFmtId="0" fontId="0" fillId="0" borderId="1" xfId="0" applyBorder="1" applyAlignment="1">
      <alignment horizontal="center"/>
    </xf>
    <xf numFmtId="14" fontId="0" fillId="0" borderId="0" xfId="0" applyNumberFormat="1"/>
    <xf numFmtId="171" fontId="0" fillId="0" borderId="0" xfId="0" applyNumberFormat="1"/>
    <xf numFmtId="172" fontId="0" fillId="0" borderId="0" xfId="0" applyNumberFormat="1"/>
    <xf numFmtId="41" fontId="0" fillId="0" borderId="0" xfId="0" applyNumberFormat="1" applyAlignment="1">
      <alignment horizontal="right"/>
    </xf>
    <xf numFmtId="173" fontId="0" fillId="0" borderId="0" xfId="2" applyNumberFormat="1" applyFont="1"/>
    <xf numFmtId="0" fontId="0" fillId="0" borderId="0" xfId="0" applyAlignment="1">
      <alignment horizontal="center"/>
    </xf>
    <xf numFmtId="164" fontId="9" fillId="0" borderId="0" xfId="0" applyNumberFormat="1" applyFont="1" applyAlignment="1">
      <alignment horizontal="right"/>
    </xf>
    <xf numFmtId="169" fontId="0" fillId="0" borderId="0" xfId="4" applyNumberFormat="1" applyFont="1" applyBorder="1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74" fontId="0" fillId="0" borderId="0" xfId="1" applyNumberFormat="1" applyFont="1"/>
    <xf numFmtId="175" fontId="0" fillId="0" borderId="0" xfId="0" applyNumberFormat="1"/>
    <xf numFmtId="174" fontId="0" fillId="0" borderId="0" xfId="0" applyNumberFormat="1"/>
    <xf numFmtId="164" fontId="0" fillId="0" borderId="0" xfId="0" applyNumberFormat="1" applyFill="1"/>
    <xf numFmtId="37" fontId="3" fillId="0" borderId="0" xfId="0" applyNumberFormat="1" applyFont="1" applyFill="1"/>
    <xf numFmtId="164" fontId="3" fillId="0" borderId="0" xfId="0" applyNumberFormat="1" applyFont="1" applyFill="1"/>
    <xf numFmtId="5" fontId="0" fillId="0" borderId="0" xfId="0" applyNumberFormat="1" applyFill="1"/>
    <xf numFmtId="41" fontId="0" fillId="0" borderId="0" xfId="0" applyNumberFormat="1" applyFill="1"/>
    <xf numFmtId="0" fontId="2" fillId="0" borderId="0" xfId="0" quotePrefix="1" applyFont="1"/>
    <xf numFmtId="0" fontId="10" fillId="0" borderId="0" xfId="0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 vertical="center"/>
    </xf>
    <xf numFmtId="0" fontId="0" fillId="0" borderId="0" xfId="0" applyFill="1"/>
    <xf numFmtId="0" fontId="4" fillId="0" borderId="0" xfId="0" applyFont="1"/>
    <xf numFmtId="0" fontId="6" fillId="0" borderId="0" xfId="0" applyFont="1" applyAlignment="1">
      <alignment horizontal="left"/>
    </xf>
    <xf numFmtId="0" fontId="3" fillId="0" borderId="0" xfId="0" applyFont="1"/>
    <xf numFmtId="0" fontId="12" fillId="0" borderId="0" xfId="0" applyFont="1" applyFill="1" applyBorder="1" applyAlignment="1">
      <alignment horizontal="center"/>
    </xf>
    <xf numFmtId="41" fontId="12" fillId="0" borderId="0" xfId="0" applyNumberFormat="1" applyFont="1" applyFill="1" applyBorder="1" applyAlignment="1">
      <alignment horizontal="center"/>
    </xf>
    <xf numFmtId="0" fontId="12" fillId="0" borderId="0" xfId="0" applyFont="1"/>
    <xf numFmtId="0" fontId="14" fillId="0" borderId="0" xfId="0" quotePrefix="1" applyFont="1" applyFill="1" applyAlignment="1">
      <alignment horizontal="right"/>
    </xf>
    <xf numFmtId="10" fontId="14" fillId="0" borderId="0" xfId="0" quotePrefix="1" applyNumberFormat="1" applyFont="1" applyFill="1" applyAlignment="1">
      <alignment horizontal="right"/>
    </xf>
    <xf numFmtId="49" fontId="0" fillId="0" borderId="0" xfId="0" applyNumberFormat="1" applyFill="1"/>
    <xf numFmtId="0" fontId="14" fillId="0" borderId="0" xfId="0" applyFont="1" applyFill="1"/>
    <xf numFmtId="0" fontId="14" fillId="0" borderId="0" xfId="0" applyFont="1"/>
    <xf numFmtId="0" fontId="13" fillId="0" borderId="0" xfId="0" applyFont="1"/>
    <xf numFmtId="0" fontId="0" fillId="0" borderId="0" xfId="0" applyAlignment="1">
      <alignment horizontal="right"/>
    </xf>
    <xf numFmtId="0" fontId="15" fillId="0" borderId="0" xfId="0" applyFont="1" applyAlignment="1">
      <alignment horizontal="center"/>
    </xf>
    <xf numFmtId="0" fontId="15" fillId="0" borderId="1" xfId="0" applyFont="1" applyBorder="1"/>
    <xf numFmtId="0" fontId="15" fillId="0" borderId="0" xfId="0" applyFont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37" fontId="11" fillId="0" borderId="0" xfId="3" applyNumberFormat="1" applyFont="1" applyFill="1" applyBorder="1"/>
    <xf numFmtId="0" fontId="17" fillId="0" borderId="1" xfId="0" applyFont="1" applyBorder="1" applyAlignment="1">
      <alignment horizontal="center"/>
    </xf>
    <xf numFmtId="37" fontId="11" fillId="0" borderId="1" xfId="3" applyNumberFormat="1" applyFont="1" applyFill="1" applyBorder="1"/>
    <xf numFmtId="0" fontId="16" fillId="0" borderId="1" xfId="0" applyFont="1" applyFill="1" applyBorder="1" applyAlignment="1">
      <alignment horizontal="center"/>
    </xf>
    <xf numFmtId="37" fontId="11" fillId="0" borderId="0" xfId="3" applyNumberFormat="1" applyFont="1" applyFill="1" applyBorder="1" applyAlignment="1">
      <alignment horizontal="center"/>
    </xf>
    <xf numFmtId="37" fontId="18" fillId="0" borderId="0" xfId="3" applyNumberFormat="1" applyFont="1" applyFill="1" applyBorder="1" applyAlignment="1">
      <alignment horizontal="center"/>
    </xf>
    <xf numFmtId="0" fontId="11" fillId="0" borderId="0" xfId="0" applyFont="1" applyFill="1" applyBorder="1"/>
    <xf numFmtId="5" fontId="11" fillId="0" borderId="0" xfId="0" applyNumberFormat="1" applyFont="1" applyFill="1" applyBorder="1"/>
    <xf numFmtId="167" fontId="11" fillId="0" borderId="0" xfId="2" applyNumberFormat="1" applyFont="1" applyFill="1" applyBorder="1" applyAlignment="1">
      <alignment horizontal="center"/>
    </xf>
    <xf numFmtId="10" fontId="11" fillId="0" borderId="0" xfId="2" applyNumberFormat="1" applyFont="1" applyFill="1" applyBorder="1" applyAlignment="1">
      <alignment horizontal="center"/>
    </xf>
    <xf numFmtId="164" fontId="11" fillId="0" borderId="0" xfId="1" applyNumberFormat="1" applyFont="1" applyFill="1" applyBorder="1"/>
    <xf numFmtId="168" fontId="11" fillId="0" borderId="0" xfId="2" applyNumberFormat="1" applyFont="1" applyFill="1" applyBorder="1" applyAlignment="1">
      <alignment horizontal="center"/>
    </xf>
    <xf numFmtId="168" fontId="18" fillId="0" borderId="0" xfId="2" applyNumberFormat="1" applyFont="1" applyFill="1" applyBorder="1" applyAlignment="1">
      <alignment horizontal="center"/>
    </xf>
    <xf numFmtId="168" fontId="18" fillId="0" borderId="0" xfId="2" applyNumberFormat="1" applyFont="1" applyFill="1" applyBorder="1"/>
    <xf numFmtId="10" fontId="11" fillId="0" borderId="0" xfId="2" applyNumberFormat="1" applyFont="1" applyFill="1" applyBorder="1"/>
    <xf numFmtId="10" fontId="18" fillId="0" borderId="0" xfId="2" applyNumberFormat="1" applyFont="1" applyFill="1" applyBorder="1"/>
    <xf numFmtId="0" fontId="15" fillId="0" borderId="0" xfId="0" applyFont="1" applyFill="1"/>
    <xf numFmtId="0" fontId="15" fillId="0" borderId="6" xfId="0" applyFont="1" applyBorder="1" applyAlignment="1">
      <alignment horizontal="center"/>
    </xf>
    <xf numFmtId="37" fontId="18" fillId="0" borderId="0" xfId="3" applyNumberFormat="1" applyFont="1" applyFill="1" applyBorder="1"/>
    <xf numFmtId="41" fontId="4" fillId="0" borderId="0" xfId="0" applyNumberFormat="1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0" fontId="11" fillId="0" borderId="1" xfId="2" applyNumberFormat="1" applyFont="1" applyFill="1" applyBorder="1" applyAlignment="1">
      <alignment horizontal="center"/>
    </xf>
    <xf numFmtId="167" fontId="11" fillId="0" borderId="1" xfId="2" applyNumberFormat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7" fontId="0" fillId="0" borderId="0" xfId="0" quotePrefix="1" applyNumberFormat="1" applyAlignment="1">
      <alignment horizontal="center"/>
    </xf>
    <xf numFmtId="0" fontId="19" fillId="0" borderId="0" xfId="0" applyFont="1"/>
    <xf numFmtId="17" fontId="0" fillId="0" borderId="1" xfId="0" applyNumberFormat="1" applyBorder="1" applyAlignment="1">
      <alignment horizontal="center"/>
    </xf>
    <xf numFmtId="169" fontId="0" fillId="0" borderId="4" xfId="4" applyNumberFormat="1" applyFont="1" applyBorder="1"/>
    <xf numFmtId="0" fontId="0" fillId="0" borderId="0" xfId="0" applyFont="1"/>
    <xf numFmtId="0" fontId="20" fillId="0" borderId="0" xfId="0" applyFont="1"/>
    <xf numFmtId="164" fontId="0" fillId="0" borderId="4" xfId="1" applyNumberFormat="1" applyFont="1" applyBorder="1"/>
    <xf numFmtId="176" fontId="21" fillId="0" borderId="7" xfId="0" applyNumberFormat="1" applyFont="1" applyBorder="1" applyAlignment="1">
      <alignment horizontal="right"/>
    </xf>
    <xf numFmtId="43" fontId="0" fillId="0" borderId="0" xfId="1" applyFont="1"/>
    <xf numFmtId="176" fontId="21" fillId="2" borderId="7" xfId="0" applyNumberFormat="1" applyFont="1" applyFill="1" applyBorder="1" applyAlignment="1">
      <alignment horizontal="right"/>
    </xf>
    <xf numFmtId="41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41" fontId="0" fillId="0" borderId="1" xfId="0" applyNumberFormat="1" applyBorder="1" applyAlignment="1">
      <alignment horizontal="center"/>
    </xf>
    <xf numFmtId="0" fontId="0" fillId="0" borderId="0" xfId="0" applyAlignment="1">
      <alignment horizontal="left" wrapText="1"/>
    </xf>
    <xf numFmtId="0" fontId="16" fillId="0" borderId="1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</cellXfs>
  <cellStyles count="5">
    <cellStyle name="Comma" xfId="1" builtinId="3"/>
    <cellStyle name="Currency" xfId="4" builtinId="4"/>
    <cellStyle name="Normal" xfId="0" builtinId="0"/>
    <cellStyle name="Normal_WAElec6_97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zoomScale="55" zoomScaleNormal="55" workbookViewId="0">
      <selection activeCell="G20" sqref="G20"/>
    </sheetView>
  </sheetViews>
  <sheetFormatPr defaultRowHeight="15.75"/>
  <cols>
    <col min="1" max="1" width="4.375" customWidth="1"/>
    <col min="2" max="2" width="1.5" customWidth="1"/>
    <col min="3" max="3" width="65.625" customWidth="1"/>
    <col min="4" max="4" width="1.5" customWidth="1"/>
    <col min="5" max="5" width="17.25" bestFit="1" customWidth="1"/>
    <col min="6" max="6" width="1.625" customWidth="1"/>
    <col min="7" max="7" width="14.875" customWidth="1"/>
    <col min="8" max="8" width="23.125" bestFit="1" customWidth="1"/>
  </cols>
  <sheetData>
    <row r="1" spans="1:8">
      <c r="A1" s="82" t="s">
        <v>158</v>
      </c>
      <c r="G1" s="11" t="s">
        <v>55</v>
      </c>
    </row>
    <row r="2" spans="1:8">
      <c r="A2" t="s">
        <v>145</v>
      </c>
      <c r="G2" s="11" t="s">
        <v>257</v>
      </c>
    </row>
    <row r="3" spans="1:8">
      <c r="A3" s="80" t="s">
        <v>0</v>
      </c>
      <c r="G3" s="11" t="s">
        <v>375</v>
      </c>
    </row>
    <row r="4" spans="1:8">
      <c r="A4" t="s">
        <v>146</v>
      </c>
      <c r="G4" s="11" t="s">
        <v>13</v>
      </c>
    </row>
    <row r="5" spans="1:8">
      <c r="A5" s="6"/>
    </row>
    <row r="7" spans="1:8">
      <c r="A7" t="s">
        <v>1</v>
      </c>
      <c r="E7" s="2" t="s">
        <v>10</v>
      </c>
      <c r="G7" s="2" t="s">
        <v>10</v>
      </c>
    </row>
    <row r="8" spans="1:8">
      <c r="A8" s="1" t="s">
        <v>2</v>
      </c>
      <c r="C8" s="1" t="s">
        <v>3</v>
      </c>
      <c r="E8" s="3" t="s">
        <v>11</v>
      </c>
      <c r="G8" s="3" t="s">
        <v>12</v>
      </c>
    </row>
    <row r="10" spans="1:8">
      <c r="A10" s="2">
        <v>1</v>
      </c>
      <c r="C10" t="s">
        <v>7</v>
      </c>
      <c r="E10" s="40">
        <f>+Adj.Summary!G68</f>
        <v>5428588082</v>
      </c>
      <c r="F10" s="7"/>
      <c r="G10" s="40">
        <f>+Adj.Summary!Q68</f>
        <v>5229775164.1885996</v>
      </c>
    </row>
    <row r="11" spans="1:8">
      <c r="A11" s="2"/>
    </row>
    <row r="12" spans="1:8">
      <c r="A12" s="2">
        <v>2</v>
      </c>
      <c r="C12" t="s">
        <v>35</v>
      </c>
      <c r="E12" s="5">
        <v>7.6200000000000004E-2</v>
      </c>
      <c r="F12" s="4"/>
      <c r="G12" s="5">
        <f>+'Cost of Capital'!G39</f>
        <v>7.0694099999999996E-2</v>
      </c>
    </row>
    <row r="13" spans="1:8">
      <c r="A13" s="2"/>
    </row>
    <row r="14" spans="1:8">
      <c r="A14" s="2">
        <v>3</v>
      </c>
      <c r="C14" t="s">
        <v>5</v>
      </c>
      <c r="E14" s="8">
        <f>E10*E12</f>
        <v>413658411.8484</v>
      </c>
      <c r="G14" s="8">
        <f>G10*G12</f>
        <v>369714248.43466526</v>
      </c>
      <c r="H14" s="8"/>
    </row>
    <row r="15" spans="1:8">
      <c r="A15" s="2"/>
    </row>
    <row r="16" spans="1:8">
      <c r="A16" s="2">
        <v>4</v>
      </c>
      <c r="C16" t="s">
        <v>6</v>
      </c>
      <c r="E16" s="9">
        <f>+Adj.Summary!E68</f>
        <v>335137127</v>
      </c>
      <c r="F16" s="8"/>
      <c r="G16" s="9">
        <f>+Adj.Summary!O68</f>
        <v>394951790.17665809</v>
      </c>
    </row>
    <row r="17" spans="1:7">
      <c r="A17" s="2"/>
      <c r="E17" s="8"/>
      <c r="F17" s="8"/>
      <c r="G17" s="8"/>
    </row>
    <row r="18" spans="1:7">
      <c r="A18" s="2">
        <v>5</v>
      </c>
      <c r="C18" t="s">
        <v>8</v>
      </c>
      <c r="E18" s="8">
        <f>E14-E16</f>
        <v>78521284.848399997</v>
      </c>
      <c r="F18" s="8"/>
      <c r="G18" s="8">
        <f>G14-G16</f>
        <v>-25237541.741992831</v>
      </c>
    </row>
    <row r="19" spans="1:7">
      <c r="A19" s="2"/>
      <c r="E19" s="8"/>
      <c r="F19" s="8"/>
      <c r="G19" s="8"/>
    </row>
    <row r="20" spans="1:7">
      <c r="A20" s="2">
        <v>6</v>
      </c>
      <c r="C20" t="s">
        <v>9</v>
      </c>
      <c r="E20" s="10">
        <v>0.75138099999999997</v>
      </c>
      <c r="F20" s="8"/>
      <c r="G20" s="10">
        <f>+E20</f>
        <v>0.75138099999999997</v>
      </c>
    </row>
    <row r="21" spans="1:7">
      <c r="A21" s="2"/>
      <c r="E21" s="8"/>
      <c r="F21" s="8"/>
      <c r="G21" s="8"/>
    </row>
    <row r="22" spans="1:7">
      <c r="A22" s="2">
        <v>7</v>
      </c>
      <c r="C22" t="s">
        <v>165</v>
      </c>
      <c r="E22" s="38">
        <f>E18/E20</f>
        <v>104502622.30266669</v>
      </c>
      <c r="F22" s="38"/>
      <c r="G22" s="38">
        <f>G18/G20</f>
        <v>-33588208.567947328</v>
      </c>
    </row>
    <row r="23" spans="1:7">
      <c r="E23" s="8"/>
      <c r="F23" s="8"/>
      <c r="G23" s="8"/>
    </row>
    <row r="24" spans="1:7">
      <c r="A24" s="2">
        <v>8</v>
      </c>
      <c r="C24" t="s">
        <v>155</v>
      </c>
      <c r="E24" s="9">
        <v>-3117000</v>
      </c>
      <c r="G24" s="9">
        <v>-3117000</v>
      </c>
    </row>
    <row r="25" spans="1:7">
      <c r="A25" s="2"/>
    </row>
    <row r="26" spans="1:7">
      <c r="A26" s="2">
        <v>9</v>
      </c>
      <c r="C26" t="s">
        <v>156</v>
      </c>
      <c r="E26" s="8">
        <f>+E22+E24</f>
        <v>101385622.30266669</v>
      </c>
      <c r="G26" s="8">
        <f>+G22+G24</f>
        <v>-36705208.567947328</v>
      </c>
    </row>
    <row r="27" spans="1:7">
      <c r="A27" s="2"/>
    </row>
    <row r="28" spans="1:7">
      <c r="A28" s="2">
        <v>10</v>
      </c>
      <c r="C28" t="s">
        <v>154</v>
      </c>
      <c r="E28" s="9">
        <v>44501712</v>
      </c>
      <c r="G28" s="9">
        <v>0</v>
      </c>
    </row>
    <row r="29" spans="1:7">
      <c r="A29" s="2"/>
    </row>
    <row r="30" spans="1:7">
      <c r="A30" s="2">
        <v>11</v>
      </c>
      <c r="C30" t="s">
        <v>157</v>
      </c>
      <c r="E30" s="8">
        <f>+E26+E28</f>
        <v>145887334.30266669</v>
      </c>
      <c r="G30" s="8">
        <f>+G26+G28</f>
        <v>-36705208.567947328</v>
      </c>
    </row>
    <row r="31" spans="1:7">
      <c r="A31" s="2"/>
    </row>
    <row r="32" spans="1:7">
      <c r="A32" s="2">
        <v>12</v>
      </c>
      <c r="C32" t="s">
        <v>162</v>
      </c>
      <c r="E32" s="9">
        <v>-6005576</v>
      </c>
      <c r="G32" s="9">
        <v>0</v>
      </c>
    </row>
    <row r="34" spans="1:7" ht="16.5" thickBot="1">
      <c r="A34" s="2">
        <v>13</v>
      </c>
      <c r="C34" t="s">
        <v>163</v>
      </c>
      <c r="E34" s="50">
        <f>+E30+E32</f>
        <v>139881758.30266669</v>
      </c>
      <c r="G34" s="50">
        <f>+G30+G32</f>
        <v>-36705208.567947328</v>
      </c>
    </row>
    <row r="35" spans="1:7" ht="16.5" thickTop="1"/>
    <row r="37" spans="1:7">
      <c r="C37" t="s">
        <v>164</v>
      </c>
      <c r="E37" s="8">
        <v>354912</v>
      </c>
    </row>
  </sheetData>
  <pageMargins left="0.7" right="0.7" top="0.75" bottom="0.75" header="0.3" footer="0.3"/>
  <pageSetup scale="7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F3" sqref="F3"/>
    </sheetView>
  </sheetViews>
  <sheetFormatPr defaultRowHeight="15.75"/>
  <cols>
    <col min="1" max="1" width="4.125" customWidth="1"/>
    <col min="2" max="2" width="1.625" customWidth="1"/>
    <col min="3" max="3" width="52.75" customWidth="1"/>
    <col min="4" max="4" width="13.125" bestFit="1" customWidth="1"/>
    <col min="5" max="5" width="0.875" customWidth="1"/>
    <col min="6" max="6" width="12.25" customWidth="1"/>
  </cols>
  <sheetData>
    <row r="1" spans="1:6">
      <c r="A1" t="s">
        <v>144</v>
      </c>
      <c r="F1" s="92" t="s">
        <v>55</v>
      </c>
    </row>
    <row r="2" spans="1:6">
      <c r="A2" t="s">
        <v>145</v>
      </c>
      <c r="F2" s="92" t="s">
        <v>257</v>
      </c>
    </row>
    <row r="3" spans="1:6">
      <c r="A3" s="80" t="s">
        <v>305</v>
      </c>
      <c r="F3" s="123" t="s">
        <v>368</v>
      </c>
    </row>
    <row r="4" spans="1:6">
      <c r="A4" t="s">
        <v>146</v>
      </c>
      <c r="F4" s="123" t="s">
        <v>312</v>
      </c>
    </row>
    <row r="5" spans="1:6">
      <c r="A5" s="6"/>
      <c r="F5" s="92"/>
    </row>
    <row r="8" spans="1:6">
      <c r="A8" t="s">
        <v>1</v>
      </c>
      <c r="D8" s="120" t="s">
        <v>12</v>
      </c>
      <c r="E8" s="120"/>
      <c r="F8" s="120" t="s">
        <v>161</v>
      </c>
    </row>
    <row r="9" spans="1:6">
      <c r="A9" s="1" t="s">
        <v>2</v>
      </c>
      <c r="C9" s="1" t="s">
        <v>3</v>
      </c>
      <c r="D9" s="119" t="s">
        <v>27</v>
      </c>
      <c r="E9" s="120"/>
      <c r="F9" s="119" t="s">
        <v>27</v>
      </c>
    </row>
    <row r="10" spans="1:6">
      <c r="A10" s="120"/>
    </row>
    <row r="11" spans="1:6">
      <c r="A11" s="120">
        <v>1</v>
      </c>
      <c r="C11" t="s">
        <v>306</v>
      </c>
      <c r="D11" s="61">
        <v>-22449834.683645979</v>
      </c>
      <c r="E11" s="17"/>
      <c r="F11" s="61">
        <v>-4178314.6836459776</v>
      </c>
    </row>
    <row r="12" spans="1:6">
      <c r="A12" s="120"/>
    </row>
    <row r="13" spans="1:6">
      <c r="A13" s="120">
        <v>2</v>
      </c>
      <c r="C13" t="s">
        <v>309</v>
      </c>
      <c r="D13" s="18">
        <f>+F13</f>
        <v>56751.38</v>
      </c>
      <c r="F13" s="18">
        <v>56751.38</v>
      </c>
    </row>
    <row r="14" spans="1:6">
      <c r="A14" s="120"/>
    </row>
    <row r="15" spans="1:6">
      <c r="A15" s="120">
        <v>3</v>
      </c>
      <c r="C15" t="s">
        <v>308</v>
      </c>
      <c r="D15" s="61">
        <f>-D11-D13</f>
        <v>22393083.30364598</v>
      </c>
      <c r="F15" s="61">
        <f>-F11-F13</f>
        <v>4121563.3036459778</v>
      </c>
    </row>
    <row r="16" spans="1:6">
      <c r="A16" s="120"/>
    </row>
    <row r="17" spans="1:6">
      <c r="A17" s="120">
        <v>4</v>
      </c>
      <c r="C17" s="76" t="s">
        <v>276</v>
      </c>
      <c r="D17" s="18">
        <f>-D15*0.21</f>
        <v>-4702547.4937656559</v>
      </c>
      <c r="F17" s="18">
        <f>-F15*0.21</f>
        <v>-865528.29376565525</v>
      </c>
    </row>
    <row r="18" spans="1:6">
      <c r="A18" s="120"/>
    </row>
    <row r="19" spans="1:6" ht="16.5" thickBot="1">
      <c r="A19" s="120">
        <v>5</v>
      </c>
      <c r="C19" t="s">
        <v>277</v>
      </c>
      <c r="D19" s="50">
        <f>+D15+D17</f>
        <v>17690535.809880324</v>
      </c>
      <c r="F19" s="50">
        <f>+F15+F17</f>
        <v>3256035.0098803225</v>
      </c>
    </row>
    <row r="20" spans="1:6" ht="16.5" thickTop="1">
      <c r="A20" s="120"/>
    </row>
    <row r="21" spans="1:6">
      <c r="A21" s="120"/>
    </row>
    <row r="22" spans="1:6">
      <c r="A22" s="120"/>
      <c r="C22" s="15" t="s">
        <v>307</v>
      </c>
    </row>
    <row r="23" spans="1:6">
      <c r="A23" s="120"/>
      <c r="C23" t="s">
        <v>310</v>
      </c>
    </row>
    <row r="24" spans="1:6">
      <c r="A24" s="120"/>
      <c r="C24" t="s">
        <v>311</v>
      </c>
    </row>
    <row r="25" spans="1:6">
      <c r="A25" s="120"/>
    </row>
    <row r="26" spans="1:6">
      <c r="A26" s="120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5"/>
  <sheetViews>
    <sheetView workbookViewId="0">
      <selection activeCell="P19" sqref="P19"/>
    </sheetView>
  </sheetViews>
  <sheetFormatPr defaultRowHeight="15.75"/>
  <cols>
    <col min="1" max="1" width="4.125" customWidth="1"/>
    <col min="2" max="2" width="1.625" customWidth="1"/>
    <col min="3" max="3" width="36.75" customWidth="1"/>
    <col min="4" max="4" width="14" customWidth="1"/>
    <col min="5" max="5" width="2.625" customWidth="1"/>
    <col min="6" max="6" width="13.375" customWidth="1"/>
    <col min="7" max="7" width="1.25" customWidth="1"/>
    <col min="8" max="8" width="13.875" bestFit="1" customWidth="1"/>
    <col min="9" max="9" width="1.75" customWidth="1"/>
    <col min="10" max="10" width="13.625" customWidth="1"/>
    <col min="11" max="11" width="1.75" customWidth="1"/>
    <col min="12" max="12" width="14.375" customWidth="1"/>
    <col min="13" max="13" width="2.875" customWidth="1"/>
  </cols>
  <sheetData>
    <row r="1" spans="1:13">
      <c r="A1" t="s">
        <v>144</v>
      </c>
      <c r="M1" s="11" t="s">
        <v>55</v>
      </c>
    </row>
    <row r="2" spans="1:13">
      <c r="A2" t="s">
        <v>145</v>
      </c>
      <c r="M2" s="11" t="s">
        <v>257</v>
      </c>
    </row>
    <row r="3" spans="1:13">
      <c r="A3" s="80" t="s">
        <v>320</v>
      </c>
      <c r="M3" s="11" t="s">
        <v>364</v>
      </c>
    </row>
    <row r="4" spans="1:13">
      <c r="A4" t="s">
        <v>146</v>
      </c>
      <c r="H4" s="11"/>
    </row>
    <row r="5" spans="1:13">
      <c r="A5" s="6"/>
      <c r="H5" s="11"/>
    </row>
    <row r="6" spans="1:13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</row>
    <row r="7" spans="1:13">
      <c r="F7" s="125"/>
      <c r="H7" s="125" t="s">
        <v>322</v>
      </c>
    </row>
    <row r="8" spans="1:13">
      <c r="A8" s="125" t="s">
        <v>1</v>
      </c>
      <c r="D8" s="125" t="s">
        <v>323</v>
      </c>
      <c r="E8" s="125"/>
      <c r="F8" s="125" t="s">
        <v>322</v>
      </c>
      <c r="H8" s="125" t="s">
        <v>324</v>
      </c>
      <c r="J8" s="125" t="s">
        <v>325</v>
      </c>
      <c r="K8" s="125"/>
      <c r="L8" s="125" t="s">
        <v>326</v>
      </c>
    </row>
    <row r="9" spans="1:13" ht="18.75">
      <c r="A9" s="124" t="s">
        <v>2</v>
      </c>
      <c r="C9" s="1" t="s">
        <v>3</v>
      </c>
      <c r="D9" s="124" t="s">
        <v>327</v>
      </c>
      <c r="E9" s="125"/>
      <c r="F9" s="128" t="s">
        <v>328</v>
      </c>
      <c r="H9" s="128">
        <v>43617</v>
      </c>
      <c r="J9" s="124" t="s">
        <v>329</v>
      </c>
      <c r="K9" s="125"/>
      <c r="L9" s="124" t="s">
        <v>330</v>
      </c>
    </row>
    <row r="10" spans="1:13">
      <c r="A10" s="125"/>
      <c r="C10" s="127" t="s">
        <v>321</v>
      </c>
      <c r="D10" s="125"/>
      <c r="E10" s="125"/>
      <c r="F10" s="125"/>
    </row>
    <row r="11" spans="1:13">
      <c r="A11" s="125"/>
      <c r="C11" s="15" t="s">
        <v>4</v>
      </c>
    </row>
    <row r="12" spans="1:13">
      <c r="A12" s="125">
        <v>1</v>
      </c>
      <c r="C12" t="s">
        <v>182</v>
      </c>
      <c r="D12" s="40">
        <f>+D95</f>
        <v>0</v>
      </c>
      <c r="F12" s="40">
        <v>24644868</v>
      </c>
      <c r="H12" s="40">
        <f>+D12+F12</f>
        <v>24644868</v>
      </c>
      <c r="J12" s="40">
        <f>+L12-H12</f>
        <v>145430158</v>
      </c>
      <c r="L12" s="40">
        <v>170075026</v>
      </c>
      <c r="M12" s="6" t="s">
        <v>37</v>
      </c>
    </row>
    <row r="13" spans="1:13">
      <c r="A13" s="125">
        <v>2</v>
      </c>
      <c r="C13" t="s">
        <v>183</v>
      </c>
      <c r="D13" s="49">
        <f>+D114</f>
        <v>0</v>
      </c>
      <c r="F13" s="49">
        <v>-2140348</v>
      </c>
      <c r="H13" s="49">
        <f t="shared" ref="H13:H15" si="0">+D13+F13</f>
        <v>-2140348</v>
      </c>
      <c r="J13" s="49">
        <f t="shared" ref="J13:J15" si="1">+L13-H13</f>
        <v>-24809392</v>
      </c>
      <c r="L13" s="49">
        <v>-26949740</v>
      </c>
      <c r="M13" s="6" t="s">
        <v>37</v>
      </c>
    </row>
    <row r="14" spans="1:13">
      <c r="A14" s="125">
        <v>3</v>
      </c>
      <c r="C14" t="s">
        <v>184</v>
      </c>
      <c r="D14" s="49">
        <f>+D133</f>
        <v>0</v>
      </c>
      <c r="F14" s="49">
        <v>-1701441</v>
      </c>
      <c r="H14" s="49">
        <f t="shared" si="0"/>
        <v>-1701441</v>
      </c>
      <c r="J14" s="49">
        <f t="shared" si="1"/>
        <v>-9574201</v>
      </c>
      <c r="L14" s="49">
        <v>-11275642</v>
      </c>
      <c r="M14" s="6" t="s">
        <v>37</v>
      </c>
    </row>
    <row r="15" spans="1:13">
      <c r="A15" s="125">
        <v>4</v>
      </c>
      <c r="C15" t="s">
        <v>331</v>
      </c>
      <c r="D15" s="18"/>
      <c r="F15" s="18">
        <f>11304151-1884025-1978226</f>
        <v>7441900</v>
      </c>
      <c r="H15" s="18">
        <f t="shared" si="0"/>
        <v>7441900</v>
      </c>
      <c r="J15" s="18">
        <f t="shared" si="1"/>
        <v>-7441900</v>
      </c>
      <c r="L15" s="18">
        <v>0</v>
      </c>
    </row>
    <row r="16" spans="1:13" ht="6.6" customHeight="1">
      <c r="A16" s="125"/>
    </row>
    <row r="17" spans="1:13">
      <c r="A17" s="125">
        <v>5</v>
      </c>
      <c r="C17" t="s">
        <v>332</v>
      </c>
      <c r="D17" s="44">
        <f>SUM(D12:D16)</f>
        <v>0</v>
      </c>
      <c r="F17" s="44">
        <f>SUM(F12:F16)</f>
        <v>28244979</v>
      </c>
      <c r="H17" s="44">
        <f>SUM(H12:H16)</f>
        <v>28244979</v>
      </c>
      <c r="J17" s="44">
        <f>SUM(J12:J16)</f>
        <v>103604665</v>
      </c>
      <c r="L17" s="44">
        <f>SUM(L12:L16)</f>
        <v>131849644</v>
      </c>
    </row>
    <row r="18" spans="1:13">
      <c r="A18" s="125">
        <v>6</v>
      </c>
      <c r="C18" t="s">
        <v>333</v>
      </c>
      <c r="D18" s="5">
        <v>7.6200000000000004E-2</v>
      </c>
      <c r="E18" s="7"/>
      <c r="F18" s="5">
        <v>7.6200000000000004E-2</v>
      </c>
      <c r="H18" s="5">
        <v>7.6200000000000004E-2</v>
      </c>
      <c r="J18" s="5">
        <v>7.6200000000000004E-2</v>
      </c>
      <c r="L18" s="5">
        <v>7.6200000000000004E-2</v>
      </c>
    </row>
    <row r="19" spans="1:13">
      <c r="A19" s="125">
        <v>7</v>
      </c>
      <c r="C19" t="s">
        <v>334</v>
      </c>
      <c r="D19" s="40">
        <f>+D17*D18</f>
        <v>0</v>
      </c>
      <c r="E19" s="40"/>
      <c r="F19" s="40">
        <f>+F17*F18</f>
        <v>2152267.3998000002</v>
      </c>
      <c r="G19" s="40"/>
      <c r="H19" s="40">
        <f>+H17*H18</f>
        <v>2152267.3998000002</v>
      </c>
      <c r="I19" s="40"/>
      <c r="J19" s="40">
        <f>+J17*J18</f>
        <v>7894675.4730000002</v>
      </c>
      <c r="K19" s="40"/>
      <c r="L19" s="40">
        <f>+L17*L18</f>
        <v>10046942.8728</v>
      </c>
    </row>
    <row r="20" spans="1:13" ht="5.45" customHeight="1">
      <c r="A20" s="125"/>
      <c r="D20" s="49"/>
      <c r="F20" s="49"/>
      <c r="H20" s="49"/>
      <c r="J20" s="49"/>
      <c r="L20" s="49"/>
    </row>
    <row r="21" spans="1:13">
      <c r="A21" s="125"/>
      <c r="C21" t="s">
        <v>335</v>
      </c>
      <c r="D21" s="7"/>
      <c r="F21" s="7"/>
      <c r="H21" s="7"/>
      <c r="J21" s="7"/>
      <c r="L21" s="7"/>
    </row>
    <row r="22" spans="1:13">
      <c r="A22" s="125">
        <v>8</v>
      </c>
      <c r="C22" t="s">
        <v>178</v>
      </c>
      <c r="D22" s="40">
        <f>D140</f>
        <v>0</v>
      </c>
      <c r="E22" s="40"/>
      <c r="F22" s="40">
        <v>1355468</v>
      </c>
      <c r="G22" s="40"/>
      <c r="H22" s="40">
        <f t="shared" ref="H22:H24" si="2">+D22+F22</f>
        <v>1355468</v>
      </c>
      <c r="I22" s="40"/>
      <c r="J22" s="40">
        <f t="shared" ref="J22:J24" si="3">+L22-H22</f>
        <v>13588856.666666664</v>
      </c>
      <c r="K22" s="40"/>
      <c r="L22" s="40">
        <f>13418083*0.666666666666667+17996808*0.333333333333333</f>
        <v>14944324.666666664</v>
      </c>
      <c r="M22" s="6" t="s">
        <v>279</v>
      </c>
    </row>
    <row r="23" spans="1:13">
      <c r="A23" s="125">
        <v>9</v>
      </c>
      <c r="C23" t="s">
        <v>336</v>
      </c>
      <c r="D23" s="7"/>
      <c r="F23" s="7">
        <f>1100395+3768050</f>
        <v>4868445</v>
      </c>
      <c r="H23" s="7">
        <f t="shared" si="2"/>
        <v>4868445</v>
      </c>
      <c r="J23" s="7">
        <f t="shared" si="3"/>
        <v>-4868445</v>
      </c>
      <c r="L23" s="7">
        <v>0</v>
      </c>
    </row>
    <row r="24" spans="1:13">
      <c r="A24" s="125">
        <v>10</v>
      </c>
      <c r="C24" t="s">
        <v>337</v>
      </c>
      <c r="D24" s="18">
        <f>+D17*0.0475*0.21/0.79</f>
        <v>0</v>
      </c>
      <c r="F24" s="18">
        <f>+F17*0.0475*0.21/0.79</f>
        <v>356637.55129746831</v>
      </c>
      <c r="H24" s="18">
        <f t="shared" si="2"/>
        <v>356637.55129746831</v>
      </c>
      <c r="J24" s="18">
        <f t="shared" si="3"/>
        <v>1308172.8270569618</v>
      </c>
      <c r="L24" s="18">
        <f>+L17*0.0475*0.21/0.79</f>
        <v>1664810.3783544302</v>
      </c>
    </row>
    <row r="25" spans="1:13">
      <c r="A25" s="125">
        <v>11</v>
      </c>
      <c r="C25" t="s">
        <v>338</v>
      </c>
      <c r="D25" s="129">
        <f>+D22+D24</f>
        <v>0</v>
      </c>
      <c r="E25" s="40"/>
      <c r="F25" s="129">
        <f>+F22+F24</f>
        <v>1712105.5512974684</v>
      </c>
      <c r="G25" s="40"/>
      <c r="H25" s="129">
        <f>+H22+H24</f>
        <v>1712105.5512974684</v>
      </c>
      <c r="I25" s="40"/>
      <c r="J25" s="129">
        <f>+J22+J24</f>
        <v>14897029.493723625</v>
      </c>
      <c r="K25" s="40"/>
      <c r="L25" s="129">
        <f>+L22+L24</f>
        <v>16609135.045021094</v>
      </c>
    </row>
    <row r="26" spans="1:13" ht="7.15" customHeight="1">
      <c r="A26" s="125"/>
      <c r="D26" s="7"/>
      <c r="F26" s="7"/>
      <c r="H26" s="7"/>
      <c r="J26" s="7"/>
      <c r="L26" s="7"/>
    </row>
    <row r="27" spans="1:13" ht="16.5" thickBot="1">
      <c r="A27" s="125">
        <v>12</v>
      </c>
      <c r="C27" t="s">
        <v>339</v>
      </c>
      <c r="D27" s="50">
        <f>+D19+D25</f>
        <v>0</v>
      </c>
      <c r="E27" s="40"/>
      <c r="F27" s="50">
        <f>+F19+F25</f>
        <v>3864372.9510974688</v>
      </c>
      <c r="G27" s="40"/>
      <c r="H27" s="50">
        <f>+H19+H25</f>
        <v>3864372.9510974688</v>
      </c>
      <c r="I27" s="40"/>
      <c r="J27" s="50">
        <f>+J19+J25</f>
        <v>22791704.966723625</v>
      </c>
      <c r="K27" s="40"/>
      <c r="L27" s="50">
        <f>+L19+L25</f>
        <v>26656077.917821094</v>
      </c>
    </row>
    <row r="28" spans="1:13" ht="16.5" thickTop="1">
      <c r="A28" s="125"/>
      <c r="C28" s="15"/>
    </row>
    <row r="29" spans="1:13">
      <c r="A29" s="125"/>
      <c r="C29" s="127" t="s">
        <v>340</v>
      </c>
      <c r="D29" s="125"/>
      <c r="E29" s="125"/>
      <c r="F29" s="125"/>
    </row>
    <row r="30" spans="1:13">
      <c r="A30" s="125"/>
      <c r="C30" s="15" t="s">
        <v>4</v>
      </c>
    </row>
    <row r="31" spans="1:13">
      <c r="A31" s="125">
        <v>13</v>
      </c>
      <c r="C31" t="s">
        <v>182</v>
      </c>
      <c r="D31" s="40">
        <f>+F95</f>
        <v>0</v>
      </c>
      <c r="F31" s="40">
        <v>12465833</v>
      </c>
      <c r="H31" s="40">
        <f>+D31+F31</f>
        <v>12465833</v>
      </c>
      <c r="J31" s="40">
        <f>+L31-H31</f>
        <v>54318828</v>
      </c>
      <c r="L31" s="40">
        <v>66784661</v>
      </c>
      <c r="M31" s="6" t="s">
        <v>281</v>
      </c>
    </row>
    <row r="32" spans="1:13">
      <c r="A32" s="125">
        <v>14</v>
      </c>
      <c r="C32" t="s">
        <v>183</v>
      </c>
      <c r="D32" s="49">
        <f>+F114</f>
        <v>0</v>
      </c>
      <c r="F32" s="49">
        <v>-1019306</v>
      </c>
      <c r="H32" s="49">
        <f t="shared" ref="H32:H34" si="4">+D32+F32</f>
        <v>-1019306</v>
      </c>
      <c r="J32" s="49">
        <f t="shared" ref="J32:J34" si="5">+L32-H32</f>
        <v>-9563255</v>
      </c>
      <c r="L32" s="49">
        <v>-10582561</v>
      </c>
      <c r="M32" s="6" t="s">
        <v>281</v>
      </c>
    </row>
    <row r="33" spans="1:13">
      <c r="A33" s="125">
        <v>15</v>
      </c>
      <c r="C33" t="s">
        <v>184</v>
      </c>
      <c r="D33" s="49">
        <f>+F133</f>
        <v>0</v>
      </c>
      <c r="F33" s="49">
        <v>-872688</v>
      </c>
      <c r="H33" s="49">
        <f t="shared" si="4"/>
        <v>-872688</v>
      </c>
      <c r="J33" s="49">
        <f t="shared" si="5"/>
        <v>-2219785</v>
      </c>
      <c r="L33" s="49">
        <v>-3092473</v>
      </c>
      <c r="M33" s="6" t="s">
        <v>281</v>
      </c>
    </row>
    <row r="34" spans="1:13">
      <c r="A34" s="125">
        <v>16</v>
      </c>
      <c r="C34" t="s">
        <v>331</v>
      </c>
      <c r="D34" s="18"/>
      <c r="F34" s="18">
        <f>5026061-837677-879561</f>
        <v>3308823</v>
      </c>
      <c r="H34" s="18">
        <f t="shared" si="4"/>
        <v>3308823</v>
      </c>
      <c r="J34" s="18">
        <f t="shared" si="5"/>
        <v>-3308823</v>
      </c>
      <c r="L34" s="18"/>
    </row>
    <row r="35" spans="1:13" ht="6.6" customHeight="1">
      <c r="A35" s="125"/>
    </row>
    <row r="36" spans="1:13">
      <c r="A36" s="125">
        <v>17</v>
      </c>
      <c r="C36" t="s">
        <v>332</v>
      </c>
      <c r="D36" s="44">
        <f>SUM(D31:D35)</f>
        <v>0</v>
      </c>
      <c r="F36" s="44">
        <f>SUM(F31:F35)</f>
        <v>13882662</v>
      </c>
      <c r="H36" s="44">
        <f>SUM(H31:H35)</f>
        <v>13882662</v>
      </c>
      <c r="J36" s="44">
        <f>SUM(J31:J35)</f>
        <v>39226965</v>
      </c>
      <c r="L36" s="44">
        <f>SUM(L31:L35)</f>
        <v>53109627</v>
      </c>
    </row>
    <row r="37" spans="1:13">
      <c r="A37" s="125">
        <v>18</v>
      </c>
      <c r="C37" t="s">
        <v>333</v>
      </c>
      <c r="D37" s="5">
        <v>7.6200000000000004E-2</v>
      </c>
      <c r="E37" s="7"/>
      <c r="F37" s="5">
        <v>7.6200000000000004E-2</v>
      </c>
      <c r="H37" s="5">
        <v>7.6200000000000004E-2</v>
      </c>
      <c r="J37" s="5">
        <v>7.6200000000000004E-2</v>
      </c>
      <c r="L37" s="5">
        <v>7.6200000000000004E-2</v>
      </c>
    </row>
    <row r="38" spans="1:13">
      <c r="A38" s="125">
        <v>19</v>
      </c>
      <c r="C38" t="s">
        <v>334</v>
      </c>
      <c r="D38" s="40">
        <f>+D36*D37</f>
        <v>0</v>
      </c>
      <c r="E38" s="40"/>
      <c r="F38" s="40">
        <f>+F36*F37</f>
        <v>1057858.8444000001</v>
      </c>
      <c r="G38" s="40"/>
      <c r="H38" s="40">
        <f>+H36*H37</f>
        <v>1057858.8444000001</v>
      </c>
      <c r="I38" s="40"/>
      <c r="J38" s="40">
        <f>+J36*J37</f>
        <v>2989094.733</v>
      </c>
      <c r="K38" s="40"/>
      <c r="L38" s="40">
        <f>+L36*L37</f>
        <v>4046953.5774000003</v>
      </c>
    </row>
    <row r="39" spans="1:13" ht="6" customHeight="1">
      <c r="A39" s="125"/>
      <c r="D39" s="49"/>
      <c r="F39" s="49"/>
      <c r="H39" s="49"/>
      <c r="J39" s="49"/>
      <c r="L39" s="49"/>
    </row>
    <row r="40" spans="1:13">
      <c r="A40" s="125"/>
      <c r="C40" t="s">
        <v>335</v>
      </c>
      <c r="D40" s="7"/>
      <c r="F40" s="7"/>
      <c r="H40" s="7"/>
      <c r="J40" s="7"/>
      <c r="L40" s="7"/>
    </row>
    <row r="41" spans="1:13">
      <c r="A41" s="125">
        <v>20</v>
      </c>
      <c r="C41" t="s">
        <v>178</v>
      </c>
      <c r="D41" s="40">
        <f>+F138</f>
        <v>0</v>
      </c>
      <c r="E41" s="40"/>
      <c r="F41" s="40">
        <v>654456</v>
      </c>
      <c r="G41" s="40"/>
      <c r="H41" s="40">
        <f t="shared" ref="H41:H43" si="6">+D41+F41</f>
        <v>654456</v>
      </c>
      <c r="I41" s="40"/>
      <c r="J41" s="40">
        <f t="shared" ref="J41:J43" si="7">+L41-H41</f>
        <v>5213845.9999999991</v>
      </c>
      <c r="K41" s="40"/>
      <c r="L41" s="40">
        <f>5268981*0.666666666666667+7066944*0.333333333333333</f>
        <v>5868301.9999999991</v>
      </c>
      <c r="M41" s="6" t="s">
        <v>282</v>
      </c>
    </row>
    <row r="42" spans="1:13">
      <c r="A42" s="125">
        <v>21</v>
      </c>
      <c r="C42" t="s">
        <v>336</v>
      </c>
      <c r="D42" s="7"/>
      <c r="F42" s="7">
        <f>390538+1675354</f>
        <v>2065892</v>
      </c>
      <c r="H42" s="7">
        <f t="shared" si="6"/>
        <v>2065892</v>
      </c>
      <c r="J42" s="7">
        <f t="shared" si="7"/>
        <v>-2065892</v>
      </c>
      <c r="L42" s="7">
        <v>0</v>
      </c>
    </row>
    <row r="43" spans="1:13">
      <c r="A43" s="125">
        <v>22</v>
      </c>
      <c r="C43" t="s">
        <v>337</v>
      </c>
      <c r="D43" s="18">
        <f>+D36*0.0475*0.21/0.79</f>
        <v>0</v>
      </c>
      <c r="F43" s="18">
        <f>+F36*0.0475*0.21/0.79</f>
        <v>175290.57398734178</v>
      </c>
      <c r="H43" s="18">
        <f t="shared" si="6"/>
        <v>175290.57398734178</v>
      </c>
      <c r="J43" s="18">
        <f t="shared" si="7"/>
        <v>495302.50110759487</v>
      </c>
      <c r="L43" s="18">
        <f>+L36*0.0475*0.21/0.79</f>
        <v>670593.07509493665</v>
      </c>
    </row>
    <row r="44" spans="1:13">
      <c r="A44" s="125">
        <v>23</v>
      </c>
      <c r="C44" t="s">
        <v>338</v>
      </c>
      <c r="D44" s="129">
        <f>+D41+D43</f>
        <v>0</v>
      </c>
      <c r="E44" s="40"/>
      <c r="F44" s="129">
        <f>+F41+F43</f>
        <v>829746.57398734172</v>
      </c>
      <c r="G44" s="40"/>
      <c r="H44" s="129">
        <f>+H41+H43</f>
        <v>829746.57398734172</v>
      </c>
      <c r="I44" s="40"/>
      <c r="J44" s="129">
        <f>+J41+J43</f>
        <v>5709148.501107594</v>
      </c>
      <c r="K44" s="40"/>
      <c r="L44" s="129">
        <f>+L41+L43</f>
        <v>6538895.0750949355</v>
      </c>
    </row>
    <row r="45" spans="1:13" ht="7.9" customHeight="1">
      <c r="A45" s="125"/>
      <c r="D45" s="7"/>
      <c r="F45" s="7"/>
      <c r="H45" s="7"/>
      <c r="J45" s="7"/>
      <c r="L45" s="7"/>
    </row>
    <row r="46" spans="1:13" ht="16.5" thickBot="1">
      <c r="A46" s="125">
        <v>24</v>
      </c>
      <c r="C46" t="s">
        <v>341</v>
      </c>
      <c r="D46" s="50">
        <f>+D38+D44</f>
        <v>0</v>
      </c>
      <c r="E46" s="40"/>
      <c r="F46" s="50">
        <f>+F38+F44</f>
        <v>1887605.4183873418</v>
      </c>
      <c r="G46" s="40"/>
      <c r="H46" s="50">
        <f>+H38+H44</f>
        <v>1887605.4183873418</v>
      </c>
      <c r="I46" s="40"/>
      <c r="J46" s="50">
        <f>+J38+J44</f>
        <v>8698243.2341075949</v>
      </c>
      <c r="K46" s="40"/>
      <c r="L46" s="50">
        <f>+L38+L44</f>
        <v>10585848.652494935</v>
      </c>
    </row>
    <row r="47" spans="1:13" ht="16.5" thickTop="1"/>
    <row r="48" spans="1:13">
      <c r="A48" s="125"/>
      <c r="C48" s="127" t="s">
        <v>342</v>
      </c>
      <c r="D48" s="125"/>
      <c r="E48" s="125"/>
      <c r="F48" s="125"/>
    </row>
    <row r="49" spans="1:12">
      <c r="A49" s="125"/>
      <c r="C49" s="15" t="s">
        <v>4</v>
      </c>
    </row>
    <row r="50" spans="1:12">
      <c r="A50" s="125">
        <v>25</v>
      </c>
      <c r="C50" t="s">
        <v>182</v>
      </c>
      <c r="D50" s="40">
        <f>+D12+D31</f>
        <v>0</v>
      </c>
      <c r="F50" s="40">
        <f>+F12+F31</f>
        <v>37110701</v>
      </c>
      <c r="H50" s="40">
        <f>+D50+F50</f>
        <v>37110701</v>
      </c>
      <c r="J50" s="40">
        <f>+L50-H50</f>
        <v>199748986</v>
      </c>
      <c r="L50" s="40">
        <f>+L12+L31</f>
        <v>236859687</v>
      </c>
    </row>
    <row r="51" spans="1:12">
      <c r="A51" s="125">
        <v>26</v>
      </c>
      <c r="C51" t="s">
        <v>183</v>
      </c>
      <c r="D51" s="49">
        <f>+D13+D32</f>
        <v>0</v>
      </c>
      <c r="F51" s="49">
        <f>+F13+F32</f>
        <v>-3159654</v>
      </c>
      <c r="H51" s="49">
        <f t="shared" ref="H51:H53" si="8">+D51+F51</f>
        <v>-3159654</v>
      </c>
      <c r="J51" s="49">
        <f t="shared" ref="J51:J53" si="9">+L51-H51</f>
        <v>-34372647</v>
      </c>
      <c r="L51" s="49">
        <f>+L13+L32</f>
        <v>-37532301</v>
      </c>
    </row>
    <row r="52" spans="1:12">
      <c r="A52" s="125">
        <v>27</v>
      </c>
      <c r="C52" t="s">
        <v>184</v>
      </c>
      <c r="D52" s="49">
        <f>+D14+D33</f>
        <v>0</v>
      </c>
      <c r="F52" s="49">
        <f>+F14+F33</f>
        <v>-2574129</v>
      </c>
      <c r="H52" s="49">
        <f t="shared" si="8"/>
        <v>-2574129</v>
      </c>
      <c r="J52" s="49">
        <f t="shared" si="9"/>
        <v>-11793986</v>
      </c>
      <c r="L52" s="49">
        <f>+L14+L33</f>
        <v>-14368115</v>
      </c>
    </row>
    <row r="53" spans="1:12">
      <c r="A53" s="125">
        <v>28</v>
      </c>
      <c r="C53" t="s">
        <v>331</v>
      </c>
      <c r="D53" s="18">
        <f>+D15+D34</f>
        <v>0</v>
      </c>
      <c r="F53" s="18">
        <f>+F15+F34</f>
        <v>10750723</v>
      </c>
      <c r="H53" s="18">
        <f t="shared" si="8"/>
        <v>10750723</v>
      </c>
      <c r="J53" s="18">
        <f t="shared" si="9"/>
        <v>-10750723</v>
      </c>
      <c r="L53" s="18">
        <f>+L15+L34</f>
        <v>0</v>
      </c>
    </row>
    <row r="54" spans="1:12" ht="6.6" customHeight="1">
      <c r="A54" s="125"/>
    </row>
    <row r="55" spans="1:12">
      <c r="A55" s="125">
        <v>29</v>
      </c>
      <c r="C55" t="s">
        <v>332</v>
      </c>
      <c r="D55" s="44">
        <f>SUM(D50:D54)</f>
        <v>0</v>
      </c>
      <c r="F55" s="44">
        <f>SUM(F50:F54)</f>
        <v>42127641</v>
      </c>
      <c r="H55" s="44">
        <f>SUM(H50:H54)</f>
        <v>42127641</v>
      </c>
      <c r="J55" s="44">
        <f>SUM(J50:J54)</f>
        <v>142831630</v>
      </c>
      <c r="L55" s="44">
        <f>SUM(L50:L54)</f>
        <v>184959271</v>
      </c>
    </row>
    <row r="56" spans="1:12">
      <c r="A56" s="125">
        <v>30</v>
      </c>
      <c r="C56" t="s">
        <v>333</v>
      </c>
      <c r="D56" s="5">
        <v>7.6200000000000004E-2</v>
      </c>
      <c r="E56" s="7"/>
      <c r="F56" s="5">
        <v>7.6200000000000004E-2</v>
      </c>
      <c r="H56" s="5">
        <v>7.6200000000000004E-2</v>
      </c>
      <c r="J56" s="5">
        <v>7.6200000000000004E-2</v>
      </c>
      <c r="L56" s="5">
        <v>7.6200000000000004E-2</v>
      </c>
    </row>
    <row r="57" spans="1:12">
      <c r="A57" s="125">
        <v>31</v>
      </c>
      <c r="C57" t="s">
        <v>334</v>
      </c>
      <c r="D57" s="40">
        <f>+D55*D56</f>
        <v>0</v>
      </c>
      <c r="E57" s="40"/>
      <c r="F57" s="40">
        <f>+F55*F56</f>
        <v>3210126.2442000001</v>
      </c>
      <c r="G57" s="40"/>
      <c r="H57" s="40">
        <f>+H55*H56</f>
        <v>3210126.2442000001</v>
      </c>
      <c r="I57" s="40"/>
      <c r="J57" s="40">
        <f>+J55*J56</f>
        <v>10883770.206</v>
      </c>
      <c r="K57" s="40"/>
      <c r="L57" s="40">
        <f>+L55*L56</f>
        <v>14093896.450200001</v>
      </c>
    </row>
    <row r="58" spans="1:12" ht="7.15" customHeight="1">
      <c r="A58" s="125"/>
      <c r="D58" s="49"/>
      <c r="F58" s="49"/>
      <c r="H58" s="49"/>
      <c r="J58" s="49"/>
      <c r="L58" s="49"/>
    </row>
    <row r="59" spans="1:12">
      <c r="A59" s="125"/>
      <c r="C59" t="s">
        <v>335</v>
      </c>
      <c r="D59" s="7"/>
      <c r="F59" s="7"/>
      <c r="H59" s="7"/>
      <c r="J59" s="7"/>
      <c r="L59" s="7"/>
    </row>
    <row r="60" spans="1:12">
      <c r="A60" s="125">
        <v>32</v>
      </c>
      <c r="C60" t="s">
        <v>178</v>
      </c>
      <c r="D60" s="40">
        <f>+D22+D41</f>
        <v>0</v>
      </c>
      <c r="E60" s="40"/>
      <c r="F60" s="40">
        <f>+F22+F41</f>
        <v>2009924</v>
      </c>
      <c r="G60" s="40"/>
      <c r="H60" s="40">
        <f t="shared" ref="H60:H62" si="10">+D60+F60</f>
        <v>2009924</v>
      </c>
      <c r="I60" s="40"/>
      <c r="J60" s="40">
        <f t="shared" ref="J60:J62" si="11">+L60-H60</f>
        <v>18802702.666666664</v>
      </c>
      <c r="K60" s="40"/>
      <c r="L60" s="40">
        <f>+L22+L41</f>
        <v>20812626.666666664</v>
      </c>
    </row>
    <row r="61" spans="1:12">
      <c r="A61" s="125">
        <v>33</v>
      </c>
      <c r="C61" t="s">
        <v>336</v>
      </c>
      <c r="D61" s="7">
        <f>+D23+D42</f>
        <v>0</v>
      </c>
      <c r="F61" s="7">
        <f>+F23+F42</f>
        <v>6934337</v>
      </c>
      <c r="H61" s="7">
        <f t="shared" si="10"/>
        <v>6934337</v>
      </c>
      <c r="J61" s="7">
        <f t="shared" si="11"/>
        <v>-6934337</v>
      </c>
      <c r="L61" s="7">
        <f>+L23+L42</f>
        <v>0</v>
      </c>
    </row>
    <row r="62" spans="1:12">
      <c r="A62" s="125">
        <v>34</v>
      </c>
      <c r="C62" t="s">
        <v>337</v>
      </c>
      <c r="D62" s="18">
        <f>+D55*0.0475*0.21/0.79</f>
        <v>0</v>
      </c>
      <c r="F62" s="18">
        <f>+F55*0.0475*0.21/0.79</f>
        <v>531928.12528481008</v>
      </c>
      <c r="H62" s="18">
        <f t="shared" si="10"/>
        <v>531928.12528481008</v>
      </c>
      <c r="J62" s="18">
        <f t="shared" si="11"/>
        <v>1803475.328164557</v>
      </c>
      <c r="L62" s="18">
        <f>+L55*0.0475*0.21/0.79</f>
        <v>2335403.4534493671</v>
      </c>
    </row>
    <row r="63" spans="1:12">
      <c r="A63" s="125">
        <v>35</v>
      </c>
      <c r="C63" t="s">
        <v>338</v>
      </c>
      <c r="D63" s="129">
        <f>+D60+D62</f>
        <v>0</v>
      </c>
      <c r="E63" s="40"/>
      <c r="F63" s="129">
        <f>+F60+F62</f>
        <v>2541852.1252848101</v>
      </c>
      <c r="G63" s="40"/>
      <c r="H63" s="129">
        <f>+H60+H62</f>
        <v>2541852.1252848101</v>
      </c>
      <c r="I63" s="40"/>
      <c r="J63" s="129">
        <f>+J60+J62</f>
        <v>20606177.994831219</v>
      </c>
      <c r="K63" s="40"/>
      <c r="L63" s="129">
        <f>+L60+L62</f>
        <v>23148030.120116033</v>
      </c>
    </row>
    <row r="64" spans="1:12" ht="7.9" customHeight="1">
      <c r="A64" s="125"/>
      <c r="D64" s="7"/>
      <c r="F64" s="7"/>
      <c r="H64" s="7"/>
      <c r="J64" s="7"/>
      <c r="L64" s="7"/>
    </row>
    <row r="65" spans="1:12" ht="16.5" thickBot="1">
      <c r="A65" s="125">
        <v>36</v>
      </c>
      <c r="C65" t="s">
        <v>343</v>
      </c>
      <c r="D65" s="50">
        <f>+D57+D63</f>
        <v>0</v>
      </c>
      <c r="E65" s="40"/>
      <c r="F65" s="50">
        <f>+F57+F63</f>
        <v>5751978.3694848102</v>
      </c>
      <c r="G65" s="40"/>
      <c r="H65" s="50">
        <f>+H57+H63</f>
        <v>5751978.3694848102</v>
      </c>
      <c r="I65" s="40"/>
      <c r="J65" s="50">
        <f>+J57+J63</f>
        <v>31489948.20083122</v>
      </c>
      <c r="K65" s="40"/>
      <c r="L65" s="50">
        <f>+L57+L63</f>
        <v>37241926.570316032</v>
      </c>
    </row>
    <row r="66" spans="1:12" ht="16.5" thickTop="1"/>
    <row r="67" spans="1:12">
      <c r="C67" t="s">
        <v>307</v>
      </c>
    </row>
    <row r="68" spans="1:12" s="131" customFormat="1" ht="12">
      <c r="C68" s="131" t="s">
        <v>344</v>
      </c>
    </row>
    <row r="69" spans="1:12" s="131" customFormat="1" ht="12">
      <c r="C69" s="131" t="s">
        <v>345</v>
      </c>
    </row>
    <row r="70" spans="1:12" s="131" customFormat="1" ht="12">
      <c r="C70" s="131" t="s">
        <v>346</v>
      </c>
    </row>
    <row r="71" spans="1:12" s="131" customFormat="1" ht="12">
      <c r="C71" s="131" t="s">
        <v>347</v>
      </c>
    </row>
    <row r="72" spans="1:12" s="131" customFormat="1" ht="12">
      <c r="C72" s="131" t="s">
        <v>348</v>
      </c>
    </row>
    <row r="73" spans="1:12" s="131" customFormat="1" ht="12">
      <c r="C73" s="131" t="s">
        <v>349</v>
      </c>
    </row>
    <row r="74" spans="1:12" s="131" customFormat="1" ht="12">
      <c r="C74" s="131" t="s">
        <v>350</v>
      </c>
    </row>
    <row r="75" spans="1:12">
      <c r="B75" s="2"/>
      <c r="C75" s="2"/>
      <c r="D75" s="2"/>
      <c r="H75" s="64"/>
      <c r="I75" s="64"/>
      <c r="J75" s="64"/>
    </row>
    <row r="76" spans="1:12">
      <c r="A76" s="54"/>
      <c r="B76" s="60"/>
      <c r="C76" s="60"/>
      <c r="D76" s="8"/>
      <c r="H76" s="64"/>
      <c r="I76" s="64"/>
      <c r="J76" s="64"/>
    </row>
    <row r="77" spans="1:12">
      <c r="A77" s="54"/>
      <c r="B77" s="60"/>
      <c r="C77" s="60"/>
      <c r="D77" s="8"/>
      <c r="E77" s="7"/>
      <c r="F77" s="7"/>
      <c r="H77" s="57"/>
      <c r="I77" s="57"/>
      <c r="J77" s="57"/>
    </row>
    <row r="78" spans="1:12">
      <c r="A78" s="54"/>
      <c r="B78" s="60"/>
      <c r="C78" s="60"/>
      <c r="D78" s="8"/>
      <c r="E78" s="7"/>
      <c r="F78" s="7"/>
      <c r="H78" s="57"/>
      <c r="I78" s="57"/>
      <c r="J78" s="57"/>
      <c r="K78" s="22"/>
    </row>
    <row r="79" spans="1:12">
      <c r="A79" s="54"/>
      <c r="B79" s="60"/>
      <c r="C79" s="60"/>
      <c r="D79" s="8"/>
      <c r="E79" s="7"/>
      <c r="F79" s="7"/>
      <c r="H79" s="57"/>
      <c r="I79" s="57"/>
      <c r="J79" s="57"/>
      <c r="K79" s="22"/>
    </row>
    <row r="80" spans="1:12">
      <c r="A80" s="54"/>
      <c r="B80" s="60"/>
      <c r="C80" s="60"/>
      <c r="D80" s="8"/>
      <c r="E80" s="7"/>
      <c r="F80" s="7"/>
      <c r="H80" s="57"/>
      <c r="I80" s="57"/>
      <c r="J80" s="57"/>
      <c r="K80" s="22"/>
    </row>
    <row r="81" spans="1:11">
      <c r="A81" s="54"/>
      <c r="B81" s="60"/>
      <c r="C81" s="60"/>
      <c r="D81" s="8"/>
      <c r="E81" s="7"/>
      <c r="F81" s="7"/>
      <c r="H81" s="57"/>
      <c r="I81" s="57"/>
      <c r="J81" s="57"/>
      <c r="K81" s="22"/>
    </row>
    <row r="82" spans="1:11">
      <c r="A82" s="54"/>
      <c r="B82" s="60"/>
      <c r="C82" s="60"/>
      <c r="D82" s="8"/>
      <c r="E82" s="7"/>
      <c r="F82" s="7"/>
      <c r="H82" s="57"/>
      <c r="I82" s="57"/>
      <c r="J82" s="57"/>
      <c r="K82" s="22"/>
    </row>
    <row r="83" spans="1:11">
      <c r="A83" s="54"/>
      <c r="B83" s="60"/>
      <c r="C83" s="60"/>
      <c r="D83" s="8"/>
      <c r="E83" s="7"/>
      <c r="F83" s="7"/>
      <c r="H83" s="57"/>
      <c r="I83" s="57"/>
      <c r="J83" s="57"/>
      <c r="K83" s="22"/>
    </row>
    <row r="84" spans="1:11">
      <c r="A84" s="54"/>
      <c r="B84" s="60"/>
      <c r="C84" s="60"/>
      <c r="D84" s="8"/>
      <c r="E84" s="7"/>
      <c r="F84" s="7"/>
      <c r="H84" s="57"/>
      <c r="I84" s="57"/>
      <c r="J84" s="57"/>
      <c r="K84" s="22"/>
    </row>
    <row r="85" spans="1:11">
      <c r="A85" s="54"/>
      <c r="B85" s="60"/>
      <c r="C85" s="60"/>
      <c r="D85" s="8"/>
      <c r="E85" s="7"/>
      <c r="F85" s="7"/>
      <c r="H85" s="57"/>
      <c r="I85" s="57"/>
      <c r="J85" s="57"/>
      <c r="K85" s="22"/>
    </row>
    <row r="86" spans="1:11">
      <c r="A86" s="54"/>
      <c r="B86" s="60"/>
      <c r="C86" s="60"/>
      <c r="D86" s="8"/>
      <c r="E86" s="7"/>
      <c r="F86" s="7"/>
      <c r="H86" s="57"/>
      <c r="I86" s="57"/>
      <c r="J86" s="57"/>
      <c r="K86" s="22"/>
    </row>
    <row r="87" spans="1:11">
      <c r="A87" s="54"/>
      <c r="B87" s="60"/>
      <c r="C87" s="60"/>
      <c r="D87" s="8"/>
      <c r="E87" s="7"/>
      <c r="F87" s="7"/>
      <c r="H87" s="57"/>
      <c r="I87" s="57"/>
      <c r="J87" s="57"/>
      <c r="K87" s="22"/>
    </row>
    <row r="88" spans="1:11">
      <c r="A88" s="54"/>
      <c r="B88" s="60"/>
      <c r="C88" s="60"/>
      <c r="D88" s="8"/>
      <c r="E88" s="7"/>
      <c r="F88" s="7"/>
      <c r="H88" s="57"/>
      <c r="I88" s="57"/>
      <c r="J88" s="57"/>
      <c r="K88" s="22"/>
    </row>
    <row r="89" spans="1:11">
      <c r="A89" s="54"/>
      <c r="B89" s="60"/>
      <c r="C89" s="60"/>
      <c r="D89" s="8"/>
      <c r="E89" s="7"/>
      <c r="F89" s="7"/>
      <c r="H89" s="57"/>
      <c r="I89" s="57"/>
      <c r="J89" s="57"/>
      <c r="K89" s="22"/>
    </row>
    <row r="90" spans="1:11">
      <c r="A90" s="54"/>
      <c r="B90" s="60"/>
      <c r="C90" s="60"/>
      <c r="D90" s="8"/>
      <c r="E90" s="7"/>
      <c r="F90" s="7"/>
      <c r="H90" s="57"/>
      <c r="I90" s="57"/>
      <c r="J90" s="57"/>
      <c r="K90" s="22"/>
    </row>
    <row r="91" spans="1:11">
      <c r="A91" s="54"/>
      <c r="B91" s="60"/>
      <c r="C91" s="60"/>
      <c r="D91" s="8"/>
      <c r="E91" s="7"/>
      <c r="F91" s="7"/>
      <c r="H91" s="57"/>
      <c r="I91" s="57"/>
      <c r="J91" s="57"/>
      <c r="K91" s="22"/>
    </row>
    <row r="92" spans="1:11">
      <c r="A92" s="54"/>
      <c r="B92" s="60"/>
      <c r="C92" s="60"/>
      <c r="D92" s="8"/>
      <c r="E92" s="7"/>
      <c r="F92" s="7"/>
      <c r="H92" s="57"/>
      <c r="I92" s="57"/>
      <c r="J92" s="57"/>
      <c r="K92" s="22"/>
    </row>
    <row r="93" spans="1:11">
      <c r="A93" s="54"/>
      <c r="B93" s="60"/>
      <c r="C93" s="60"/>
      <c r="D93" s="8"/>
      <c r="E93" s="7"/>
      <c r="F93" s="7"/>
      <c r="H93" s="57"/>
      <c r="I93" s="57"/>
      <c r="J93" s="57"/>
      <c r="K93" s="22"/>
    </row>
    <row r="94" spans="1:11">
      <c r="A94" s="54"/>
      <c r="B94" s="60"/>
      <c r="C94" s="60"/>
      <c r="D94" s="8"/>
      <c r="E94" s="7"/>
      <c r="F94" s="7"/>
      <c r="H94" s="57"/>
      <c r="I94" s="57"/>
      <c r="J94" s="57"/>
      <c r="K94" s="22"/>
    </row>
    <row r="95" spans="1:11">
      <c r="B95" s="7"/>
      <c r="C95" s="7"/>
      <c r="D95" s="7"/>
      <c r="E95" s="7"/>
      <c r="F95" s="7"/>
      <c r="H95" s="22"/>
      <c r="I95" s="22"/>
      <c r="J95" s="22"/>
      <c r="K95" s="22"/>
    </row>
    <row r="96" spans="1:11">
      <c r="B96" s="7"/>
      <c r="C96" s="7"/>
      <c r="D96" s="7"/>
      <c r="E96" s="7"/>
      <c r="F96" s="7"/>
      <c r="H96" s="22"/>
      <c r="I96" s="22"/>
      <c r="J96" s="22"/>
    </row>
    <row r="97" spans="2:11">
      <c r="D97" s="7"/>
      <c r="E97" s="7"/>
      <c r="F97" s="7"/>
      <c r="H97" s="22"/>
      <c r="I97" s="22"/>
      <c r="J97" s="22"/>
      <c r="K97" s="22"/>
    </row>
    <row r="98" spans="2:11">
      <c r="E98" s="56"/>
      <c r="F98" s="56"/>
      <c r="G98" s="54"/>
      <c r="H98" s="22"/>
      <c r="I98" s="22"/>
      <c r="J98" s="22"/>
      <c r="K98" s="22"/>
    </row>
    <row r="99" spans="2:11">
      <c r="G99" s="11"/>
      <c r="I99" s="35"/>
      <c r="J99" s="35"/>
      <c r="K99" s="22"/>
    </row>
    <row r="100" spans="2:11">
      <c r="B100" s="7"/>
      <c r="C100" s="7"/>
      <c r="D100" s="7"/>
      <c r="E100" s="7"/>
      <c r="F100" s="7"/>
      <c r="G100" s="11"/>
      <c r="I100" s="35"/>
      <c r="J100" s="35"/>
    </row>
    <row r="101" spans="2:11">
      <c r="B101" s="7"/>
      <c r="C101" s="7"/>
      <c r="D101" s="7"/>
      <c r="E101" s="7"/>
      <c r="F101" s="7"/>
    </row>
    <row r="102" spans="2:11">
      <c r="C102" s="55"/>
      <c r="D102" s="55"/>
      <c r="E102" s="55"/>
      <c r="F102" s="56"/>
    </row>
    <row r="103" spans="2:11">
      <c r="C103" s="8"/>
      <c r="D103" s="8"/>
      <c r="E103" s="58"/>
      <c r="F103" s="58"/>
    </row>
    <row r="104" spans="2:11">
      <c r="C104" s="8"/>
      <c r="D104" s="8"/>
      <c r="E104" s="8"/>
      <c r="F104" s="8"/>
    </row>
    <row r="105" spans="2:11">
      <c r="E105" s="56"/>
      <c r="F105" s="56"/>
    </row>
  </sheetData>
  <pageMargins left="0.7" right="0.7" top="0.5" bottom="0.25" header="0.3" footer="0.3"/>
  <pageSetup scale="6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5"/>
  <sheetViews>
    <sheetView workbookViewId="0">
      <selection activeCell="L23" sqref="L23:M23"/>
    </sheetView>
  </sheetViews>
  <sheetFormatPr defaultRowHeight="15.75"/>
  <cols>
    <col min="1" max="1" width="30.25" bestFit="1" customWidth="1"/>
    <col min="2" max="2" width="14.875" bestFit="1" customWidth="1"/>
    <col min="3" max="3" width="2" customWidth="1"/>
    <col min="4" max="4" width="14.625" bestFit="1" customWidth="1"/>
    <col min="5" max="5" width="3.25" customWidth="1"/>
    <col min="6" max="6" width="13.625" bestFit="1" customWidth="1"/>
    <col min="7" max="7" width="2.375" customWidth="1"/>
    <col min="8" max="8" width="12.75" bestFit="1" customWidth="1"/>
    <col min="9" max="9" width="3.25" customWidth="1"/>
  </cols>
  <sheetData>
    <row r="1" spans="1:13">
      <c r="A1" t="s">
        <v>144</v>
      </c>
      <c r="G1" s="92" t="s">
        <v>55</v>
      </c>
    </row>
    <row r="2" spans="1:13">
      <c r="A2" t="s">
        <v>145</v>
      </c>
      <c r="G2" s="92" t="s">
        <v>257</v>
      </c>
    </row>
    <row r="3" spans="1:13">
      <c r="A3" s="80" t="s">
        <v>363</v>
      </c>
      <c r="G3" s="92" t="s">
        <v>365</v>
      </c>
    </row>
    <row r="4" spans="1:13">
      <c r="A4" t="s">
        <v>146</v>
      </c>
      <c r="F4" s="92"/>
    </row>
    <row r="5" spans="1:13">
      <c r="A5" s="6"/>
      <c r="F5" s="92"/>
    </row>
    <row r="6" spans="1:13">
      <c r="A6" s="130"/>
      <c r="B6" s="130"/>
      <c r="C6" s="130"/>
      <c r="D6" s="130"/>
      <c r="E6" s="130"/>
      <c r="F6" s="130"/>
      <c r="G6" s="130"/>
      <c r="J6" s="130"/>
      <c r="K6" s="130"/>
      <c r="L6" s="130"/>
      <c r="M6" s="130"/>
    </row>
    <row r="7" spans="1:13">
      <c r="D7" s="125" t="s">
        <v>323</v>
      </c>
      <c r="F7" s="125" t="s">
        <v>326</v>
      </c>
    </row>
    <row r="8" spans="1:13" ht="18.75">
      <c r="A8" s="15" t="s">
        <v>186</v>
      </c>
      <c r="D8" s="124" t="s">
        <v>327</v>
      </c>
      <c r="F8" s="124" t="s">
        <v>351</v>
      </c>
    </row>
    <row r="9" spans="1:13">
      <c r="A9" t="s">
        <v>352</v>
      </c>
      <c r="D9" s="7">
        <f>+B63</f>
        <v>28717698.248780668</v>
      </c>
      <c r="E9" s="7"/>
      <c r="F9" s="7">
        <v>162226501</v>
      </c>
      <c r="G9" s="6" t="s">
        <v>38</v>
      </c>
    </row>
    <row r="10" spans="1:13">
      <c r="A10" t="s">
        <v>183</v>
      </c>
      <c r="D10" s="7">
        <f>+D63</f>
        <v>-2532342.9778907197</v>
      </c>
      <c r="E10" s="7"/>
      <c r="F10" s="7">
        <v>-36667722</v>
      </c>
      <c r="G10" s="6" t="s">
        <v>38</v>
      </c>
    </row>
    <row r="11" spans="1:13">
      <c r="A11" t="s">
        <v>191</v>
      </c>
      <c r="D11" s="18">
        <f>+F63</f>
        <v>-1713202.6397676636</v>
      </c>
      <c r="E11" s="7"/>
      <c r="F11" s="18">
        <v>1592287</v>
      </c>
      <c r="G11" s="6" t="s">
        <v>38</v>
      </c>
    </row>
    <row r="12" spans="1:13">
      <c r="A12" t="s">
        <v>332</v>
      </c>
      <c r="D12" s="7">
        <f>SUM(D9:D11)</f>
        <v>24472152.631122284</v>
      </c>
      <c r="E12" s="7"/>
      <c r="F12" s="7">
        <f>SUM(F9:F11)</f>
        <v>127151066</v>
      </c>
    </row>
    <row r="13" spans="1:13">
      <c r="A13" t="s">
        <v>35</v>
      </c>
      <c r="D13" s="5">
        <v>7.6200000000000004E-2</v>
      </c>
      <c r="E13" s="7"/>
      <c r="F13" s="5">
        <v>7.6200000000000004E-2</v>
      </c>
    </row>
    <row r="14" spans="1:13">
      <c r="A14" t="s">
        <v>334</v>
      </c>
      <c r="D14" s="7">
        <f>+D12*D13</f>
        <v>1864778.0304915181</v>
      </c>
      <c r="E14" s="7"/>
      <c r="F14" s="7">
        <f>+F12*F13</f>
        <v>9688911.2291999999</v>
      </c>
    </row>
    <row r="15" spans="1:13">
      <c r="D15" s="7"/>
      <c r="E15" s="7"/>
      <c r="F15" s="7"/>
    </row>
    <row r="16" spans="1:13">
      <c r="A16" t="s">
        <v>335</v>
      </c>
      <c r="D16" s="7"/>
      <c r="F16" s="7"/>
    </row>
    <row r="17" spans="1:7">
      <c r="A17" t="s">
        <v>178</v>
      </c>
      <c r="D17" s="7">
        <v>6449029</v>
      </c>
      <c r="F17" s="7">
        <f>16731754*0.666666666666667+21621168*0.333333333333333</f>
        <v>18361558.666666664</v>
      </c>
      <c r="G17" s="6" t="s">
        <v>37</v>
      </c>
    </row>
    <row r="18" spans="1:7">
      <c r="A18" t="s">
        <v>201</v>
      </c>
      <c r="D18" s="18">
        <f>+D12*0.0475*0.21/0.79</f>
        <v>308999.64872841112</v>
      </c>
      <c r="F18" s="18">
        <f>+F12*0.0475*0.21/0.79</f>
        <v>1605483.3966455695</v>
      </c>
    </row>
    <row r="19" spans="1:7">
      <c r="A19" t="s">
        <v>338</v>
      </c>
      <c r="D19" s="132">
        <f>+D17+D18</f>
        <v>6758028.6487284107</v>
      </c>
      <c r="F19" s="132">
        <f>+F17+F18</f>
        <v>19967042.063312232</v>
      </c>
    </row>
    <row r="20" spans="1:7">
      <c r="D20" s="7"/>
      <c r="F20" s="7"/>
    </row>
    <row r="21" spans="1:7" ht="16.5" thickBot="1">
      <c r="A21" t="s">
        <v>339</v>
      </c>
      <c r="D21" s="19">
        <f>+D14+D19</f>
        <v>8622806.6792199295</v>
      </c>
      <c r="F21" s="19">
        <f>+F14+F19</f>
        <v>29655953.292512231</v>
      </c>
    </row>
    <row r="22" spans="1:7" ht="16.5" thickTop="1"/>
    <row r="24" spans="1:7">
      <c r="D24" s="125" t="s">
        <v>323</v>
      </c>
      <c r="F24" s="125" t="s">
        <v>326</v>
      </c>
    </row>
    <row r="25" spans="1:7" ht="18.75">
      <c r="A25" s="15" t="s">
        <v>187</v>
      </c>
      <c r="D25" s="124" t="s">
        <v>327</v>
      </c>
      <c r="F25" s="124" t="s">
        <v>351</v>
      </c>
    </row>
    <row r="26" spans="1:7">
      <c r="A26" t="s">
        <v>352</v>
      </c>
      <c r="D26" s="7">
        <f>+B65</f>
        <v>14669064.477886001</v>
      </c>
      <c r="F26" s="7">
        <v>82865660</v>
      </c>
      <c r="G26" s="6" t="s">
        <v>279</v>
      </c>
    </row>
    <row r="27" spans="1:7">
      <c r="A27" t="s">
        <v>183</v>
      </c>
      <c r="D27" s="7">
        <f>+D65</f>
        <v>-1293526.4553933409</v>
      </c>
      <c r="F27" s="7">
        <v>-18729954</v>
      </c>
      <c r="G27" s="6" t="s">
        <v>279</v>
      </c>
    </row>
    <row r="28" spans="1:7">
      <c r="A28" t="s">
        <v>191</v>
      </c>
      <c r="D28" s="18">
        <f>+F65</f>
        <v>-875107.73909268319</v>
      </c>
      <c r="F28" s="18">
        <v>804698</v>
      </c>
      <c r="G28" s="6" t="s">
        <v>279</v>
      </c>
    </row>
    <row r="29" spans="1:7">
      <c r="A29" t="s">
        <v>332</v>
      </c>
      <c r="D29" s="7">
        <f>SUM(D26:D28)</f>
        <v>12500430.283399977</v>
      </c>
      <c r="F29" s="7">
        <f>SUM(F26:F28)</f>
        <v>64940404</v>
      </c>
    </row>
    <row r="30" spans="1:7">
      <c r="A30" t="s">
        <v>35</v>
      </c>
      <c r="D30" s="5">
        <v>7.6200000000000004E-2</v>
      </c>
      <c r="F30" s="5">
        <v>7.6200000000000004E-2</v>
      </c>
    </row>
    <row r="31" spans="1:7">
      <c r="A31" t="s">
        <v>334</v>
      </c>
      <c r="D31" s="7">
        <f>+D29*D30</f>
        <v>952532.78759507823</v>
      </c>
      <c r="F31" s="7">
        <f>+F29*F30</f>
        <v>4948458.7848000005</v>
      </c>
    </row>
    <row r="32" spans="1:7">
      <c r="D32" s="7"/>
      <c r="F32" s="7"/>
    </row>
    <row r="33" spans="1:8">
      <c r="A33" t="s">
        <v>335</v>
      </c>
      <c r="D33" s="7"/>
      <c r="F33" s="7"/>
    </row>
    <row r="34" spans="1:8">
      <c r="A34" t="s">
        <v>178</v>
      </c>
      <c r="D34" s="7">
        <v>3294178</v>
      </c>
      <c r="F34" s="7">
        <f>8546617*0.666666666666667+11044141*0.333333333333333</f>
        <v>9379124.9999999981</v>
      </c>
      <c r="G34" s="6" t="s">
        <v>280</v>
      </c>
    </row>
    <row r="35" spans="1:8">
      <c r="A35" t="s">
        <v>201</v>
      </c>
      <c r="D35" s="18">
        <f>+D29*0.0475*0.21/0.79</f>
        <v>157837.71148976553</v>
      </c>
      <c r="F35" s="18">
        <f>+F29*0.0475*0.21/0.79</f>
        <v>819975.35430379736</v>
      </c>
    </row>
    <row r="36" spans="1:8">
      <c r="A36" t="s">
        <v>338</v>
      </c>
      <c r="D36" s="132">
        <f>+D34+D35</f>
        <v>3452015.7114897654</v>
      </c>
      <c r="F36" s="132">
        <f>+F34+F35</f>
        <v>10199100.354303796</v>
      </c>
    </row>
    <row r="37" spans="1:8">
      <c r="D37" s="7"/>
      <c r="F37" s="7"/>
    </row>
    <row r="38" spans="1:8" ht="16.5" thickBot="1">
      <c r="A38" t="s">
        <v>341</v>
      </c>
      <c r="D38" s="19">
        <f>+D31+D36</f>
        <v>4404548.4990848433</v>
      </c>
      <c r="F38" s="19">
        <f>+F31+F36</f>
        <v>15147559.139103796</v>
      </c>
    </row>
    <row r="39" spans="1:8" ht="16.5" thickTop="1"/>
    <row r="40" spans="1:8" s="131" customFormat="1" ht="12">
      <c r="A40" s="131" t="s">
        <v>353</v>
      </c>
    </row>
    <row r="41" spans="1:8" s="131" customFormat="1" ht="12">
      <c r="A41" s="131" t="s">
        <v>354</v>
      </c>
    </row>
    <row r="42" spans="1:8" s="131" customFormat="1" ht="12">
      <c r="A42" s="131" t="s">
        <v>355</v>
      </c>
    </row>
    <row r="43" spans="1:8" s="131" customFormat="1" ht="12">
      <c r="A43" s="131" t="s">
        <v>356</v>
      </c>
    </row>
    <row r="44" spans="1:8" s="131" customFormat="1" ht="12">
      <c r="A44" s="131" t="s">
        <v>357</v>
      </c>
    </row>
    <row r="46" spans="1:8">
      <c r="A46" t="s">
        <v>358</v>
      </c>
      <c r="B46" s="125" t="s">
        <v>185</v>
      </c>
      <c r="C46" s="125"/>
      <c r="D46" s="125" t="s">
        <v>359</v>
      </c>
      <c r="E46" s="125"/>
      <c r="F46" s="125" t="s">
        <v>192</v>
      </c>
      <c r="H46" t="s">
        <v>360</v>
      </c>
    </row>
    <row r="47" spans="1:8">
      <c r="A47" s="133">
        <v>43100</v>
      </c>
      <c r="B47" s="134">
        <v>14225710.219999999</v>
      </c>
      <c r="D47" s="134">
        <v>-793031.24770833331</v>
      </c>
      <c r="F47" s="134">
        <v>-331363.29568124987</v>
      </c>
    </row>
    <row r="48" spans="1:8">
      <c r="A48" s="133">
        <v>43131</v>
      </c>
      <c r="B48" s="134">
        <v>14225710.219999999</v>
      </c>
      <c r="D48" s="134">
        <v>-1149188.0569166667</v>
      </c>
      <c r="F48" s="134">
        <v>-738877.54943916644</v>
      </c>
      <c r="H48" s="134">
        <v>356156.80920833326</v>
      </c>
    </row>
    <row r="49" spans="1:8">
      <c r="A49" s="133">
        <v>43159</v>
      </c>
      <c r="B49" s="134">
        <v>14225710.219999999</v>
      </c>
      <c r="D49" s="134">
        <v>-1505344.8661249999</v>
      </c>
      <c r="F49" s="134">
        <v>-1146391.8031970831</v>
      </c>
      <c r="H49" s="134">
        <v>356156.80920833326</v>
      </c>
    </row>
    <row r="50" spans="1:8">
      <c r="A50" s="133">
        <v>43190</v>
      </c>
      <c r="B50" s="134">
        <v>14385367.18</v>
      </c>
      <c r="D50" s="134">
        <v>-1861501.6753333332</v>
      </c>
      <c r="F50" s="134">
        <v>-1553906.0569549999</v>
      </c>
      <c r="H50" s="134">
        <v>356156.80920833326</v>
      </c>
    </row>
    <row r="51" spans="1:8">
      <c r="A51" s="133">
        <v>43220</v>
      </c>
      <c r="B51" s="134">
        <v>18180267.780000001</v>
      </c>
      <c r="D51" s="134">
        <v>-2327507.3056527777</v>
      </c>
      <c r="F51" s="134">
        <v>-1938352.0582795828</v>
      </c>
      <c r="H51" s="134">
        <v>466005.63031944435</v>
      </c>
    </row>
    <row r="52" spans="1:8">
      <c r="A52" s="133">
        <v>43251</v>
      </c>
      <c r="B52" s="134">
        <v>18180267.780000001</v>
      </c>
      <c r="D52" s="134">
        <v>-2793512.9359722221</v>
      </c>
      <c r="F52" s="134">
        <v>-2322798.0596041665</v>
      </c>
      <c r="H52" s="134">
        <v>466005.63031944435</v>
      </c>
    </row>
    <row r="53" spans="1:8">
      <c r="A53" s="133">
        <v>43281</v>
      </c>
      <c r="B53" s="134">
        <v>19129030.460000001</v>
      </c>
      <c r="D53" s="134">
        <v>-3280852.3090694444</v>
      </c>
      <c r="F53" s="134">
        <v>-2702763.9749454162</v>
      </c>
      <c r="H53" s="134">
        <v>487339.37309722212</v>
      </c>
    </row>
    <row r="54" spans="1:8">
      <c r="A54" s="133">
        <v>43312</v>
      </c>
      <c r="B54" s="134">
        <v>19129030.460000001</v>
      </c>
      <c r="D54" s="134">
        <v>-3773212.4582777778</v>
      </c>
      <c r="F54" s="134">
        <v>-3081675.5273033334</v>
      </c>
      <c r="H54" s="134">
        <v>492360.14920833323</v>
      </c>
    </row>
    <row r="55" spans="1:8">
      <c r="A55" s="133">
        <v>43343</v>
      </c>
      <c r="B55" s="134">
        <v>19129030.460000001</v>
      </c>
      <c r="D55" s="134">
        <v>-4265572.6074861111</v>
      </c>
      <c r="F55" s="134">
        <v>-3460587.0796612496</v>
      </c>
      <c r="H55" s="134">
        <v>492360.14920833323</v>
      </c>
    </row>
    <row r="56" spans="1:8">
      <c r="A56" s="133">
        <v>43373</v>
      </c>
      <c r="B56" s="134">
        <v>21840583.530000001</v>
      </c>
      <c r="D56" s="134">
        <v>-4757932.7566944445</v>
      </c>
      <c r="F56" s="134">
        <v>-3839498.6320191654</v>
      </c>
      <c r="H56" s="134">
        <v>492360.14920833323</v>
      </c>
    </row>
    <row r="57" spans="1:8">
      <c r="A57" s="133">
        <v>43404</v>
      </c>
      <c r="B57" s="134">
        <v>139767461.56999999</v>
      </c>
      <c r="D57" s="134">
        <v>-6249664.5727916667</v>
      </c>
      <c r="F57" s="134">
        <v>-4008542.1343304152</v>
      </c>
      <c r="H57" s="134">
        <v>1491731.8160972225</v>
      </c>
    </row>
    <row r="58" spans="1:8">
      <c r="A58" s="133">
        <v>43434</v>
      </c>
      <c r="B58" s="134">
        <v>139767461.56999999</v>
      </c>
      <c r="D58" s="134">
        <v>-8281508.8268015878</v>
      </c>
      <c r="F58" s="134">
        <v>-4064162.0246800003</v>
      </c>
      <c r="H58" s="134">
        <v>2031844.2540099213</v>
      </c>
    </row>
    <row r="59" spans="1:8">
      <c r="A59" s="135">
        <v>43465</v>
      </c>
      <c r="B59" s="134">
        <v>151136752.75999999</v>
      </c>
      <c r="D59" s="134">
        <v>-10536238.408867065</v>
      </c>
      <c r="F59" s="134">
        <v>-4072975.9961379147</v>
      </c>
      <c r="H59" s="134">
        <v>2254729.582065478</v>
      </c>
    </row>
    <row r="61" spans="1:8">
      <c r="A61" t="s">
        <v>194</v>
      </c>
      <c r="B61" s="134">
        <f>+(B47+B59+SUM(B48:B58)*2)/24</f>
        <v>43386762.726666667</v>
      </c>
      <c r="D61" s="134">
        <f>+(D47+D59+SUM(D48:D58)*2)/24</f>
        <v>-3825869.4332840606</v>
      </c>
      <c r="F61" s="134">
        <f>+(F47+F59+SUM(F48:F58)*2)/24</f>
        <v>-2588310.3788603465</v>
      </c>
      <c r="H61" s="35">
        <f>SUM(H48:H60)</f>
        <v>9743207.1611587331</v>
      </c>
    </row>
    <row r="63" spans="1:8">
      <c r="A63" t="s">
        <v>361</v>
      </c>
      <c r="B63" s="134">
        <f>+B61*0.6619</f>
        <v>28717698.248780668</v>
      </c>
      <c r="D63" s="134">
        <f>+D61*0.6619</f>
        <v>-2532342.9778907197</v>
      </c>
      <c r="F63" s="134">
        <f>+F61*0.6619</f>
        <v>-1713202.6397676636</v>
      </c>
      <c r="H63" s="134">
        <f>+H61*0.6619</f>
        <v>6449028.8199709654</v>
      </c>
    </row>
    <row r="64" spans="1:8">
      <c r="H64" s="134"/>
    </row>
    <row r="65" spans="1:8">
      <c r="A65" t="s">
        <v>362</v>
      </c>
      <c r="B65" s="134">
        <f>+B61*0.3381</f>
        <v>14669064.477886001</v>
      </c>
      <c r="D65" s="134">
        <f>+D61*0.3381</f>
        <v>-1293526.4553933409</v>
      </c>
      <c r="F65" s="134">
        <f>+F61*0.3381</f>
        <v>-875107.73909268319</v>
      </c>
      <c r="H65" s="134">
        <f>+H61*0.3381</f>
        <v>3294178.3411877677</v>
      </c>
    </row>
  </sheetData>
  <pageMargins left="0.7" right="0.7" top="0.75" bottom="0.75" header="0.3" footer="0.3"/>
  <pageSetup scale="6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topLeftCell="A43" workbookViewId="0">
      <selection activeCell="L20" sqref="L20"/>
    </sheetView>
  </sheetViews>
  <sheetFormatPr defaultRowHeight="15.75"/>
  <cols>
    <col min="1" max="1" width="4.125" customWidth="1"/>
    <col min="2" max="2" width="1.625" customWidth="1"/>
    <col min="3" max="3" width="21.5" customWidth="1"/>
    <col min="4" max="4" width="13.375" customWidth="1"/>
    <col min="5" max="5" width="16.25" customWidth="1"/>
    <col min="6" max="6" width="1.125" customWidth="1"/>
    <col min="7" max="7" width="15.875" bestFit="1" customWidth="1"/>
    <col min="8" max="8" width="0.875" customWidth="1"/>
    <col min="9" max="9" width="15.25" customWidth="1"/>
    <col min="10" max="10" width="11.25" bestFit="1" customWidth="1"/>
    <col min="11" max="11" width="12.25" bestFit="1" customWidth="1"/>
    <col min="13" max="13" width="11.375" customWidth="1"/>
    <col min="14" max="14" width="11.25" bestFit="1" customWidth="1"/>
    <col min="15" max="15" width="12.25" bestFit="1" customWidth="1"/>
  </cols>
  <sheetData>
    <row r="1" spans="1:9">
      <c r="A1" t="s">
        <v>144</v>
      </c>
      <c r="I1" s="11" t="s">
        <v>55</v>
      </c>
    </row>
    <row r="2" spans="1:9">
      <c r="A2" t="s">
        <v>145</v>
      </c>
      <c r="I2" s="11" t="s">
        <v>257</v>
      </c>
    </row>
    <row r="3" spans="1:9">
      <c r="A3" s="80" t="s">
        <v>247</v>
      </c>
      <c r="I3" s="92" t="s">
        <v>366</v>
      </c>
    </row>
    <row r="4" spans="1:9">
      <c r="A4" t="s">
        <v>146</v>
      </c>
      <c r="I4" s="11"/>
    </row>
    <row r="5" spans="1:9">
      <c r="A5" s="6"/>
      <c r="I5" s="11"/>
    </row>
    <row r="6" spans="1:9" ht="26.25">
      <c r="C6" s="91" t="s">
        <v>290</v>
      </c>
    </row>
    <row r="10" spans="1:9">
      <c r="A10" t="s">
        <v>1</v>
      </c>
      <c r="G10" s="126" t="s">
        <v>313</v>
      </c>
      <c r="H10" s="2"/>
      <c r="I10" s="2" t="s">
        <v>12</v>
      </c>
    </row>
    <row r="11" spans="1:9" ht="18.75">
      <c r="A11" s="1" t="s">
        <v>2</v>
      </c>
      <c r="C11" s="1" t="s">
        <v>3</v>
      </c>
      <c r="E11" s="48" t="s">
        <v>194</v>
      </c>
      <c r="G11" s="124" t="s">
        <v>317</v>
      </c>
      <c r="H11" s="2"/>
      <c r="I11" s="48" t="s">
        <v>27</v>
      </c>
    </row>
    <row r="13" spans="1:9">
      <c r="A13" s="2">
        <v>1</v>
      </c>
      <c r="C13" s="7" t="s">
        <v>195</v>
      </c>
      <c r="E13" s="40">
        <v>10572466950.394854</v>
      </c>
      <c r="G13" s="40">
        <v>10820118519</v>
      </c>
      <c r="I13" s="40">
        <f t="shared" ref="I13:I15" si="0">+G13-E13</f>
        <v>247651568.60514641</v>
      </c>
    </row>
    <row r="14" spans="1:9">
      <c r="A14" s="2">
        <v>2</v>
      </c>
      <c r="C14" s="7" t="s">
        <v>183</v>
      </c>
      <c r="E14" s="7">
        <v>-4244925258.0010071</v>
      </c>
      <c r="G14" s="7">
        <v>-4389693176</v>
      </c>
      <c r="H14" s="7"/>
      <c r="I14" s="7">
        <f t="shared" si="0"/>
        <v>-144767917.99899292</v>
      </c>
    </row>
    <row r="15" spans="1:9">
      <c r="A15" s="2">
        <v>3</v>
      </c>
      <c r="C15" s="7" t="s">
        <v>196</v>
      </c>
      <c r="E15" s="18">
        <v>-1443684469.5857882</v>
      </c>
      <c r="G15" s="18">
        <v>-1425209483</v>
      </c>
      <c r="I15" s="18">
        <f t="shared" si="0"/>
        <v>18474986.58578825</v>
      </c>
    </row>
    <row r="16" spans="1:9" ht="16.5" thickBot="1">
      <c r="A16" s="2">
        <v>4</v>
      </c>
      <c r="C16" s="7" t="s">
        <v>197</v>
      </c>
      <c r="E16" s="41">
        <f>SUM(E13:E15)</f>
        <v>4883857222.8080578</v>
      </c>
      <c r="G16" s="41">
        <f>SUM(G13:G15)</f>
        <v>5005215860</v>
      </c>
      <c r="H16" s="61"/>
      <c r="I16" s="41">
        <f>SUM(I13:I15)</f>
        <v>121358637.19194174</v>
      </c>
    </row>
    <row r="17" spans="1:9" ht="16.5" thickTop="1">
      <c r="A17" s="2"/>
    </row>
    <row r="18" spans="1:9">
      <c r="A18" s="2"/>
      <c r="G18" t="s">
        <v>198</v>
      </c>
    </row>
    <row r="19" spans="1:9">
      <c r="A19" s="2"/>
      <c r="E19" t="s">
        <v>199</v>
      </c>
      <c r="G19" t="s">
        <v>232</v>
      </c>
    </row>
    <row r="20" spans="1:9">
      <c r="A20" s="2">
        <v>5</v>
      </c>
      <c r="C20" s="7" t="s">
        <v>200</v>
      </c>
      <c r="E20" s="40">
        <v>416918218.02883685</v>
      </c>
      <c r="G20" s="40">
        <v>435544226.33000004</v>
      </c>
      <c r="I20" s="40">
        <f>+G20-E20</f>
        <v>18626008.301163197</v>
      </c>
    </row>
    <row r="21" spans="1:9">
      <c r="A21" s="2">
        <v>6</v>
      </c>
      <c r="C21" s="7" t="s">
        <v>201</v>
      </c>
      <c r="E21" s="18">
        <f>-E20*0.21</f>
        <v>-87552825.786055729</v>
      </c>
      <c r="G21" s="18">
        <f>-G20*0.21</f>
        <v>-91464287.529300004</v>
      </c>
      <c r="I21" s="18">
        <f>-I20*0.21</f>
        <v>-3911461.7432442713</v>
      </c>
    </row>
    <row r="22" spans="1:9" ht="16.5" thickBot="1">
      <c r="A22" s="2">
        <v>7</v>
      </c>
      <c r="C22" s="7" t="s">
        <v>181</v>
      </c>
      <c r="E22" s="41">
        <f>+E20+E21</f>
        <v>329365392.2427811</v>
      </c>
      <c r="G22" s="41">
        <f>+G20+G21</f>
        <v>344079938.80070007</v>
      </c>
      <c r="H22" s="61"/>
      <c r="I22" s="41">
        <f>+I20+I21</f>
        <v>14714546.557918925</v>
      </c>
    </row>
    <row r="23" spans="1:9" ht="16.5" thickTop="1">
      <c r="A23" s="2"/>
      <c r="C23" s="7"/>
    </row>
    <row r="24" spans="1:9">
      <c r="A24" s="2"/>
      <c r="C24" s="7"/>
      <c r="G24" s="40"/>
      <c r="H24" s="40"/>
      <c r="I24" s="40"/>
    </row>
    <row r="25" spans="1:9">
      <c r="A25" s="2"/>
    </row>
    <row r="26" spans="1:9">
      <c r="A26" s="2"/>
      <c r="C26" s="7"/>
    </row>
    <row r="27" spans="1:9">
      <c r="A27" s="2"/>
    </row>
    <row r="28" spans="1:9">
      <c r="A28" s="2"/>
    </row>
    <row r="30" spans="1:9">
      <c r="C30" t="s">
        <v>202</v>
      </c>
    </row>
    <row r="31" spans="1:9">
      <c r="C31" t="s">
        <v>207</v>
      </c>
    </row>
    <row r="32" spans="1:9">
      <c r="C32" s="7" t="s">
        <v>318</v>
      </c>
    </row>
    <row r="33" spans="3:11">
      <c r="C33" t="s">
        <v>319</v>
      </c>
    </row>
    <row r="36" spans="3:11">
      <c r="E36" t="s">
        <v>188</v>
      </c>
      <c r="I36" t="s">
        <v>297</v>
      </c>
    </row>
    <row r="37" spans="3:11">
      <c r="E37" t="s">
        <v>248</v>
      </c>
      <c r="I37" t="s">
        <v>249</v>
      </c>
    </row>
    <row r="38" spans="3:11">
      <c r="E38" t="s">
        <v>189</v>
      </c>
      <c r="F38" t="s">
        <v>190</v>
      </c>
      <c r="I38" t="s">
        <v>189</v>
      </c>
      <c r="J38" t="s">
        <v>190</v>
      </c>
    </row>
    <row r="39" spans="3:11">
      <c r="C39" s="54">
        <v>43131</v>
      </c>
      <c r="E39" s="57">
        <v>28526958.015484996</v>
      </c>
      <c r="F39" s="57">
        <v>5594895.4389629904</v>
      </c>
      <c r="G39" s="22">
        <f t="shared" ref="G39:G56" si="1">SUM(E39:F39)</f>
        <v>34121853.454447985</v>
      </c>
      <c r="H39" s="35"/>
      <c r="I39" s="57">
        <v>9457463.8845149986</v>
      </c>
      <c r="J39" s="57">
        <v>1824111.3410369998</v>
      </c>
      <c r="K39" s="22">
        <f t="shared" ref="K39:K56" si="2">SUM(I39:J39)</f>
        <v>11281575.225551998</v>
      </c>
    </row>
    <row r="40" spans="3:11">
      <c r="C40" s="54">
        <v>43159</v>
      </c>
      <c r="E40" s="57">
        <v>28586578.851427</v>
      </c>
      <c r="F40" s="57">
        <v>5556432.1129620001</v>
      </c>
      <c r="G40" s="22">
        <f t="shared" si="1"/>
        <v>34143010.964388996</v>
      </c>
      <c r="I40" s="57">
        <v>9646792.5085730013</v>
      </c>
      <c r="J40" s="57">
        <v>1795835.0970379992</v>
      </c>
      <c r="K40" s="22">
        <f t="shared" si="2"/>
        <v>11442627.605611</v>
      </c>
    </row>
    <row r="41" spans="3:11">
      <c r="C41" s="54">
        <v>43190</v>
      </c>
      <c r="E41" s="57">
        <v>28700478.719999999</v>
      </c>
      <c r="F41" s="57">
        <v>5493846.2999999896</v>
      </c>
      <c r="G41" s="22">
        <f t="shared" si="1"/>
        <v>34194325.019999988</v>
      </c>
      <c r="I41" s="57">
        <v>9667429.7100000009</v>
      </c>
      <c r="J41" s="57">
        <v>1775718.5999999999</v>
      </c>
      <c r="K41" s="22">
        <f t="shared" si="2"/>
        <v>11443148.310000001</v>
      </c>
    </row>
    <row r="42" spans="3:11">
      <c r="C42" s="54">
        <v>43220</v>
      </c>
      <c r="E42" s="57">
        <v>28792854.179999899</v>
      </c>
      <c r="F42" s="57">
        <v>5509051.9700000007</v>
      </c>
      <c r="G42" s="22">
        <f t="shared" si="1"/>
        <v>34301906.149999902</v>
      </c>
      <c r="I42" s="57">
        <v>9698504.9299999997</v>
      </c>
      <c r="J42" s="57">
        <v>1785695.399999999</v>
      </c>
      <c r="K42" s="22">
        <f t="shared" si="2"/>
        <v>11484200.329999998</v>
      </c>
    </row>
    <row r="43" spans="3:11">
      <c r="C43" s="54">
        <v>43251</v>
      </c>
      <c r="E43" s="57">
        <v>28753694.18</v>
      </c>
      <c r="F43" s="57">
        <v>5532159.5699999994</v>
      </c>
      <c r="G43" s="22">
        <f t="shared" si="1"/>
        <v>34285853.75</v>
      </c>
      <c r="I43" s="57">
        <v>9729857.5999999996</v>
      </c>
      <c r="J43" s="57">
        <v>1796407.15</v>
      </c>
      <c r="K43" s="22">
        <f t="shared" si="2"/>
        <v>11526264.75</v>
      </c>
    </row>
    <row r="44" spans="3:11">
      <c r="C44" s="54">
        <v>43281</v>
      </c>
      <c r="E44" s="57">
        <v>28708283.260000002</v>
      </c>
      <c r="F44" s="57">
        <v>6126552.0199999996</v>
      </c>
      <c r="G44" s="22">
        <f t="shared" si="1"/>
        <v>34834835.280000001</v>
      </c>
      <c r="I44" s="57">
        <v>9744883.4600000009</v>
      </c>
      <c r="J44" s="57">
        <v>2101167.91</v>
      </c>
      <c r="K44" s="22">
        <f t="shared" si="2"/>
        <v>11846051.370000001</v>
      </c>
    </row>
    <row r="45" spans="3:11">
      <c r="C45" s="54">
        <v>43312</v>
      </c>
      <c r="E45" s="57">
        <v>26227987.149999999</v>
      </c>
      <c r="F45" s="57">
        <v>6217632.2800000003</v>
      </c>
      <c r="G45" s="22">
        <f t="shared" si="1"/>
        <v>32445619.43</v>
      </c>
      <c r="I45" s="57">
        <v>8718434.4100000001</v>
      </c>
      <c r="J45" s="57">
        <v>2150090.44</v>
      </c>
      <c r="K45" s="22">
        <f t="shared" si="2"/>
        <v>10868524.85</v>
      </c>
    </row>
    <row r="46" spans="3:11">
      <c r="C46" s="54">
        <v>43343</v>
      </c>
      <c r="E46" s="57">
        <v>28417317.77</v>
      </c>
      <c r="F46" s="57">
        <v>6253340.1000000006</v>
      </c>
      <c r="G46" s="22">
        <f t="shared" si="1"/>
        <v>34670657.869999997</v>
      </c>
      <c r="I46" s="57">
        <v>9736070.6100000013</v>
      </c>
      <c r="J46" s="57">
        <v>2167838.63</v>
      </c>
      <c r="K46" s="22">
        <f t="shared" si="2"/>
        <v>11903909.240000002</v>
      </c>
    </row>
    <row r="47" spans="3:11">
      <c r="C47" s="54">
        <v>43373</v>
      </c>
      <c r="E47" s="57">
        <v>28515841.77</v>
      </c>
      <c r="F47" s="57">
        <v>6640966.0500000007</v>
      </c>
      <c r="G47" s="22">
        <f t="shared" si="1"/>
        <v>35156807.82</v>
      </c>
      <c r="I47" s="57">
        <v>10135410.310000001</v>
      </c>
      <c r="J47" s="57">
        <v>2368904.5299999998</v>
      </c>
      <c r="K47" s="22">
        <f t="shared" si="2"/>
        <v>12504314.84</v>
      </c>
    </row>
    <row r="48" spans="3:11">
      <c r="C48" s="54">
        <v>43404</v>
      </c>
      <c r="E48" s="57">
        <v>28666646.720000003</v>
      </c>
      <c r="F48" s="57">
        <v>7128902.3500000006</v>
      </c>
      <c r="G48" s="22">
        <f t="shared" si="1"/>
        <v>35795549.07</v>
      </c>
      <c r="I48" s="57">
        <v>9898350.2499999981</v>
      </c>
      <c r="J48" s="57">
        <v>2614938.3099999996</v>
      </c>
      <c r="K48" s="22">
        <f t="shared" si="2"/>
        <v>12513288.559999999</v>
      </c>
    </row>
    <row r="49" spans="3:11">
      <c r="C49" s="54">
        <v>43434</v>
      </c>
      <c r="E49" s="57">
        <v>28782223.23</v>
      </c>
      <c r="F49" s="57">
        <v>7652626.46</v>
      </c>
      <c r="G49" s="22">
        <f t="shared" si="1"/>
        <v>36434849.689999998</v>
      </c>
      <c r="I49" s="57">
        <v>10458290.229999999</v>
      </c>
      <c r="J49" s="57">
        <v>2875675.06</v>
      </c>
      <c r="K49" s="22">
        <f t="shared" si="2"/>
        <v>13333965.289999999</v>
      </c>
    </row>
    <row r="50" spans="3:11">
      <c r="C50" s="54">
        <v>43465</v>
      </c>
      <c r="E50" s="57">
        <v>28946396.119999997</v>
      </c>
      <c r="F50" s="57">
        <v>7586553.4100000001</v>
      </c>
      <c r="G50" s="22">
        <f t="shared" si="1"/>
        <v>36532949.530000001</v>
      </c>
      <c r="I50" s="57">
        <v>10066242.6</v>
      </c>
      <c r="J50" s="57">
        <v>2861187.49</v>
      </c>
      <c r="K50" s="22">
        <f t="shared" si="2"/>
        <v>12927430.09</v>
      </c>
    </row>
    <row r="51" spans="3:11">
      <c r="C51" s="54">
        <v>43496</v>
      </c>
      <c r="E51" s="57">
        <v>29132922.23</v>
      </c>
      <c r="F51" s="57">
        <v>7666215.8100000005</v>
      </c>
      <c r="G51" s="22">
        <f t="shared" si="1"/>
        <v>36799138.039999999</v>
      </c>
      <c r="I51" s="57">
        <v>10085971.34</v>
      </c>
      <c r="J51" s="57">
        <v>2924941.8100000005</v>
      </c>
      <c r="K51" s="22">
        <f t="shared" si="2"/>
        <v>13010913.15</v>
      </c>
    </row>
    <row r="52" spans="3:11">
      <c r="C52" s="54">
        <v>43524</v>
      </c>
      <c r="E52" s="57">
        <v>29098703.5</v>
      </c>
      <c r="F52" s="57">
        <v>7936632.1000000006</v>
      </c>
      <c r="G52" s="22">
        <f t="shared" si="1"/>
        <v>37035335.600000001</v>
      </c>
      <c r="I52" s="57">
        <v>10186732.940000001</v>
      </c>
      <c r="J52" s="57">
        <v>2979884.72</v>
      </c>
      <c r="K52" s="22">
        <f t="shared" si="2"/>
        <v>13166617.660000002</v>
      </c>
    </row>
    <row r="53" spans="3:11">
      <c r="C53" s="54">
        <v>43555</v>
      </c>
      <c r="E53" s="57">
        <v>29353318.129999999</v>
      </c>
      <c r="F53" s="57">
        <v>8193770.7799999993</v>
      </c>
      <c r="G53" s="22">
        <f t="shared" si="1"/>
        <v>37547088.909999996</v>
      </c>
      <c r="I53" s="57">
        <v>10302853.030000001</v>
      </c>
      <c r="J53" s="57">
        <v>3054661.9699999997</v>
      </c>
      <c r="K53" s="22">
        <f t="shared" si="2"/>
        <v>13357515</v>
      </c>
    </row>
    <row r="54" spans="3:11">
      <c r="C54" s="54">
        <v>43585</v>
      </c>
      <c r="E54" s="57">
        <v>29326893.390000004</v>
      </c>
      <c r="F54" s="57">
        <v>8335965.5599999996</v>
      </c>
      <c r="G54" s="22">
        <f t="shared" si="1"/>
        <v>37662858.950000003</v>
      </c>
      <c r="I54" s="57">
        <v>10276983.01</v>
      </c>
      <c r="J54" s="57">
        <v>3141388.26</v>
      </c>
      <c r="K54" s="22">
        <f t="shared" si="2"/>
        <v>13418371.27</v>
      </c>
    </row>
    <row r="55" spans="3:11">
      <c r="C55" s="54">
        <v>43616</v>
      </c>
      <c r="E55" s="57">
        <v>29356014.859999999</v>
      </c>
      <c r="F55" s="57">
        <v>8325031.6199999992</v>
      </c>
      <c r="G55" s="22">
        <f t="shared" si="1"/>
        <v>37681046.479999997</v>
      </c>
      <c r="I55" s="57">
        <v>10318582.01</v>
      </c>
      <c r="J55" s="57">
        <v>3133215.85</v>
      </c>
      <c r="K55" s="22">
        <f t="shared" si="2"/>
        <v>13451797.859999999</v>
      </c>
    </row>
    <row r="56" spans="3:11">
      <c r="C56" s="54">
        <v>43646</v>
      </c>
      <c r="E56" s="57">
        <v>29425752.430000003</v>
      </c>
      <c r="F56" s="57">
        <v>8356572.5100000007</v>
      </c>
      <c r="G56" s="22">
        <f t="shared" si="1"/>
        <v>37782324.940000005</v>
      </c>
      <c r="I56" s="57">
        <v>10374419.540000001</v>
      </c>
      <c r="J56" s="57">
        <v>3146463.03</v>
      </c>
      <c r="K56" s="22">
        <f t="shared" si="2"/>
        <v>13520882.57</v>
      </c>
    </row>
    <row r="58" spans="3:11">
      <c r="E58" s="22">
        <f>+SUM(E39:E50)</f>
        <v>341625259.96691197</v>
      </c>
      <c r="F58" s="22">
        <f>+SUM(F39:F50)</f>
        <v>75292958.061924979</v>
      </c>
      <c r="G58" s="22">
        <f>+SUM(G39:G50)</f>
        <v>416918218.02883685</v>
      </c>
      <c r="K58" s="22">
        <f>+SUM(K39:K50)</f>
        <v>143075300.46116298</v>
      </c>
    </row>
    <row r="59" spans="3:11">
      <c r="E59" s="22"/>
      <c r="F59" s="22"/>
      <c r="G59" s="22">
        <f>+SUM(G45:G56)</f>
        <v>435544226.33000004</v>
      </c>
      <c r="K59" s="22">
        <f>+SUM(K45:K56)</f>
        <v>153977530.38</v>
      </c>
    </row>
  </sheetData>
  <pageMargins left="0.7" right="0.7" top="0.75" bottom="0.75" header="0.3" footer="0.3"/>
  <pageSetup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7"/>
  <sheetViews>
    <sheetView zoomScale="40" zoomScaleNormal="40" workbookViewId="0">
      <selection activeCell="W3" sqref="W3"/>
    </sheetView>
  </sheetViews>
  <sheetFormatPr defaultRowHeight="15.75"/>
  <cols>
    <col min="1" max="1" width="7.875" customWidth="1"/>
    <col min="2" max="2" width="1.5" customWidth="1"/>
    <col min="3" max="3" width="25.125" customWidth="1"/>
    <col min="4" max="4" width="1.375" customWidth="1"/>
    <col min="5" max="5" width="12.25" bestFit="1" customWidth="1"/>
    <col min="6" max="6" width="1.25" customWidth="1"/>
    <col min="7" max="7" width="13.875" bestFit="1" customWidth="1"/>
    <col min="8" max="8" width="1.25" customWidth="1"/>
    <col min="9" max="9" width="12.25" bestFit="1" customWidth="1"/>
    <col min="10" max="10" width="1.125" customWidth="1"/>
    <col min="11" max="11" width="12" bestFit="1" customWidth="1"/>
    <col min="12" max="12" width="1.375" customWidth="1"/>
    <col min="13" max="13" width="13.125" customWidth="1"/>
    <col min="14" max="14" width="3" customWidth="1"/>
    <col min="15" max="15" width="12.25" bestFit="1" customWidth="1"/>
    <col min="16" max="16" width="1.125" customWidth="1"/>
    <col min="17" max="17" width="13.875" bestFit="1" customWidth="1"/>
    <col min="18" max="18" width="1.125" customWidth="1"/>
    <col min="19" max="19" width="12" bestFit="1" customWidth="1"/>
    <col min="20" max="20" width="1.125" customWidth="1"/>
    <col min="21" max="21" width="17.375" bestFit="1" customWidth="1"/>
    <col min="22" max="22" width="0.75" customWidth="1"/>
    <col min="23" max="23" width="13.75" customWidth="1"/>
  </cols>
  <sheetData>
    <row r="1" spans="1:23">
      <c r="A1" t="s">
        <v>158</v>
      </c>
      <c r="V1" s="11"/>
      <c r="W1" s="11" t="s">
        <v>55</v>
      </c>
    </row>
    <row r="2" spans="1:23">
      <c r="A2" t="s">
        <v>145</v>
      </c>
      <c r="V2" s="11"/>
      <c r="W2" s="11" t="s">
        <v>257</v>
      </c>
    </row>
    <row r="3" spans="1:23">
      <c r="A3" s="80" t="s">
        <v>278</v>
      </c>
      <c r="V3" s="11"/>
      <c r="W3" s="11" t="s">
        <v>374</v>
      </c>
    </row>
    <row r="4" spans="1:23">
      <c r="A4" t="s">
        <v>54</v>
      </c>
      <c r="V4" s="11"/>
      <c r="W4" s="11" t="s">
        <v>25</v>
      </c>
    </row>
    <row r="5" spans="1:23">
      <c r="V5" s="11"/>
      <c r="W5" s="11"/>
    </row>
    <row r="6" spans="1:23">
      <c r="V6" s="11"/>
      <c r="W6" s="11"/>
    </row>
    <row r="7" spans="1:23">
      <c r="E7" s="22"/>
      <c r="F7" s="22"/>
      <c r="G7" s="22"/>
      <c r="H7" s="22"/>
    </row>
    <row r="8" spans="1:23">
      <c r="E8" s="136"/>
      <c r="F8" s="136"/>
      <c r="G8" s="136"/>
      <c r="H8" s="136"/>
      <c r="I8" s="136"/>
      <c r="K8" s="2"/>
      <c r="L8" s="2"/>
      <c r="M8" s="2"/>
      <c r="O8" s="137" t="s">
        <v>23</v>
      </c>
      <c r="P8" s="137"/>
      <c r="Q8" s="137"/>
      <c r="R8" s="137"/>
      <c r="S8" s="137"/>
      <c r="T8" s="16"/>
      <c r="U8" s="2" t="s">
        <v>17</v>
      </c>
      <c r="V8" s="2"/>
      <c r="W8" s="2" t="s">
        <v>18</v>
      </c>
    </row>
    <row r="9" spans="1:23" ht="18.75">
      <c r="A9" s="2" t="s">
        <v>56</v>
      </c>
      <c r="B9" s="2"/>
      <c r="E9" s="139" t="s">
        <v>172</v>
      </c>
      <c r="F9" s="139"/>
      <c r="G9" s="139"/>
      <c r="H9" s="139"/>
      <c r="I9" s="139"/>
      <c r="K9" s="138" t="s">
        <v>50</v>
      </c>
      <c r="L9" s="138"/>
      <c r="M9" s="138"/>
      <c r="O9" s="138" t="s">
        <v>24</v>
      </c>
      <c r="P9" s="138"/>
      <c r="Q9" s="138"/>
      <c r="R9" s="138"/>
      <c r="S9" s="138"/>
      <c r="T9" s="16"/>
      <c r="U9" s="2" t="s">
        <v>261</v>
      </c>
      <c r="V9" s="2"/>
      <c r="W9" s="2" t="s">
        <v>19</v>
      </c>
    </row>
    <row r="10" spans="1:23">
      <c r="A10" s="3" t="s">
        <v>14</v>
      </c>
      <c r="B10" s="16"/>
      <c r="C10" s="3" t="s">
        <v>260</v>
      </c>
      <c r="D10" s="16"/>
      <c r="E10" s="29" t="s">
        <v>15</v>
      </c>
      <c r="F10" s="28"/>
      <c r="G10" s="29" t="s">
        <v>4</v>
      </c>
      <c r="H10" s="28"/>
      <c r="I10" s="3" t="s">
        <v>16</v>
      </c>
      <c r="K10" s="3" t="s">
        <v>159</v>
      </c>
      <c r="L10" s="37"/>
      <c r="M10" s="39" t="s">
        <v>4</v>
      </c>
      <c r="N10" s="79"/>
      <c r="O10" s="29" t="s">
        <v>15</v>
      </c>
      <c r="P10" s="28"/>
      <c r="Q10" s="29" t="s">
        <v>4</v>
      </c>
      <c r="R10" s="28"/>
      <c r="S10" s="3" t="s">
        <v>16</v>
      </c>
      <c r="T10" s="16"/>
      <c r="U10" s="3" t="s">
        <v>262</v>
      </c>
      <c r="V10" s="16"/>
      <c r="W10" s="3" t="s">
        <v>20</v>
      </c>
    </row>
    <row r="11" spans="1:23">
      <c r="E11" s="22"/>
      <c r="F11" s="22"/>
      <c r="G11" s="22"/>
      <c r="H11" s="22"/>
      <c r="N11" s="79"/>
      <c r="Q11" s="35"/>
      <c r="T11" s="17"/>
    </row>
    <row r="12" spans="1:23" ht="16.899999999999999" customHeight="1">
      <c r="B12" s="25"/>
      <c r="D12" s="12"/>
      <c r="E12" s="13">
        <v>391140691</v>
      </c>
      <c r="F12" s="22"/>
      <c r="G12" s="13">
        <v>5208778506</v>
      </c>
      <c r="H12" s="22"/>
      <c r="I12" s="13">
        <f>((G12*0.0762)-E12)/0.751381</f>
        <v>7676839.2562495442</v>
      </c>
      <c r="J12" s="23"/>
      <c r="K12" s="22"/>
      <c r="L12" s="22"/>
      <c r="M12" s="22"/>
      <c r="N12" s="79"/>
      <c r="O12" s="22">
        <f>+E12</f>
        <v>391140691</v>
      </c>
      <c r="P12" s="22"/>
      <c r="Q12" s="22">
        <f>+G12</f>
        <v>5208778506</v>
      </c>
      <c r="R12" s="22"/>
      <c r="S12" s="13">
        <f>((Q12*'Cost of Capital'!G$39)-O12)/0.751381</f>
        <v>-30491564.757407263</v>
      </c>
      <c r="T12" s="17"/>
      <c r="U12" s="83" t="s">
        <v>241</v>
      </c>
      <c r="V12" s="14"/>
      <c r="W12" s="13">
        <f t="shared" ref="W12:W52" si="0">+S12-I12</f>
        <v>-38168404.01365681</v>
      </c>
    </row>
    <row r="13" spans="1:23" ht="19.899999999999999" customHeight="1">
      <c r="A13" t="s">
        <v>57</v>
      </c>
      <c r="B13" s="25"/>
      <c r="C13" t="s">
        <v>105</v>
      </c>
      <c r="D13" s="12"/>
      <c r="E13" s="52">
        <v>8327800</v>
      </c>
      <c r="F13" s="68"/>
      <c r="G13" s="52">
        <v>0</v>
      </c>
      <c r="H13" s="68"/>
      <c r="I13" s="52">
        <f t="shared" ref="I13:I38" si="1">((G13*0.0762)-E13)/0.751381</f>
        <v>-11083325.237130031</v>
      </c>
      <c r="K13" s="22"/>
      <c r="L13" s="22"/>
      <c r="M13" s="22"/>
      <c r="N13" s="79"/>
      <c r="O13" s="22">
        <f>+E13+K13</f>
        <v>8327800</v>
      </c>
      <c r="P13" s="22"/>
      <c r="Q13" s="22">
        <f>+G13+M13</f>
        <v>0</v>
      </c>
      <c r="R13" s="8"/>
      <c r="S13" s="13">
        <f>((Q13*'Cost of Capital'!G$39)-O13)/0.751381</f>
        <v>-11083325.237130031</v>
      </c>
      <c r="U13" s="83" t="s">
        <v>21</v>
      </c>
      <c r="V13" s="14"/>
      <c r="W13" s="13">
        <f t="shared" si="0"/>
        <v>0</v>
      </c>
    </row>
    <row r="14" spans="1:23" ht="19.899999999999999" customHeight="1">
      <c r="A14" t="s">
        <v>58</v>
      </c>
      <c r="B14" s="25"/>
      <c r="C14" t="s">
        <v>104</v>
      </c>
      <c r="D14" s="12"/>
      <c r="E14" s="52">
        <v>3965157</v>
      </c>
      <c r="F14" s="68"/>
      <c r="G14" s="52">
        <v>0</v>
      </c>
      <c r="H14" s="68"/>
      <c r="I14" s="52">
        <f t="shared" si="1"/>
        <v>-5277158.9912441224</v>
      </c>
      <c r="K14" s="22"/>
      <c r="L14" s="22"/>
      <c r="M14" s="22"/>
      <c r="N14" s="79"/>
      <c r="O14" s="22">
        <f t="shared" ref="O14:O38" si="2">+E14+K14</f>
        <v>3965157</v>
      </c>
      <c r="P14" s="22"/>
      <c r="Q14" s="22">
        <f t="shared" ref="Q14:Q38" si="3">+G14+M14</f>
        <v>0</v>
      </c>
      <c r="R14" s="8"/>
      <c r="S14" s="13">
        <f>((Q14*'Cost of Capital'!G$39)-O14)/0.751381</f>
        <v>-5277158.9912441224</v>
      </c>
      <c r="U14" s="83" t="s">
        <v>21</v>
      </c>
      <c r="V14" s="14"/>
      <c r="W14" s="13">
        <f t="shared" si="0"/>
        <v>0</v>
      </c>
    </row>
    <row r="15" spans="1:23" ht="19.899999999999999" customHeight="1">
      <c r="A15" t="s">
        <v>59</v>
      </c>
      <c r="B15" s="25"/>
      <c r="C15" t="s">
        <v>103</v>
      </c>
      <c r="D15" s="12"/>
      <c r="E15" s="52">
        <v>-14935653</v>
      </c>
      <c r="F15" s="68"/>
      <c r="G15" s="52">
        <v>0</v>
      </c>
      <c r="H15" s="68"/>
      <c r="I15" s="52">
        <f t="shared" si="1"/>
        <v>19877602.707547836</v>
      </c>
      <c r="K15" s="22">
        <f>+'Interim Protected EDIT'!D23</f>
        <v>13464293.873972602</v>
      </c>
      <c r="L15" s="22"/>
      <c r="M15" s="22">
        <f>-'Interim Protected EDIT'!D21</f>
        <v>-22532936.180555556</v>
      </c>
      <c r="N15" s="88" t="s">
        <v>36</v>
      </c>
      <c r="O15" s="22">
        <f t="shared" si="2"/>
        <v>-1471359.1260273978</v>
      </c>
      <c r="P15" s="22"/>
      <c r="Q15" s="22">
        <f t="shared" si="3"/>
        <v>-22532936.180555556</v>
      </c>
      <c r="R15" s="8"/>
      <c r="S15" s="13">
        <f>((Q15*'Cost of Capital'!G$39)-O15)/0.751381</f>
        <v>-161817.39705211431</v>
      </c>
      <c r="U15" s="83" t="s">
        <v>22</v>
      </c>
      <c r="V15" s="14"/>
      <c r="W15" s="13">
        <f t="shared" si="0"/>
        <v>-20039420.104599949</v>
      </c>
    </row>
    <row r="16" spans="1:23" ht="19.899999999999999" customHeight="1">
      <c r="A16" t="s">
        <v>60</v>
      </c>
      <c r="B16" s="25"/>
      <c r="C16" t="s">
        <v>102</v>
      </c>
      <c r="D16" s="12"/>
      <c r="E16" s="52">
        <v>33105346</v>
      </c>
      <c r="F16" s="68"/>
      <c r="G16" s="52">
        <v>0</v>
      </c>
      <c r="H16" s="68"/>
      <c r="I16" s="52">
        <f t="shared" si="1"/>
        <v>-44059333.414073557</v>
      </c>
      <c r="K16" s="22"/>
      <c r="L16" s="22"/>
      <c r="M16" s="22"/>
      <c r="N16" s="79"/>
      <c r="O16" s="22">
        <f t="shared" si="2"/>
        <v>33105346</v>
      </c>
      <c r="P16" s="22"/>
      <c r="Q16" s="22">
        <f t="shared" si="3"/>
        <v>0</v>
      </c>
      <c r="R16" s="8"/>
      <c r="S16" s="13">
        <f>((Q16*'Cost of Capital'!G$39)-O16)/0.751381</f>
        <v>-44059333.414073557</v>
      </c>
      <c r="U16" s="83" t="s">
        <v>21</v>
      </c>
      <c r="V16" s="14"/>
      <c r="W16" s="13">
        <f t="shared" si="0"/>
        <v>0</v>
      </c>
    </row>
    <row r="17" spans="1:23" ht="19.899999999999999" customHeight="1">
      <c r="A17" t="s">
        <v>61</v>
      </c>
      <c r="B17" s="25"/>
      <c r="C17" t="s">
        <v>253</v>
      </c>
      <c r="D17" s="12"/>
      <c r="E17" s="52">
        <v>-1955986</v>
      </c>
      <c r="F17" s="68"/>
      <c r="G17" s="52">
        <v>0</v>
      </c>
      <c r="H17" s="68"/>
      <c r="I17" s="52">
        <f t="shared" si="1"/>
        <v>2603187.9965024404</v>
      </c>
      <c r="K17" s="22"/>
      <c r="L17" s="22"/>
      <c r="M17" s="22"/>
      <c r="N17" s="79"/>
      <c r="O17" s="22">
        <f t="shared" si="2"/>
        <v>-1955986</v>
      </c>
      <c r="P17" s="22"/>
      <c r="Q17" s="22">
        <f t="shared" si="3"/>
        <v>0</v>
      </c>
      <c r="R17" s="8"/>
      <c r="S17" s="13">
        <f>((Q17*'Cost of Capital'!G$39)-O17)/0.751381</f>
        <v>2603187.9965024404</v>
      </c>
      <c r="U17" s="83" t="s">
        <v>21</v>
      </c>
      <c r="V17" s="14"/>
      <c r="W17" s="13">
        <f t="shared" si="0"/>
        <v>0</v>
      </c>
    </row>
    <row r="18" spans="1:23" ht="19.899999999999999" customHeight="1">
      <c r="A18" t="s">
        <v>62</v>
      </c>
      <c r="B18" s="25"/>
      <c r="C18" t="s">
        <v>52</v>
      </c>
      <c r="D18" s="12"/>
      <c r="E18" s="52">
        <v>66597</v>
      </c>
      <c r="F18" s="68"/>
      <c r="G18" s="52">
        <v>0</v>
      </c>
      <c r="H18" s="68"/>
      <c r="I18" s="52">
        <f t="shared" si="1"/>
        <v>-88632.797475581639</v>
      </c>
      <c r="K18" s="22"/>
      <c r="L18" s="22"/>
      <c r="M18" s="22"/>
      <c r="N18" s="79"/>
      <c r="O18" s="22">
        <f t="shared" si="2"/>
        <v>66597</v>
      </c>
      <c r="P18" s="22"/>
      <c r="Q18" s="22">
        <f t="shared" si="3"/>
        <v>0</v>
      </c>
      <c r="R18" s="8"/>
      <c r="S18" s="13">
        <f>((Q18*'Cost of Capital'!G$39)-O18)/0.751381</f>
        <v>-88632.797475581639</v>
      </c>
      <c r="U18" s="83" t="s">
        <v>21</v>
      </c>
      <c r="V18" s="14"/>
      <c r="W18" s="13">
        <f t="shared" si="0"/>
        <v>0</v>
      </c>
    </row>
    <row r="19" spans="1:23" ht="19.899999999999999" customHeight="1">
      <c r="A19" t="s">
        <v>63</v>
      </c>
      <c r="B19" s="25"/>
      <c r="C19" t="s">
        <v>101</v>
      </c>
      <c r="D19" s="12"/>
      <c r="E19" s="52">
        <v>303154</v>
      </c>
      <c r="F19" s="68"/>
      <c r="G19" s="52">
        <v>0</v>
      </c>
      <c r="H19" s="68"/>
      <c r="I19" s="52">
        <f t="shared" si="1"/>
        <v>-403462.42452231294</v>
      </c>
      <c r="K19" s="22"/>
      <c r="L19" s="22"/>
      <c r="M19" s="22"/>
      <c r="N19" s="79"/>
      <c r="O19" s="22">
        <f t="shared" si="2"/>
        <v>303154</v>
      </c>
      <c r="P19" s="22"/>
      <c r="Q19" s="22">
        <f t="shared" si="3"/>
        <v>0</v>
      </c>
      <c r="R19" s="8"/>
      <c r="S19" s="13">
        <f>((Q19*'Cost of Capital'!G$39)-O19)/0.751381</f>
        <v>-403462.42452231294</v>
      </c>
      <c r="U19" s="83" t="s">
        <v>21</v>
      </c>
      <c r="V19" s="14"/>
      <c r="W19" s="13">
        <f t="shared" si="0"/>
        <v>0</v>
      </c>
    </row>
    <row r="20" spans="1:23" ht="19.899999999999999" customHeight="1">
      <c r="A20" t="s">
        <v>64</v>
      </c>
      <c r="B20" s="25"/>
      <c r="C20" t="s">
        <v>100</v>
      </c>
      <c r="D20" s="12"/>
      <c r="E20" s="52">
        <v>184145</v>
      </c>
      <c r="F20" s="68"/>
      <c r="G20" s="52">
        <v>0</v>
      </c>
      <c r="H20" s="68"/>
      <c r="I20" s="52">
        <f t="shared" si="1"/>
        <v>-245075.40116132828</v>
      </c>
      <c r="K20" s="22">
        <f>+Incentives!D25</f>
        <v>3781193.59</v>
      </c>
      <c r="L20" s="22"/>
      <c r="M20" s="22"/>
      <c r="N20" s="88" t="s">
        <v>38</v>
      </c>
      <c r="O20" s="22">
        <f t="shared" si="2"/>
        <v>3965338.59</v>
      </c>
      <c r="P20" s="22"/>
      <c r="Q20" s="22">
        <f t="shared" si="3"/>
        <v>0</v>
      </c>
      <c r="R20" s="8"/>
      <c r="S20" s="13">
        <f>((Q20*'Cost of Capital'!G$39)-O20)/0.751381</f>
        <v>-5277400.6662398968</v>
      </c>
      <c r="U20" s="83" t="s">
        <v>22</v>
      </c>
      <c r="V20" s="14"/>
      <c r="W20" s="13">
        <f t="shared" si="0"/>
        <v>-5032325.2650785688</v>
      </c>
    </row>
    <row r="21" spans="1:23" ht="19.899999999999999" customHeight="1">
      <c r="A21" t="s">
        <v>65</v>
      </c>
      <c r="B21" s="25"/>
      <c r="C21" t="s">
        <v>99</v>
      </c>
      <c r="D21" s="12"/>
      <c r="E21" s="52">
        <v>71835</v>
      </c>
      <c r="F21" s="68"/>
      <c r="G21" s="52">
        <v>0</v>
      </c>
      <c r="H21" s="68"/>
      <c r="I21" s="52">
        <f t="shared" si="1"/>
        <v>-95603.961239371245</v>
      </c>
      <c r="K21" s="22"/>
      <c r="L21" s="22"/>
      <c r="M21" s="22"/>
      <c r="N21" s="79"/>
      <c r="O21" s="22">
        <f t="shared" si="2"/>
        <v>71835</v>
      </c>
      <c r="P21" s="22"/>
      <c r="Q21" s="22">
        <f t="shared" si="3"/>
        <v>0</v>
      </c>
      <c r="R21" s="8"/>
      <c r="S21" s="13">
        <f>((Q21*'Cost of Capital'!G$39)-O21)/0.751381</f>
        <v>-95603.961239371245</v>
      </c>
      <c r="U21" s="83" t="s">
        <v>21</v>
      </c>
      <c r="V21" s="14"/>
      <c r="W21" s="13">
        <f t="shared" si="0"/>
        <v>0</v>
      </c>
    </row>
    <row r="22" spans="1:23" ht="19.899999999999999" customHeight="1">
      <c r="A22" t="s">
        <v>66</v>
      </c>
      <c r="B22" s="25"/>
      <c r="C22" t="s">
        <v>98</v>
      </c>
      <c r="D22" s="12"/>
      <c r="E22" s="52">
        <v>5301</v>
      </c>
      <c r="F22" s="68"/>
      <c r="G22" s="52">
        <v>0</v>
      </c>
      <c r="H22" s="68"/>
      <c r="I22" s="52">
        <f t="shared" si="1"/>
        <v>-7055.0093760688651</v>
      </c>
      <c r="K22" s="22"/>
      <c r="L22" s="22"/>
      <c r="M22" s="22"/>
      <c r="N22" s="79"/>
      <c r="O22" s="22">
        <f t="shared" si="2"/>
        <v>5301</v>
      </c>
      <c r="P22" s="22"/>
      <c r="Q22" s="22">
        <f t="shared" si="3"/>
        <v>0</v>
      </c>
      <c r="R22" s="8"/>
      <c r="S22" s="13">
        <f>((Q22*'Cost of Capital'!G$39)-O22)/0.751381</f>
        <v>-7055.0093760688651</v>
      </c>
      <c r="U22" s="83" t="s">
        <v>21</v>
      </c>
      <c r="V22" s="14"/>
      <c r="W22" s="13">
        <f t="shared" si="0"/>
        <v>0</v>
      </c>
    </row>
    <row r="23" spans="1:23" ht="19.899999999999999" customHeight="1">
      <c r="A23" t="s">
        <v>67</v>
      </c>
      <c r="B23" s="25"/>
      <c r="C23" t="s">
        <v>97</v>
      </c>
      <c r="D23" s="12"/>
      <c r="E23" s="52">
        <v>-803909</v>
      </c>
      <c r="F23" s="68"/>
      <c r="G23" s="52">
        <v>0</v>
      </c>
      <c r="H23" s="68"/>
      <c r="I23" s="52">
        <f t="shared" si="1"/>
        <v>1069908.6082826157</v>
      </c>
      <c r="K23" s="22"/>
      <c r="L23" s="22"/>
      <c r="M23" s="22"/>
      <c r="N23" s="79"/>
      <c r="O23" s="22">
        <f t="shared" si="2"/>
        <v>-803909</v>
      </c>
      <c r="P23" s="22"/>
      <c r="Q23" s="22">
        <f t="shared" si="3"/>
        <v>0</v>
      </c>
      <c r="R23" s="8"/>
      <c r="S23" s="13">
        <f>((Q23*'Cost of Capital'!G$39)-O23)/0.751381</f>
        <v>1069908.6082826157</v>
      </c>
      <c r="U23" s="83" t="s">
        <v>21</v>
      </c>
      <c r="V23" s="14"/>
      <c r="W23" s="13">
        <f t="shared" si="0"/>
        <v>0</v>
      </c>
    </row>
    <row r="24" spans="1:23" ht="19.899999999999999" customHeight="1">
      <c r="A24" t="s">
        <v>68</v>
      </c>
      <c r="B24" s="25"/>
      <c r="C24" t="s">
        <v>96</v>
      </c>
      <c r="D24" s="12"/>
      <c r="E24" s="52">
        <v>-496558</v>
      </c>
      <c r="F24" s="68"/>
      <c r="G24" s="52">
        <v>0</v>
      </c>
      <c r="H24" s="68"/>
      <c r="I24" s="52">
        <f t="shared" si="1"/>
        <v>660860.46892322274</v>
      </c>
      <c r="K24" s="22"/>
      <c r="L24" s="22"/>
      <c r="M24" s="22"/>
      <c r="N24" s="79"/>
      <c r="O24" s="22">
        <f t="shared" si="2"/>
        <v>-496558</v>
      </c>
      <c r="P24" s="22"/>
      <c r="Q24" s="22">
        <f t="shared" si="3"/>
        <v>0</v>
      </c>
      <c r="R24" s="8"/>
      <c r="S24" s="13">
        <f>((Q24*'Cost of Capital'!G$39)-O24)/0.751381</f>
        <v>660860.46892322274</v>
      </c>
      <c r="U24" s="83" t="s">
        <v>21</v>
      </c>
      <c r="V24" s="14"/>
      <c r="W24" s="13">
        <f t="shared" si="0"/>
        <v>0</v>
      </c>
    </row>
    <row r="25" spans="1:23" ht="19.899999999999999" customHeight="1">
      <c r="A25" t="s">
        <v>69</v>
      </c>
      <c r="B25" s="25"/>
      <c r="C25" t="s">
        <v>95</v>
      </c>
      <c r="D25" s="12"/>
      <c r="E25" s="52">
        <v>-1726149</v>
      </c>
      <c r="F25" s="68"/>
      <c r="G25" s="52">
        <v>0</v>
      </c>
      <c r="H25" s="68"/>
      <c r="I25" s="52">
        <f t="shared" si="1"/>
        <v>2297301.9014321631</v>
      </c>
      <c r="J25" s="24"/>
      <c r="K25" s="22"/>
      <c r="L25" s="22"/>
      <c r="M25" s="22"/>
      <c r="N25" s="79"/>
      <c r="O25" s="22">
        <f t="shared" si="2"/>
        <v>-1726149</v>
      </c>
      <c r="P25" s="22"/>
      <c r="Q25" s="22">
        <f t="shared" si="3"/>
        <v>0</v>
      </c>
      <c r="R25" s="8"/>
      <c r="S25" s="13">
        <f>((Q25*'Cost of Capital'!G$39)-O25)/0.751381</f>
        <v>2297301.9014321631</v>
      </c>
      <c r="U25" s="83" t="s">
        <v>21</v>
      </c>
      <c r="V25" s="14"/>
      <c r="W25" s="13">
        <f t="shared" si="0"/>
        <v>0</v>
      </c>
    </row>
    <row r="26" spans="1:23" ht="19.899999999999999" customHeight="1">
      <c r="A26" t="s">
        <v>70</v>
      </c>
      <c r="B26" s="25"/>
      <c r="C26" t="s">
        <v>254</v>
      </c>
      <c r="D26" s="12"/>
      <c r="E26" s="52">
        <v>319951</v>
      </c>
      <c r="F26" s="68"/>
      <c r="G26" s="52">
        <v>0</v>
      </c>
      <c r="H26" s="68"/>
      <c r="I26" s="52">
        <f t="shared" si="1"/>
        <v>-425817.26181524422</v>
      </c>
      <c r="K26" s="22"/>
      <c r="L26" s="22"/>
      <c r="M26" s="22"/>
      <c r="N26" s="79"/>
      <c r="O26" s="22">
        <f t="shared" si="2"/>
        <v>319951</v>
      </c>
      <c r="P26" s="22"/>
      <c r="Q26" s="22">
        <f t="shared" si="3"/>
        <v>0</v>
      </c>
      <c r="R26" s="8"/>
      <c r="S26" s="13">
        <f>((Q26*'Cost of Capital'!G$39)-O26)/0.751381</f>
        <v>-425817.26181524422</v>
      </c>
      <c r="U26" s="83" t="s">
        <v>21</v>
      </c>
      <c r="V26" s="14"/>
      <c r="W26" s="13">
        <f t="shared" si="0"/>
        <v>0</v>
      </c>
    </row>
    <row r="27" spans="1:23" ht="19.899999999999999" customHeight="1">
      <c r="A27" t="s">
        <v>71</v>
      </c>
      <c r="B27" s="25"/>
      <c r="C27" t="s">
        <v>94</v>
      </c>
      <c r="D27" s="12"/>
      <c r="E27" s="52">
        <v>-61810</v>
      </c>
      <c r="F27" s="68"/>
      <c r="G27" s="52">
        <v>0</v>
      </c>
      <c r="H27" s="68"/>
      <c r="I27" s="52">
        <f t="shared" si="1"/>
        <v>82261.861825092739</v>
      </c>
      <c r="K27" s="22"/>
      <c r="L27" s="22"/>
      <c r="M27" s="22"/>
      <c r="N27" s="79"/>
      <c r="O27" s="22">
        <f t="shared" si="2"/>
        <v>-61810</v>
      </c>
      <c r="P27" s="22"/>
      <c r="Q27" s="22">
        <f t="shared" si="3"/>
        <v>0</v>
      </c>
      <c r="R27" s="8"/>
      <c r="S27" s="13">
        <f>((Q27*'Cost of Capital'!G$39)-O27)/0.751381</f>
        <v>82261.861825092739</v>
      </c>
      <c r="U27" s="83" t="s">
        <v>21</v>
      </c>
      <c r="V27" s="14"/>
      <c r="W27" s="13">
        <f t="shared" si="0"/>
        <v>0</v>
      </c>
    </row>
    <row r="28" spans="1:23" ht="19.899999999999999" customHeight="1">
      <c r="A28" t="s">
        <v>72</v>
      </c>
      <c r="B28" s="25"/>
      <c r="C28" t="s">
        <v>93</v>
      </c>
      <c r="D28" s="12"/>
      <c r="E28" s="52">
        <v>-13157</v>
      </c>
      <c r="F28" s="68"/>
      <c r="G28" s="52">
        <v>0</v>
      </c>
      <c r="H28" s="68"/>
      <c r="I28" s="52">
        <f t="shared" si="1"/>
        <v>17510.424139018687</v>
      </c>
      <c r="K28" s="22"/>
      <c r="L28" s="22"/>
      <c r="M28" s="22"/>
      <c r="N28" s="79"/>
      <c r="O28" s="22">
        <f t="shared" si="2"/>
        <v>-13157</v>
      </c>
      <c r="P28" s="22"/>
      <c r="Q28" s="22">
        <f t="shared" si="3"/>
        <v>0</v>
      </c>
      <c r="R28" s="8"/>
      <c r="S28" s="13">
        <f>((Q28*'Cost of Capital'!G$39)-O28)/0.751381</f>
        <v>17510.424139018687</v>
      </c>
      <c r="U28" s="83" t="s">
        <v>21</v>
      </c>
      <c r="V28" s="14"/>
      <c r="W28" s="13">
        <f t="shared" si="0"/>
        <v>0</v>
      </c>
    </row>
    <row r="29" spans="1:23" ht="19.899999999999999" customHeight="1">
      <c r="A29" t="s">
        <v>73</v>
      </c>
      <c r="B29" s="25"/>
      <c r="C29" t="s">
        <v>91</v>
      </c>
      <c r="D29" s="12"/>
      <c r="E29" s="52">
        <v>-23850</v>
      </c>
      <c r="F29" s="68"/>
      <c r="G29" s="52">
        <v>0</v>
      </c>
      <c r="H29" s="68"/>
      <c r="I29" s="52">
        <f t="shared" si="1"/>
        <v>31741.553220004233</v>
      </c>
      <c r="K29" s="22"/>
      <c r="L29" s="22"/>
      <c r="M29" s="22"/>
      <c r="N29" s="79"/>
      <c r="O29" s="22">
        <f t="shared" si="2"/>
        <v>-23850</v>
      </c>
      <c r="P29" s="22"/>
      <c r="Q29" s="22">
        <f t="shared" si="3"/>
        <v>0</v>
      </c>
      <c r="R29" s="8"/>
      <c r="S29" s="13">
        <f>((Q29*'Cost of Capital'!G$39)-O29)/0.751381</f>
        <v>31741.553220004233</v>
      </c>
      <c r="U29" s="83" t="s">
        <v>21</v>
      </c>
      <c r="V29" s="14"/>
      <c r="W29" s="13">
        <f t="shared" si="0"/>
        <v>0</v>
      </c>
    </row>
    <row r="30" spans="1:23" ht="19.899999999999999" customHeight="1">
      <c r="A30" t="s">
        <v>74</v>
      </c>
      <c r="B30" s="25"/>
      <c r="C30" t="s">
        <v>90</v>
      </c>
      <c r="D30" s="12"/>
      <c r="E30" s="52"/>
      <c r="F30" s="68"/>
      <c r="G30" s="52">
        <v>182818242</v>
      </c>
      <c r="H30" s="68"/>
      <c r="I30" s="52">
        <f t="shared" si="1"/>
        <v>18540194.708676424</v>
      </c>
      <c r="K30" s="22"/>
      <c r="L30" s="22"/>
      <c r="M30" s="22">
        <f>+Q30-G30</f>
        <v>-61459604.808058262</v>
      </c>
      <c r="N30" s="88" t="s">
        <v>37</v>
      </c>
      <c r="O30" s="22">
        <f t="shared" si="2"/>
        <v>0</v>
      </c>
      <c r="P30" s="22"/>
      <c r="Q30" s="22">
        <f>+'Plant Update'!D19</f>
        <v>121358637.19194174</v>
      </c>
      <c r="R30" s="8"/>
      <c r="S30" s="13">
        <f>((Q30*'Cost of Capital'!G$39)-O30)/0.751381</f>
        <v>11418094.992435062</v>
      </c>
      <c r="U30" s="83" t="s">
        <v>22</v>
      </c>
      <c r="V30" s="14"/>
      <c r="W30" s="13">
        <f t="shared" si="0"/>
        <v>-7122099.7162413616</v>
      </c>
    </row>
    <row r="31" spans="1:23" ht="19.899999999999999" customHeight="1">
      <c r="A31" t="s">
        <v>92</v>
      </c>
      <c r="B31" s="25"/>
      <c r="C31" t="s">
        <v>89</v>
      </c>
      <c r="D31" s="12"/>
      <c r="E31" s="52">
        <v>-16904953</v>
      </c>
      <c r="F31" s="68"/>
      <c r="G31" s="52">
        <v>-16904953</v>
      </c>
      <c r="H31" s="68"/>
      <c r="I31" s="52">
        <f t="shared" si="1"/>
        <v>20784123.608928096</v>
      </c>
      <c r="K31" s="22">
        <f>+O31-E31</f>
        <v>2190406.4420810752</v>
      </c>
      <c r="L31" s="22"/>
      <c r="M31" s="22">
        <f>+Q31-G31</f>
        <v>2190406.4420810752</v>
      </c>
      <c r="N31" s="88" t="s">
        <v>37</v>
      </c>
      <c r="O31" s="22">
        <f>+'Plant Update'!D23</f>
        <v>-14714546.557918925</v>
      </c>
      <c r="P31" s="22"/>
      <c r="Q31" s="22">
        <f>+'Plant Update'!D27</f>
        <v>-14714546.557918925</v>
      </c>
      <c r="R31" s="8"/>
      <c r="S31" s="13">
        <f>((Q31*'Cost of Capital'!G$39)-O31)/0.751381</f>
        <v>18198909.65049522</v>
      </c>
      <c r="U31" s="83" t="s">
        <v>22</v>
      </c>
      <c r="V31" s="14"/>
      <c r="W31" s="13">
        <f t="shared" ref="W31:W32" si="4">+S31-I31</f>
        <v>-2585213.9584328756</v>
      </c>
    </row>
    <row r="32" spans="1:23" ht="19.899999999999999" customHeight="1">
      <c r="A32" t="s">
        <v>75</v>
      </c>
      <c r="B32" s="25"/>
      <c r="C32" t="s">
        <v>88</v>
      </c>
      <c r="D32" s="12"/>
      <c r="E32" s="52">
        <v>340893</v>
      </c>
      <c r="F32" s="68"/>
      <c r="G32" s="52">
        <v>0</v>
      </c>
      <c r="H32" s="68"/>
      <c r="I32" s="52">
        <f t="shared" si="1"/>
        <v>-453688.60804305674</v>
      </c>
      <c r="K32" s="22"/>
      <c r="L32" s="22"/>
      <c r="M32" s="22"/>
      <c r="N32" s="79"/>
      <c r="O32" s="22">
        <f t="shared" si="2"/>
        <v>340893</v>
      </c>
      <c r="P32" s="22"/>
      <c r="Q32" s="22">
        <f t="shared" si="3"/>
        <v>0</v>
      </c>
      <c r="R32" s="8"/>
      <c r="S32" s="13">
        <f>((Q32*'Cost of Capital'!G$39)-O32)/0.751381</f>
        <v>-453688.60804305674</v>
      </c>
      <c r="U32" s="83" t="s">
        <v>21</v>
      </c>
      <c r="V32" s="14"/>
      <c r="W32" s="13">
        <f t="shared" si="4"/>
        <v>0</v>
      </c>
    </row>
    <row r="33" spans="1:23" ht="19.899999999999999" customHeight="1">
      <c r="A33" t="s">
        <v>76</v>
      </c>
      <c r="B33" s="25"/>
      <c r="C33" t="s">
        <v>87</v>
      </c>
      <c r="D33" s="12"/>
      <c r="E33" s="52">
        <v>-7589560</v>
      </c>
      <c r="F33" s="68"/>
      <c r="G33" s="52">
        <v>0</v>
      </c>
      <c r="H33" s="68"/>
      <c r="I33" s="52">
        <f t="shared" si="1"/>
        <v>10100814.367145296</v>
      </c>
      <c r="K33" s="22"/>
      <c r="L33" s="22"/>
      <c r="M33" s="22"/>
      <c r="N33" s="79"/>
      <c r="O33" s="22">
        <f t="shared" si="2"/>
        <v>-7589560</v>
      </c>
      <c r="P33" s="22"/>
      <c r="Q33" s="22">
        <f t="shared" si="3"/>
        <v>0</v>
      </c>
      <c r="R33" s="8"/>
      <c r="S33" s="13">
        <f>((Q33*'Cost of Capital'!G$39)-O33)/0.751381</f>
        <v>10100814.367145296</v>
      </c>
      <c r="U33" s="83" t="s">
        <v>21</v>
      </c>
      <c r="V33" s="14"/>
      <c r="W33" s="13">
        <f t="shared" ref="W33:W38" si="5">+S33-I33</f>
        <v>0</v>
      </c>
    </row>
    <row r="34" spans="1:23" ht="19.899999999999999" customHeight="1">
      <c r="A34" t="s">
        <v>77</v>
      </c>
      <c r="B34" s="25"/>
      <c r="C34" t="s">
        <v>86</v>
      </c>
      <c r="D34" s="12"/>
      <c r="E34" s="69">
        <v>-68620</v>
      </c>
      <c r="F34" s="70"/>
      <c r="G34" s="69">
        <v>0</v>
      </c>
      <c r="H34" s="70"/>
      <c r="I34" s="69">
        <f t="shared" si="1"/>
        <v>91325.173247659986</v>
      </c>
      <c r="K34" s="22"/>
      <c r="L34" s="22"/>
      <c r="M34" s="22"/>
      <c r="N34" s="79"/>
      <c r="O34" s="22">
        <f t="shared" si="2"/>
        <v>-68620</v>
      </c>
      <c r="P34" s="22"/>
      <c r="Q34" s="22">
        <f t="shared" si="3"/>
        <v>0</v>
      </c>
      <c r="R34" s="8"/>
      <c r="S34" s="13">
        <f>((Q34*'Cost of Capital'!G$39)-O34)/0.751381</f>
        <v>91325.173247659986</v>
      </c>
      <c r="U34" s="83" t="s">
        <v>21</v>
      </c>
      <c r="V34" s="14"/>
      <c r="W34" s="13">
        <f t="shared" si="5"/>
        <v>0</v>
      </c>
    </row>
    <row r="35" spans="1:23" ht="19.899999999999999" customHeight="1">
      <c r="A35" t="s">
        <v>78</v>
      </c>
      <c r="B35" s="25"/>
      <c r="C35" t="s">
        <v>85</v>
      </c>
      <c r="D35" s="12"/>
      <c r="E35" s="52">
        <v>167531</v>
      </c>
      <c r="F35" s="68"/>
      <c r="G35" s="52">
        <v>-1615371</v>
      </c>
      <c r="H35" s="68"/>
      <c r="I35" s="52">
        <f t="shared" si="1"/>
        <v>-386784.16169692879</v>
      </c>
      <c r="K35" s="22"/>
      <c r="L35" s="22"/>
      <c r="M35" s="22"/>
      <c r="N35" s="79"/>
      <c r="O35" s="22">
        <f t="shared" si="2"/>
        <v>167531</v>
      </c>
      <c r="P35" s="22"/>
      <c r="Q35" s="22">
        <f t="shared" si="3"/>
        <v>-1615371</v>
      </c>
      <c r="R35" s="8"/>
      <c r="S35" s="13">
        <f>((Q35*'Cost of Capital'!G$39)-O35)/0.751381</f>
        <v>-374947.19591139513</v>
      </c>
      <c r="U35" s="83" t="s">
        <v>21</v>
      </c>
      <c r="V35" s="14"/>
      <c r="W35" s="13">
        <f t="shared" si="5"/>
        <v>11836.965785533655</v>
      </c>
    </row>
    <row r="36" spans="1:23" ht="19.899999999999999" customHeight="1">
      <c r="A36" t="s">
        <v>79</v>
      </c>
      <c r="B36" s="25"/>
      <c r="C36" t="s">
        <v>84</v>
      </c>
      <c r="D36" s="12"/>
      <c r="E36" s="52">
        <v>-32912586</v>
      </c>
      <c r="F36" s="68"/>
      <c r="G36" s="52">
        <v>0</v>
      </c>
      <c r="H36" s="68"/>
      <c r="I36" s="52">
        <f t="shared" si="1"/>
        <v>43802792.458153725</v>
      </c>
      <c r="K36" s="22"/>
      <c r="L36" s="22"/>
      <c r="M36" s="22"/>
      <c r="N36" s="79"/>
      <c r="O36" s="22">
        <f t="shared" si="2"/>
        <v>-32912586</v>
      </c>
      <c r="P36" s="22"/>
      <c r="Q36" s="22">
        <f t="shared" si="3"/>
        <v>0</v>
      </c>
      <c r="R36" s="8"/>
      <c r="S36" s="13">
        <f>((Q36*'Cost of Capital'!G$39)-O36)/0.751381</f>
        <v>43802792.458153725</v>
      </c>
      <c r="U36" s="83" t="s">
        <v>21</v>
      </c>
      <c r="V36" s="14"/>
      <c r="W36" s="13">
        <f t="shared" si="5"/>
        <v>0</v>
      </c>
    </row>
    <row r="37" spans="1:23" ht="19.899999999999999" customHeight="1">
      <c r="A37" t="s">
        <v>80</v>
      </c>
      <c r="B37" s="25"/>
      <c r="C37" t="s">
        <v>83</v>
      </c>
      <c r="D37" s="12"/>
      <c r="E37" s="52">
        <v>-11001</v>
      </c>
      <c r="F37" s="68"/>
      <c r="G37" s="52">
        <v>0</v>
      </c>
      <c r="H37" s="68"/>
      <c r="I37" s="52">
        <f t="shared" si="1"/>
        <v>14641.04096323969</v>
      </c>
      <c r="K37" s="22"/>
      <c r="L37" s="22"/>
      <c r="M37" s="22"/>
      <c r="N37" s="79"/>
      <c r="O37" s="22">
        <f t="shared" si="2"/>
        <v>-11001</v>
      </c>
      <c r="P37" s="22"/>
      <c r="Q37" s="22">
        <f t="shared" si="3"/>
        <v>0</v>
      </c>
      <c r="R37" s="8"/>
      <c r="S37" s="13">
        <f>((Q37*'Cost of Capital'!G$39)-O37)/0.751381</f>
        <v>14641.04096323969</v>
      </c>
      <c r="U37" s="83" t="s">
        <v>21</v>
      </c>
      <c r="V37" s="14"/>
      <c r="W37" s="13">
        <f t="shared" si="5"/>
        <v>0</v>
      </c>
    </row>
    <row r="38" spans="1:23" ht="19.899999999999999" customHeight="1">
      <c r="A38" t="s">
        <v>81</v>
      </c>
      <c r="B38" s="25"/>
      <c r="C38" t="s">
        <v>82</v>
      </c>
      <c r="D38" s="12"/>
      <c r="E38" s="52">
        <v>1668426</v>
      </c>
      <c r="F38" s="68"/>
      <c r="G38" s="52">
        <v>-11018407</v>
      </c>
      <c r="H38" s="68"/>
      <c r="I38" s="52">
        <f t="shared" si="1"/>
        <v>-3337891.9794352003</v>
      </c>
      <c r="K38" s="22"/>
      <c r="L38" s="22"/>
      <c r="M38" s="22"/>
      <c r="N38" s="79"/>
      <c r="O38" s="22">
        <f t="shared" si="2"/>
        <v>1668426</v>
      </c>
      <c r="P38" s="22"/>
      <c r="Q38" s="22">
        <f t="shared" si="3"/>
        <v>-11018407</v>
      </c>
      <c r="R38" s="8"/>
      <c r="S38" s="13">
        <f>((Q38*'Cost of Capital'!G$39)-O38)/0.751381</f>
        <v>-3257152.3185956259</v>
      </c>
      <c r="U38" s="83" t="s">
        <v>21</v>
      </c>
      <c r="V38" s="14"/>
      <c r="W38" s="13">
        <f t="shared" si="5"/>
        <v>80739.660839574412</v>
      </c>
    </row>
    <row r="39" spans="1:23" ht="19.899999999999999" customHeight="1">
      <c r="B39" s="25"/>
      <c r="D39" s="12"/>
      <c r="E39" s="52"/>
      <c r="F39" s="71"/>
      <c r="G39" s="52"/>
      <c r="H39" s="68"/>
      <c r="I39" s="52"/>
      <c r="N39" s="79"/>
      <c r="O39" s="22"/>
      <c r="P39" s="22"/>
      <c r="Q39" s="22"/>
      <c r="R39" s="8"/>
      <c r="S39" s="13"/>
      <c r="U39" s="83"/>
      <c r="V39" s="14"/>
      <c r="W39" s="13"/>
    </row>
    <row r="40" spans="1:23" ht="19.899999999999999" customHeight="1">
      <c r="A40" t="s">
        <v>34</v>
      </c>
      <c r="B40" s="25"/>
      <c r="D40" s="12"/>
      <c r="E40" s="52"/>
      <c r="F40" s="68"/>
      <c r="G40" s="52"/>
      <c r="H40" s="68"/>
      <c r="I40" s="52"/>
      <c r="N40" s="79"/>
      <c r="O40" s="22"/>
      <c r="P40" s="22"/>
      <c r="Q40" s="22"/>
      <c r="R40" s="8"/>
      <c r="S40" s="13"/>
      <c r="U40" s="83"/>
      <c r="V40" s="14"/>
      <c r="W40" s="13"/>
    </row>
    <row r="41" spans="1:23" ht="19.899999999999999" customHeight="1">
      <c r="A41" t="s">
        <v>106</v>
      </c>
      <c r="B41" s="25"/>
      <c r="C41" t="s">
        <v>105</v>
      </c>
      <c r="D41" s="12"/>
      <c r="E41" s="52">
        <v>-25687973</v>
      </c>
      <c r="F41" s="72"/>
      <c r="G41" s="52">
        <v>0</v>
      </c>
      <c r="H41" s="72"/>
      <c r="I41" s="52">
        <f t="shared" ref="I41:I66" si="6">((G41*0.0762)-E41)/0.751381</f>
        <v>34187679.752349339</v>
      </c>
      <c r="K41" s="22">
        <v>0</v>
      </c>
      <c r="L41" s="22">
        <f t="shared" ref="L41:L63" si="7">-F41</f>
        <v>0</v>
      </c>
      <c r="M41" s="22">
        <f t="shared" ref="M41:M63" si="8">-G41</f>
        <v>0</v>
      </c>
      <c r="N41" s="79"/>
      <c r="O41" s="22">
        <f t="shared" ref="O41:O66" si="9">+E41+K41</f>
        <v>-25687973</v>
      </c>
      <c r="P41" s="22"/>
      <c r="Q41" s="22">
        <f t="shared" ref="Q41:Q66" si="10">+G41+M41</f>
        <v>0</v>
      </c>
      <c r="R41" s="22"/>
      <c r="S41" s="13">
        <f>((Q41*'Cost of Capital'!G$39)-O41)/0.751381</f>
        <v>34187679.752349339</v>
      </c>
      <c r="U41" s="83" t="s">
        <v>21</v>
      </c>
      <c r="V41" s="14"/>
      <c r="W41" s="13">
        <f t="shared" si="0"/>
        <v>0</v>
      </c>
    </row>
    <row r="42" spans="1:23" ht="19.899999999999999" customHeight="1">
      <c r="A42" t="s">
        <v>107</v>
      </c>
      <c r="B42" s="26"/>
      <c r="C42" t="s">
        <v>104</v>
      </c>
      <c r="D42" s="12"/>
      <c r="E42" s="52">
        <v>6844288</v>
      </c>
      <c r="F42" s="72"/>
      <c r="G42" s="52">
        <v>0</v>
      </c>
      <c r="H42" s="72"/>
      <c r="I42" s="52">
        <f t="shared" si="6"/>
        <v>-9108944.7297709156</v>
      </c>
      <c r="J42" s="27"/>
      <c r="K42" s="22">
        <v>0</v>
      </c>
      <c r="L42" s="22">
        <f t="shared" si="7"/>
        <v>0</v>
      </c>
      <c r="M42" s="22">
        <f t="shared" si="8"/>
        <v>0</v>
      </c>
      <c r="N42" s="79"/>
      <c r="O42" s="22">
        <f t="shared" si="9"/>
        <v>6844288</v>
      </c>
      <c r="P42" s="22"/>
      <c r="Q42" s="22">
        <f t="shared" si="10"/>
        <v>0</v>
      </c>
      <c r="R42" s="22"/>
      <c r="S42" s="13">
        <f>((Q42*'Cost of Capital'!G$39)-O42)/0.751381</f>
        <v>-9108944.7297709156</v>
      </c>
      <c r="U42" s="83" t="s">
        <v>21</v>
      </c>
      <c r="W42" s="13">
        <f t="shared" si="0"/>
        <v>0</v>
      </c>
    </row>
    <row r="43" spans="1:23" ht="19.899999999999999" customHeight="1">
      <c r="A43" t="s">
        <v>108</v>
      </c>
      <c r="B43" s="2"/>
      <c r="C43" t="s">
        <v>143</v>
      </c>
      <c r="E43" s="52">
        <v>-387246</v>
      </c>
      <c r="F43" s="72"/>
      <c r="G43" s="52">
        <v>0</v>
      </c>
      <c r="H43" s="72"/>
      <c r="I43" s="52">
        <f t="shared" si="6"/>
        <v>515379.01543957065</v>
      </c>
      <c r="J43" s="23"/>
      <c r="K43" s="22">
        <f>+O43-E43</f>
        <v>-1685210.3700735606</v>
      </c>
      <c r="L43" s="22">
        <f t="shared" si="7"/>
        <v>0</v>
      </c>
      <c r="M43" s="22">
        <f t="shared" si="8"/>
        <v>0</v>
      </c>
      <c r="N43" s="88" t="s">
        <v>279</v>
      </c>
      <c r="O43" s="22">
        <f>+'Tax Benefit of Interest'!D23</f>
        <v>-2072456.3700735606</v>
      </c>
      <c r="P43" s="22"/>
      <c r="Q43" s="22">
        <f t="shared" si="10"/>
        <v>0</v>
      </c>
      <c r="R43" s="22"/>
      <c r="S43" s="13">
        <f>((Q43*'Cost of Capital'!G$39)-O43)/0.751381</f>
        <v>2758196.4011248099</v>
      </c>
      <c r="U43" s="83" t="s">
        <v>22</v>
      </c>
      <c r="W43" s="13">
        <f t="shared" si="0"/>
        <v>2242817.385685239</v>
      </c>
    </row>
    <row r="44" spans="1:23" ht="19.899999999999999" customHeight="1">
      <c r="A44" t="s">
        <v>109</v>
      </c>
      <c r="B44" s="2"/>
      <c r="C44" t="s">
        <v>255</v>
      </c>
      <c r="E44" s="52">
        <v>-71835</v>
      </c>
      <c r="F44" s="72"/>
      <c r="G44" s="52">
        <v>0</v>
      </c>
      <c r="H44" s="72"/>
      <c r="I44" s="52">
        <f t="shared" si="6"/>
        <v>95603.961239371245</v>
      </c>
      <c r="J44" s="23"/>
      <c r="K44" s="22">
        <f t="shared" ref="K44:K51" si="11">-E44</f>
        <v>71835</v>
      </c>
      <c r="L44" s="22">
        <f t="shared" si="7"/>
        <v>0</v>
      </c>
      <c r="M44" s="22">
        <f t="shared" si="8"/>
        <v>0</v>
      </c>
      <c r="N44" s="88" t="s">
        <v>280</v>
      </c>
      <c r="O44" s="22">
        <f t="shared" si="9"/>
        <v>0</v>
      </c>
      <c r="P44" s="22"/>
      <c r="Q44" s="22">
        <f t="shared" si="10"/>
        <v>0</v>
      </c>
      <c r="R44" s="22"/>
      <c r="S44" s="13">
        <f>((Q44*'Cost of Capital'!G$39)-O44)/0.751381</f>
        <v>0</v>
      </c>
      <c r="U44" s="83" t="s">
        <v>22</v>
      </c>
      <c r="W44" s="13">
        <f t="shared" si="0"/>
        <v>-95603.961239371245</v>
      </c>
    </row>
    <row r="45" spans="1:23" ht="19.899999999999999" customHeight="1">
      <c r="A45" t="s">
        <v>110</v>
      </c>
      <c r="B45" s="25"/>
      <c r="C45" t="s">
        <v>98</v>
      </c>
      <c r="D45" s="12"/>
      <c r="E45" s="52">
        <v>-5301</v>
      </c>
      <c r="F45" s="72"/>
      <c r="G45" s="52">
        <v>0</v>
      </c>
      <c r="H45" s="72"/>
      <c r="I45" s="52">
        <f t="shared" si="6"/>
        <v>7055.0093760688651</v>
      </c>
      <c r="K45" s="22">
        <f t="shared" si="11"/>
        <v>5301</v>
      </c>
      <c r="L45" s="22">
        <f t="shared" si="7"/>
        <v>0</v>
      </c>
      <c r="M45" s="22">
        <f t="shared" si="8"/>
        <v>0</v>
      </c>
      <c r="N45" s="88" t="s">
        <v>280</v>
      </c>
      <c r="O45" s="22">
        <f t="shared" si="9"/>
        <v>0</v>
      </c>
      <c r="P45" s="22"/>
      <c r="Q45" s="22">
        <f t="shared" si="10"/>
        <v>0</v>
      </c>
      <c r="R45" s="22"/>
      <c r="S45" s="13">
        <f>((Q45*'Cost of Capital'!G$39)-O45)/0.751381</f>
        <v>0</v>
      </c>
      <c r="U45" s="83" t="s">
        <v>22</v>
      </c>
      <c r="V45" s="14"/>
      <c r="W45" s="13">
        <f t="shared" si="0"/>
        <v>-7055.0093760688651</v>
      </c>
    </row>
    <row r="46" spans="1:23" ht="19.899999999999999" customHeight="1">
      <c r="A46" t="s">
        <v>111</v>
      </c>
      <c r="B46" s="25"/>
      <c r="C46" t="s">
        <v>142</v>
      </c>
      <c r="D46" s="12"/>
      <c r="E46" s="52">
        <v>-442588</v>
      </c>
      <c r="F46" s="72"/>
      <c r="G46" s="52">
        <v>0</v>
      </c>
      <c r="H46" s="72"/>
      <c r="I46" s="52">
        <f t="shared" si="6"/>
        <v>589032.72773732641</v>
      </c>
      <c r="J46" s="27"/>
      <c r="K46" s="22"/>
      <c r="L46" s="22">
        <f t="shared" si="7"/>
        <v>0</v>
      </c>
      <c r="M46" s="22">
        <f t="shared" si="8"/>
        <v>0</v>
      </c>
      <c r="N46" s="79"/>
      <c r="O46" s="22">
        <f t="shared" si="9"/>
        <v>-442588</v>
      </c>
      <c r="P46" s="22"/>
      <c r="Q46" s="22">
        <f t="shared" si="10"/>
        <v>0</v>
      </c>
      <c r="R46" s="22"/>
      <c r="S46" s="13">
        <f>((Q46*'Cost of Capital'!G$39)-O46)/0.751381</f>
        <v>589032.72773732641</v>
      </c>
      <c r="U46" s="83" t="s">
        <v>21</v>
      </c>
      <c r="W46" s="13">
        <f t="shared" si="0"/>
        <v>0</v>
      </c>
    </row>
    <row r="47" spans="1:23" ht="19.899999999999999" customHeight="1">
      <c r="A47" t="s">
        <v>112</v>
      </c>
      <c r="B47" s="25"/>
      <c r="C47" t="s">
        <v>141</v>
      </c>
      <c r="D47" s="12"/>
      <c r="E47" s="52">
        <v>-3003557</v>
      </c>
      <c r="F47" s="72"/>
      <c r="G47" s="52">
        <v>0</v>
      </c>
      <c r="H47" s="72"/>
      <c r="I47" s="52">
        <f t="shared" si="6"/>
        <v>3997382.1536610588</v>
      </c>
      <c r="K47" s="22">
        <f>+O47-E47</f>
        <v>851844.06079766154</v>
      </c>
      <c r="L47" s="22">
        <f t="shared" si="7"/>
        <v>0</v>
      </c>
      <c r="M47" s="22">
        <f t="shared" si="8"/>
        <v>0</v>
      </c>
      <c r="N47" s="88" t="s">
        <v>281</v>
      </c>
      <c r="O47" s="22">
        <f>+'Wage Increase'!D27</f>
        <v>-2151712.9392023385</v>
      </c>
      <c r="P47" s="22"/>
      <c r="Q47" s="22">
        <f t="shared" si="10"/>
        <v>0</v>
      </c>
      <c r="R47" s="22"/>
      <c r="S47" s="13">
        <f>((Q47*'Cost of Capital'!G$39)-O47)/0.751381</f>
        <v>2863677.6005812478</v>
      </c>
      <c r="U47" s="83" t="s">
        <v>22</v>
      </c>
      <c r="V47" s="14"/>
      <c r="W47" s="13">
        <f t="shared" si="0"/>
        <v>-1133704.5530798109</v>
      </c>
    </row>
    <row r="48" spans="1:23" ht="19.899999999999999" customHeight="1">
      <c r="A48" t="s">
        <v>113</v>
      </c>
      <c r="B48" s="25"/>
      <c r="C48" t="s">
        <v>93</v>
      </c>
      <c r="D48" s="12"/>
      <c r="E48" s="52">
        <v>-208177</v>
      </c>
      <c r="F48" s="72"/>
      <c r="G48" s="52">
        <v>0</v>
      </c>
      <c r="H48" s="72"/>
      <c r="I48" s="52">
        <f t="shared" si="6"/>
        <v>277059.17503902817</v>
      </c>
      <c r="K48" s="22">
        <f t="shared" si="11"/>
        <v>208177</v>
      </c>
      <c r="L48" s="22">
        <f t="shared" si="7"/>
        <v>0</v>
      </c>
      <c r="M48" s="22">
        <f t="shared" si="8"/>
        <v>0</v>
      </c>
      <c r="N48" s="88" t="s">
        <v>280</v>
      </c>
      <c r="O48" s="22">
        <f t="shared" si="9"/>
        <v>0</v>
      </c>
      <c r="P48" s="22"/>
      <c r="Q48" s="22">
        <f t="shared" si="10"/>
        <v>0</v>
      </c>
      <c r="R48" s="22"/>
      <c r="S48" s="13">
        <f>((Q48*'Cost of Capital'!G$39)-O48)/0.751381</f>
        <v>0</v>
      </c>
      <c r="U48" s="83" t="s">
        <v>22</v>
      </c>
      <c r="V48" s="14"/>
      <c r="W48" s="13">
        <f t="shared" si="0"/>
        <v>-277059.17503902817</v>
      </c>
    </row>
    <row r="49" spans="1:23" ht="19.899999999999999" customHeight="1">
      <c r="A49" t="s">
        <v>114</v>
      </c>
      <c r="B49" s="25"/>
      <c r="C49" t="s">
        <v>91</v>
      </c>
      <c r="D49" s="12"/>
      <c r="E49" s="52">
        <v>-691247</v>
      </c>
      <c r="F49" s="68"/>
      <c r="G49" s="52">
        <v>0</v>
      </c>
      <c r="H49" s="68"/>
      <c r="I49" s="52">
        <f t="shared" si="6"/>
        <v>919968.69763808243</v>
      </c>
      <c r="K49" s="22">
        <f t="shared" si="11"/>
        <v>691247</v>
      </c>
      <c r="L49" s="22">
        <f t="shared" si="7"/>
        <v>0</v>
      </c>
      <c r="M49" s="22">
        <f t="shared" si="8"/>
        <v>0</v>
      </c>
      <c r="N49" s="88" t="s">
        <v>280</v>
      </c>
      <c r="O49" s="22">
        <f t="shared" si="9"/>
        <v>0</v>
      </c>
      <c r="P49" s="22"/>
      <c r="Q49" s="22">
        <f t="shared" si="10"/>
        <v>0</v>
      </c>
      <c r="R49" s="8"/>
      <c r="S49" s="13">
        <f>((Q49*'Cost of Capital'!G$39)-O49)/0.751381</f>
        <v>0</v>
      </c>
      <c r="U49" s="83" t="s">
        <v>22</v>
      </c>
      <c r="V49" s="14"/>
      <c r="W49" s="13">
        <f t="shared" si="0"/>
        <v>-919968.69763808243</v>
      </c>
    </row>
    <row r="50" spans="1:23" ht="19.899999999999999" customHeight="1">
      <c r="A50" t="s">
        <v>115</v>
      </c>
      <c r="B50" s="25"/>
      <c r="C50" t="s">
        <v>256</v>
      </c>
      <c r="D50" s="12"/>
      <c r="E50" s="52">
        <v>-410038</v>
      </c>
      <c r="F50" s="72"/>
      <c r="G50" s="52">
        <v>0</v>
      </c>
      <c r="H50" s="72"/>
      <c r="I50" s="52">
        <f t="shared" si="6"/>
        <v>545712.49472637719</v>
      </c>
      <c r="K50" s="22">
        <f t="shared" si="11"/>
        <v>410038</v>
      </c>
      <c r="L50" s="22">
        <f t="shared" si="7"/>
        <v>0</v>
      </c>
      <c r="M50" s="22">
        <f t="shared" si="8"/>
        <v>0</v>
      </c>
      <c r="N50" s="88" t="s">
        <v>280</v>
      </c>
      <c r="O50" s="22">
        <f t="shared" si="9"/>
        <v>0</v>
      </c>
      <c r="P50" s="22"/>
      <c r="Q50" s="22">
        <f t="shared" si="10"/>
        <v>0</v>
      </c>
      <c r="R50" s="22"/>
      <c r="S50" s="13">
        <f>((Q50*'Cost of Capital'!G$39)-O50)/0.751381</f>
        <v>0</v>
      </c>
      <c r="U50" s="83" t="s">
        <v>22</v>
      </c>
      <c r="W50" s="13">
        <f t="shared" si="0"/>
        <v>-545712.49472637719</v>
      </c>
    </row>
    <row r="51" spans="1:23" ht="19.899999999999999" customHeight="1">
      <c r="A51" t="s">
        <v>116</v>
      </c>
      <c r="B51" s="25"/>
      <c r="C51" t="s">
        <v>140</v>
      </c>
      <c r="D51" s="12"/>
      <c r="E51" s="52">
        <v>-120118</v>
      </c>
      <c r="F51" s="72"/>
      <c r="G51" s="52">
        <v>0</v>
      </c>
      <c r="H51" s="72"/>
      <c r="I51" s="52">
        <f t="shared" si="6"/>
        <v>159862.97231364649</v>
      </c>
      <c r="K51" s="22">
        <f t="shared" si="11"/>
        <v>120118</v>
      </c>
      <c r="L51" s="22">
        <f t="shared" si="7"/>
        <v>0</v>
      </c>
      <c r="M51" s="22">
        <f t="shared" si="8"/>
        <v>0</v>
      </c>
      <c r="N51" s="88" t="s">
        <v>280</v>
      </c>
      <c r="O51" s="22">
        <f t="shared" si="9"/>
        <v>0</v>
      </c>
      <c r="P51" s="22"/>
      <c r="Q51" s="22">
        <f t="shared" si="10"/>
        <v>0</v>
      </c>
      <c r="R51" s="22"/>
      <c r="S51" s="13">
        <f>((Q51*'Cost of Capital'!G$39)-O51)/0.751381</f>
        <v>0</v>
      </c>
      <c r="U51" s="83" t="s">
        <v>22</v>
      </c>
      <c r="V51" s="14"/>
      <c r="W51" s="13">
        <f t="shared" si="0"/>
        <v>-159862.97231364649</v>
      </c>
    </row>
    <row r="52" spans="1:23" ht="19.899999999999999" customHeight="1">
      <c r="A52" t="s">
        <v>117</v>
      </c>
      <c r="B52" s="25"/>
      <c r="C52" t="s">
        <v>139</v>
      </c>
      <c r="D52" s="12"/>
      <c r="E52" s="52">
        <v>-4864376</v>
      </c>
      <c r="F52" s="72"/>
      <c r="G52" s="52">
        <v>28244979</v>
      </c>
      <c r="H52" s="72"/>
      <c r="I52" s="52">
        <f t="shared" si="6"/>
        <v>9338329.5555783305</v>
      </c>
      <c r="J52" s="27"/>
      <c r="K52" s="22">
        <f>+O52-E52</f>
        <v>11709459.77</v>
      </c>
      <c r="L52" s="22">
        <f t="shared" si="7"/>
        <v>0</v>
      </c>
      <c r="M52" s="22">
        <f>+Q52-G52</f>
        <v>-84410599.264868468</v>
      </c>
      <c r="N52" s="88" t="s">
        <v>282</v>
      </c>
      <c r="O52" s="22">
        <f>+AMI!D33</f>
        <v>6845083.7699999996</v>
      </c>
      <c r="P52" s="22"/>
      <c r="Q52" s="22">
        <f>+AMI!D24</f>
        <v>-56165620.264868475</v>
      </c>
      <c r="R52" s="22"/>
      <c r="S52" s="13">
        <f>((Q52*'Cost of Capital'!G$39)-O52)/0.751381</f>
        <v>-14394377.480355024</v>
      </c>
      <c r="U52" s="83" t="s">
        <v>22</v>
      </c>
      <c r="V52" s="14"/>
      <c r="W52" s="13">
        <f t="shared" si="0"/>
        <v>-23732707.035933353</v>
      </c>
    </row>
    <row r="53" spans="1:23" ht="19.899999999999999" customHeight="1">
      <c r="A53" t="s">
        <v>118</v>
      </c>
      <c r="B53" s="25"/>
      <c r="C53" t="s">
        <v>88</v>
      </c>
      <c r="D53" s="12"/>
      <c r="E53" s="52">
        <v>394549</v>
      </c>
      <c r="F53" s="72"/>
      <c r="G53" s="52"/>
      <c r="H53" s="72"/>
      <c r="I53" s="52">
        <f t="shared" si="6"/>
        <v>-525098.45205029147</v>
      </c>
      <c r="J53" s="27"/>
      <c r="K53" s="22">
        <f t="shared" ref="K53:K63" si="12">-E53</f>
        <v>-394549</v>
      </c>
      <c r="L53" s="22">
        <f t="shared" si="7"/>
        <v>0</v>
      </c>
      <c r="M53" s="22">
        <f t="shared" si="8"/>
        <v>0</v>
      </c>
      <c r="N53" s="88" t="s">
        <v>280</v>
      </c>
      <c r="O53" s="22">
        <f t="shared" si="9"/>
        <v>0</v>
      </c>
      <c r="P53" s="22"/>
      <c r="Q53" s="22">
        <f t="shared" si="10"/>
        <v>0</v>
      </c>
      <c r="R53" s="22"/>
      <c r="S53" s="13">
        <f>((Q53*'Cost of Capital'!G$39)-O53)/0.751381</f>
        <v>0</v>
      </c>
      <c r="U53" s="83" t="s">
        <v>22</v>
      </c>
      <c r="V53" s="14"/>
      <c r="W53" s="13">
        <f t="shared" ref="W53:W65" si="13">+S53-I53</f>
        <v>525098.45205029147</v>
      </c>
    </row>
    <row r="54" spans="1:23" ht="19.899999999999999" customHeight="1">
      <c r="A54" t="s">
        <v>119</v>
      </c>
      <c r="B54" s="25"/>
      <c r="C54" t="s">
        <v>263</v>
      </c>
      <c r="D54" s="12"/>
      <c r="E54" s="52">
        <v>-9627594</v>
      </c>
      <c r="F54" s="72"/>
      <c r="G54" s="52">
        <v>25877606</v>
      </c>
      <c r="H54" s="72"/>
      <c r="I54" s="52">
        <f t="shared" si="6"/>
        <v>15437531.128947897</v>
      </c>
      <c r="J54" s="27"/>
      <c r="K54" s="22">
        <f t="shared" si="12"/>
        <v>9627594</v>
      </c>
      <c r="L54" s="22">
        <f t="shared" si="7"/>
        <v>0</v>
      </c>
      <c r="M54" s="22">
        <f t="shared" si="8"/>
        <v>-25877606</v>
      </c>
      <c r="N54" s="88" t="s">
        <v>37</v>
      </c>
      <c r="O54" s="22">
        <f t="shared" si="9"/>
        <v>0</v>
      </c>
      <c r="P54" s="22"/>
      <c r="Q54" s="22">
        <f t="shared" si="10"/>
        <v>0</v>
      </c>
      <c r="R54" s="22"/>
      <c r="S54" s="13">
        <f>((Q54*'Cost of Capital'!G$39)-O54)/0.751381</f>
        <v>0</v>
      </c>
      <c r="U54" s="83" t="s">
        <v>22</v>
      </c>
      <c r="V54" s="14"/>
      <c r="W54" s="13">
        <f t="shared" si="13"/>
        <v>-15437531.128947897</v>
      </c>
    </row>
    <row r="55" spans="1:23" ht="19.899999999999999" customHeight="1">
      <c r="A55" t="s">
        <v>120</v>
      </c>
      <c r="B55" s="25"/>
      <c r="C55" t="s">
        <v>138</v>
      </c>
      <c r="D55" s="12"/>
      <c r="E55" s="52">
        <v>477331</v>
      </c>
      <c r="F55" s="72"/>
      <c r="G55" s="52"/>
      <c r="H55" s="72"/>
      <c r="I55" s="52">
        <f t="shared" si="6"/>
        <v>-635271.58658523438</v>
      </c>
      <c r="J55" s="27"/>
      <c r="K55" s="22">
        <f t="shared" si="12"/>
        <v>-477331</v>
      </c>
      <c r="L55" s="22">
        <f t="shared" si="7"/>
        <v>0</v>
      </c>
      <c r="M55" s="22">
        <f t="shared" si="8"/>
        <v>0</v>
      </c>
      <c r="N55" s="88" t="s">
        <v>280</v>
      </c>
      <c r="O55" s="22">
        <f t="shared" si="9"/>
        <v>0</v>
      </c>
      <c r="P55" s="22"/>
      <c r="Q55" s="22">
        <f t="shared" si="10"/>
        <v>0</v>
      </c>
      <c r="R55" s="22"/>
      <c r="S55" s="13">
        <f>((Q55*'Cost of Capital'!G$39)-O55)/0.751381</f>
        <v>0</v>
      </c>
      <c r="U55" s="83" t="s">
        <v>22</v>
      </c>
      <c r="V55" s="14"/>
      <c r="W55" s="13">
        <f t="shared" si="13"/>
        <v>635271.58658523438</v>
      </c>
    </row>
    <row r="56" spans="1:23" ht="19.899999999999999" customHeight="1">
      <c r="A56" t="s">
        <v>121</v>
      </c>
      <c r="B56" s="25"/>
      <c r="C56" t="s">
        <v>291</v>
      </c>
      <c r="D56" s="12"/>
      <c r="E56" s="52">
        <v>9006372</v>
      </c>
      <c r="F56" s="72"/>
      <c r="G56" s="52">
        <v>4503186</v>
      </c>
      <c r="H56" s="72"/>
      <c r="I56" s="52">
        <f t="shared" si="6"/>
        <v>-11529742.203755485</v>
      </c>
      <c r="J56" s="27"/>
      <c r="K56" s="22">
        <f>+E56</f>
        <v>9006372</v>
      </c>
      <c r="L56" s="22">
        <f t="shared" si="7"/>
        <v>0</v>
      </c>
      <c r="M56" s="22">
        <f>+G56</f>
        <v>4503186</v>
      </c>
      <c r="N56" s="88" t="s">
        <v>283</v>
      </c>
      <c r="O56" s="22">
        <f t="shared" si="9"/>
        <v>18012744</v>
      </c>
      <c r="P56" s="22"/>
      <c r="Q56" s="22">
        <f t="shared" si="10"/>
        <v>9006372</v>
      </c>
      <c r="R56" s="22"/>
      <c r="S56" s="13">
        <f>((Q56*'Cost of Capital'!G$39)-O56)/0.751381</f>
        <v>-23125480.46489704</v>
      </c>
      <c r="U56" s="83" t="s">
        <v>22</v>
      </c>
      <c r="V56" s="14"/>
      <c r="W56" s="13">
        <f t="shared" si="13"/>
        <v>-11595738.261141555</v>
      </c>
    </row>
    <row r="57" spans="1:23" ht="19.899999999999999" customHeight="1">
      <c r="A57" t="s">
        <v>122</v>
      </c>
      <c r="B57" s="25"/>
      <c r="C57" t="s">
        <v>137</v>
      </c>
      <c r="D57" s="12"/>
      <c r="E57" s="52">
        <v>-296261</v>
      </c>
      <c r="F57" s="72"/>
      <c r="G57" s="52">
        <v>12855303</v>
      </c>
      <c r="H57" s="72"/>
      <c r="I57" s="52">
        <f t="shared" si="6"/>
        <v>1697986.8916035939</v>
      </c>
      <c r="J57" s="27"/>
      <c r="K57" s="22">
        <f t="shared" ref="K57" si="14">-E57</f>
        <v>296261</v>
      </c>
      <c r="L57" s="22">
        <f t="shared" ref="L57" si="15">-F57</f>
        <v>0</v>
      </c>
      <c r="M57" s="22">
        <f t="shared" ref="M57" si="16">-G57</f>
        <v>-12855303</v>
      </c>
      <c r="N57" s="88" t="s">
        <v>37</v>
      </c>
      <c r="O57" s="22">
        <f t="shared" si="9"/>
        <v>0</v>
      </c>
      <c r="P57" s="22"/>
      <c r="Q57" s="22">
        <f t="shared" si="10"/>
        <v>0</v>
      </c>
      <c r="R57" s="22"/>
      <c r="S57" s="13">
        <f>((Q57*'Cost of Capital'!G$39)-O57)/0.751381</f>
        <v>0</v>
      </c>
      <c r="U57" s="83" t="s">
        <v>22</v>
      </c>
      <c r="V57" s="14"/>
      <c r="W57" s="13">
        <f t="shared" si="13"/>
        <v>-1697986.8916035939</v>
      </c>
    </row>
    <row r="58" spans="1:23" ht="19.899999999999999" customHeight="1">
      <c r="A58" t="s">
        <v>123</v>
      </c>
      <c r="B58" s="25"/>
      <c r="C58" t="s">
        <v>136</v>
      </c>
      <c r="D58" s="12"/>
      <c r="E58" s="52">
        <v>-1330726</v>
      </c>
      <c r="F58" s="72"/>
      <c r="G58" s="52"/>
      <c r="H58" s="72"/>
      <c r="I58" s="52">
        <f t="shared" si="6"/>
        <v>1771040.2578718388</v>
      </c>
      <c r="J58" s="27"/>
      <c r="K58" s="22">
        <f t="shared" si="12"/>
        <v>1330726</v>
      </c>
      <c r="L58" s="22">
        <f t="shared" si="7"/>
        <v>0</v>
      </c>
      <c r="M58" s="22">
        <f t="shared" si="8"/>
        <v>0</v>
      </c>
      <c r="N58" s="88" t="s">
        <v>280</v>
      </c>
      <c r="O58" s="22">
        <f t="shared" si="9"/>
        <v>0</v>
      </c>
      <c r="P58" s="22"/>
      <c r="Q58" s="22">
        <f t="shared" si="10"/>
        <v>0</v>
      </c>
      <c r="R58" s="22"/>
      <c r="S58" s="13">
        <f>((Q58*'Cost of Capital'!G$39)-O58)/0.751381</f>
        <v>0</v>
      </c>
      <c r="U58" s="83" t="s">
        <v>22</v>
      </c>
      <c r="V58" s="14"/>
      <c r="W58" s="13">
        <f t="shared" si="13"/>
        <v>-1771040.2578718388</v>
      </c>
    </row>
    <row r="59" spans="1:23" ht="19.899999999999999" customHeight="1">
      <c r="A59" t="s">
        <v>124</v>
      </c>
      <c r="B59" s="25"/>
      <c r="C59" t="s">
        <v>135</v>
      </c>
      <c r="D59" s="12"/>
      <c r="E59" s="52">
        <v>-538588</v>
      </c>
      <c r="F59" s="72"/>
      <c r="G59" s="52">
        <v>5481050</v>
      </c>
      <c r="H59" s="72"/>
      <c r="I59" s="52">
        <f t="shared" si="6"/>
        <v>1272648.6429654197</v>
      </c>
      <c r="J59" s="27"/>
      <c r="K59" s="22">
        <f t="shared" ref="K59" si="17">-E59</f>
        <v>538588</v>
      </c>
      <c r="L59" s="22">
        <f t="shared" ref="L59" si="18">-F59</f>
        <v>0</v>
      </c>
      <c r="M59" s="22">
        <f t="shared" ref="M59" si="19">-G59</f>
        <v>-5481050</v>
      </c>
      <c r="N59" s="88" t="s">
        <v>37</v>
      </c>
      <c r="O59" s="22">
        <f t="shared" si="9"/>
        <v>0</v>
      </c>
      <c r="P59" s="22"/>
      <c r="Q59" s="22">
        <f t="shared" si="10"/>
        <v>0</v>
      </c>
      <c r="R59" s="22"/>
      <c r="S59" s="13">
        <f>((Q59*'Cost of Capital'!G$39)-O59)/0.751381</f>
        <v>0</v>
      </c>
      <c r="U59" s="83" t="s">
        <v>22</v>
      </c>
      <c r="V59" s="14"/>
      <c r="W59" s="13">
        <f t="shared" si="13"/>
        <v>-1272648.6429654197</v>
      </c>
    </row>
    <row r="60" spans="1:23" ht="19.899999999999999" customHeight="1">
      <c r="A60" t="s">
        <v>125</v>
      </c>
      <c r="B60" s="25"/>
      <c r="C60" t="s">
        <v>87</v>
      </c>
      <c r="D60" s="12"/>
      <c r="E60" s="52">
        <v>3256035</v>
      </c>
      <c r="F60" s="72"/>
      <c r="G60" s="52"/>
      <c r="H60" s="72"/>
      <c r="I60" s="52">
        <f t="shared" si="6"/>
        <v>-4333400.7647252195</v>
      </c>
      <c r="J60" s="27"/>
      <c r="K60" s="22">
        <f>+O60-E60</f>
        <v>14434500.809880324</v>
      </c>
      <c r="L60" s="22">
        <f t="shared" si="7"/>
        <v>0</v>
      </c>
      <c r="M60" s="22">
        <f t="shared" si="8"/>
        <v>0</v>
      </c>
      <c r="N60" s="79"/>
      <c r="O60" s="22">
        <f>+'Power Cost'!D19</f>
        <v>17690535.809880324</v>
      </c>
      <c r="P60" s="22"/>
      <c r="Q60" s="22">
        <f t="shared" si="10"/>
        <v>0</v>
      </c>
      <c r="R60" s="22"/>
      <c r="S60" s="13">
        <f>((Q60*'Cost of Capital'!G$39)-O60)/0.751381</f>
        <v>-23544028.675040126</v>
      </c>
      <c r="U60" s="83" t="s">
        <v>21</v>
      </c>
      <c r="V60" s="14"/>
      <c r="W60" s="13">
        <f t="shared" si="13"/>
        <v>-19210627.910314906</v>
      </c>
    </row>
    <row r="61" spans="1:23" ht="19.899999999999999" customHeight="1">
      <c r="A61" t="s">
        <v>126</v>
      </c>
      <c r="B61" s="25"/>
      <c r="C61" t="s">
        <v>86</v>
      </c>
      <c r="D61" s="12"/>
      <c r="E61" s="52">
        <v>518011</v>
      </c>
      <c r="F61" s="72"/>
      <c r="G61" s="52"/>
      <c r="H61" s="72"/>
      <c r="I61" s="52">
        <f t="shared" si="6"/>
        <v>-689411.89622841147</v>
      </c>
      <c r="J61" s="27"/>
      <c r="K61" s="22"/>
      <c r="L61" s="22"/>
      <c r="M61" s="22"/>
      <c r="N61" s="79"/>
      <c r="O61" s="22">
        <f t="shared" si="9"/>
        <v>518011</v>
      </c>
      <c r="P61" s="22"/>
      <c r="Q61" s="22">
        <f t="shared" si="10"/>
        <v>0</v>
      </c>
      <c r="R61" s="22"/>
      <c r="S61" s="13">
        <f>((Q61*'Cost of Capital'!G$39)-O61)/0.751381</f>
        <v>-689411.89622841147</v>
      </c>
      <c r="U61" s="83" t="s">
        <v>21</v>
      </c>
      <c r="V61" s="14"/>
      <c r="W61" s="13">
        <f t="shared" si="13"/>
        <v>0</v>
      </c>
    </row>
    <row r="62" spans="1:23" ht="19.899999999999999" customHeight="1">
      <c r="A62" t="s">
        <v>127</v>
      </c>
      <c r="B62" s="25"/>
      <c r="C62" t="s">
        <v>83</v>
      </c>
      <c r="D62" s="12"/>
      <c r="E62" s="52">
        <v>-10681805</v>
      </c>
      <c r="F62" s="72"/>
      <c r="G62" s="52"/>
      <c r="H62" s="72"/>
      <c r="I62" s="52">
        <f t="shared" si="6"/>
        <v>14216229.848771796</v>
      </c>
      <c r="J62" s="27"/>
      <c r="K62" s="22"/>
      <c r="L62" s="22">
        <f t="shared" si="7"/>
        <v>0</v>
      </c>
      <c r="M62" s="22"/>
      <c r="N62" s="79"/>
      <c r="O62" s="22">
        <f t="shared" si="9"/>
        <v>-10681805</v>
      </c>
      <c r="P62" s="22"/>
      <c r="Q62" s="22">
        <f t="shared" si="10"/>
        <v>0</v>
      </c>
      <c r="R62" s="22"/>
      <c r="S62" s="13">
        <f>((Q62*'Cost of Capital'!G$39)-O62)/0.751381</f>
        <v>14216229.848771796</v>
      </c>
      <c r="U62" s="83" t="s">
        <v>21</v>
      </c>
      <c r="V62" s="14"/>
      <c r="W62" s="13">
        <f t="shared" si="13"/>
        <v>0</v>
      </c>
    </row>
    <row r="63" spans="1:23" ht="19.899999999999999" customHeight="1">
      <c r="A63" t="s">
        <v>128</v>
      </c>
      <c r="B63" s="25"/>
      <c r="C63" t="s">
        <v>147</v>
      </c>
      <c r="D63" s="12"/>
      <c r="E63" s="52">
        <v>9100115</v>
      </c>
      <c r="F63" s="72"/>
      <c r="G63" s="52">
        <v>-23391892</v>
      </c>
      <c r="H63" s="72"/>
      <c r="I63" s="52">
        <f t="shared" si="6"/>
        <v>-14483434.063943595</v>
      </c>
      <c r="J63" s="27"/>
      <c r="K63" s="22">
        <f t="shared" si="12"/>
        <v>-9100115</v>
      </c>
      <c r="L63" s="22">
        <f t="shared" si="7"/>
        <v>0</v>
      </c>
      <c r="M63" s="22">
        <f t="shared" si="8"/>
        <v>23391892</v>
      </c>
      <c r="N63" s="88" t="s">
        <v>280</v>
      </c>
      <c r="O63" s="22">
        <f t="shared" si="9"/>
        <v>0</v>
      </c>
      <c r="P63" s="22"/>
      <c r="Q63" s="22">
        <f t="shared" si="10"/>
        <v>0</v>
      </c>
      <c r="R63" s="22"/>
      <c r="S63" s="13">
        <f>((Q63*'Cost of Capital'!G$39)-O63)/0.751381</f>
        <v>0</v>
      </c>
      <c r="U63" s="83" t="s">
        <v>22</v>
      </c>
      <c r="V63" s="14"/>
      <c r="W63" s="13">
        <f t="shared" si="13"/>
        <v>14483434.063943595</v>
      </c>
    </row>
    <row r="64" spans="1:23" ht="19.899999999999999" customHeight="1">
      <c r="A64" t="s">
        <v>129</v>
      </c>
      <c r="B64" s="25"/>
      <c r="C64" t="s">
        <v>134</v>
      </c>
      <c r="D64" s="12"/>
      <c r="E64" s="52">
        <v>4478734</v>
      </c>
      <c r="F64" s="72"/>
      <c r="G64" s="52">
        <v>-3321470</v>
      </c>
      <c r="H64" s="72"/>
      <c r="I64" s="52">
        <f t="shared" si="6"/>
        <v>-6297510.8686538525</v>
      </c>
      <c r="J64" s="27"/>
      <c r="K64" s="22"/>
      <c r="L64" s="22"/>
      <c r="M64" s="22"/>
      <c r="N64" s="79"/>
      <c r="O64" s="22">
        <f t="shared" si="9"/>
        <v>4478734</v>
      </c>
      <c r="P64" s="22"/>
      <c r="Q64" s="22">
        <f t="shared" si="10"/>
        <v>-3321470</v>
      </c>
      <c r="R64" s="22"/>
      <c r="S64" s="13">
        <f>((Q64*'Cost of Capital'!G$39)-O64)/0.751381</f>
        <v>-6273172.108859553</v>
      </c>
      <c r="U64" s="83" t="s">
        <v>21</v>
      </c>
      <c r="V64" s="14"/>
      <c r="W64" s="13">
        <f t="shared" si="13"/>
        <v>24338.759794299491</v>
      </c>
    </row>
    <row r="65" spans="1:23" ht="19.899999999999999" customHeight="1">
      <c r="A65" t="s">
        <v>130</v>
      </c>
      <c r="B65" s="25"/>
      <c r="C65" t="s">
        <v>133</v>
      </c>
      <c r="D65" s="12"/>
      <c r="E65" s="52">
        <v>-292768</v>
      </c>
      <c r="F65" s="72"/>
      <c r="G65" s="52">
        <v>11899760</v>
      </c>
      <c r="H65" s="72"/>
      <c r="I65" s="52">
        <f t="shared" si="6"/>
        <v>1596433.3833301615</v>
      </c>
      <c r="J65" s="27"/>
      <c r="K65" s="22">
        <f t="shared" ref="K65:K66" si="20">-E65</f>
        <v>292768</v>
      </c>
      <c r="L65" s="22">
        <f t="shared" ref="L65:L66" si="21">-F65</f>
        <v>0</v>
      </c>
      <c r="M65" s="22">
        <f t="shared" ref="M65:M66" si="22">-G65</f>
        <v>-11899760</v>
      </c>
      <c r="N65" s="88" t="s">
        <v>37</v>
      </c>
      <c r="O65" s="22">
        <f t="shared" si="9"/>
        <v>0</v>
      </c>
      <c r="P65" s="22"/>
      <c r="Q65" s="22">
        <f t="shared" si="10"/>
        <v>0</v>
      </c>
      <c r="R65" s="22"/>
      <c r="S65" s="13">
        <f>((Q65*'Cost of Capital'!G$39)-O65)/0.751381</f>
        <v>0</v>
      </c>
      <c r="U65" s="83" t="s">
        <v>22</v>
      </c>
      <c r="V65" s="14"/>
      <c r="W65" s="13">
        <f t="shared" si="13"/>
        <v>-1596433.3833301615</v>
      </c>
    </row>
    <row r="66" spans="1:23" ht="19.899999999999999" customHeight="1">
      <c r="A66" t="s">
        <v>131</v>
      </c>
      <c r="B66" s="25"/>
      <c r="C66" t="s">
        <v>132</v>
      </c>
      <c r="D66" s="12"/>
      <c r="E66" s="52">
        <v>-2441145</v>
      </c>
      <c r="F66" s="72"/>
      <c r="G66" s="52">
        <v>4381543</v>
      </c>
      <c r="H66" s="72"/>
      <c r="I66" s="52">
        <f t="shared" si="6"/>
        <v>3693224.3117672666</v>
      </c>
      <c r="K66" s="22">
        <f t="shared" si="20"/>
        <v>2441145</v>
      </c>
      <c r="L66" s="22">
        <f t="shared" si="21"/>
        <v>0</v>
      </c>
      <c r="M66" s="22">
        <f t="shared" si="22"/>
        <v>-4381543</v>
      </c>
      <c r="N66" s="88" t="s">
        <v>37</v>
      </c>
      <c r="O66" s="22">
        <f t="shared" si="9"/>
        <v>0</v>
      </c>
      <c r="P66" s="22"/>
      <c r="Q66" s="22">
        <f t="shared" si="10"/>
        <v>0</v>
      </c>
      <c r="R66" s="22"/>
      <c r="S66" s="13">
        <f>((Q66*'Cost of Capital'!G$39)-O66)/0.751381</f>
        <v>0</v>
      </c>
      <c r="U66" s="83" t="s">
        <v>22</v>
      </c>
      <c r="V66" s="14"/>
      <c r="W66" s="13">
        <f t="shared" ref="W66" si="23">+S66-I66</f>
        <v>-3693224.3117672666</v>
      </c>
    </row>
    <row r="67" spans="1:23" ht="19.899999999999999" customHeight="1">
      <c r="B67" s="25"/>
      <c r="D67" s="12"/>
      <c r="E67" s="13"/>
      <c r="F67" s="22"/>
      <c r="G67" s="13"/>
      <c r="H67" s="22"/>
      <c r="I67" s="13"/>
      <c r="N67" s="79"/>
      <c r="O67" s="22"/>
      <c r="P67" s="22"/>
      <c r="Q67" s="22"/>
      <c r="R67" s="22"/>
      <c r="S67" s="13"/>
      <c r="U67" s="83"/>
      <c r="V67" s="14"/>
      <c r="W67" s="13"/>
    </row>
    <row r="68" spans="1:23" ht="19.899999999999999" customHeight="1">
      <c r="A68" s="25"/>
      <c r="B68" s="25"/>
      <c r="C68" t="s">
        <v>51</v>
      </c>
      <c r="D68" s="12"/>
      <c r="E68" s="22">
        <f>SUM(E12:E67)</f>
        <v>335137127</v>
      </c>
      <c r="F68" s="22">
        <f t="shared" ref="F68:H68" si="24">SUM(F12:F66)</f>
        <v>0</v>
      </c>
      <c r="G68" s="22">
        <f>SUM(G12:G67)</f>
        <v>5428588082</v>
      </c>
      <c r="H68" s="22">
        <f t="shared" si="24"/>
        <v>0</v>
      </c>
      <c r="I68" s="22">
        <f>SUM(I12:I67)</f>
        <v>104502622.30266672</v>
      </c>
      <c r="K68" s="22">
        <f>SUM(K12:K67)</f>
        <v>59814663.176658101</v>
      </c>
      <c r="L68" s="22"/>
      <c r="M68" s="22">
        <f>SUM(M12:M67)</f>
        <v>-198812917.81140119</v>
      </c>
      <c r="N68" s="79"/>
      <c r="O68" s="22">
        <f>SUM(O12:O67)</f>
        <v>394951790.17665809</v>
      </c>
      <c r="P68" s="22"/>
      <c r="Q68" s="22">
        <f>SUM(Q12:Q67)</f>
        <v>5229775164.1885996</v>
      </c>
      <c r="R68" s="22"/>
      <c r="S68" s="22">
        <f>SUM(S12:S67)</f>
        <v>-33588208.567947432</v>
      </c>
      <c r="U68" s="84"/>
      <c r="V68" s="14"/>
      <c r="W68" s="118">
        <f>SUM(W12:W67)</f>
        <v>-138090830.87061417</v>
      </c>
    </row>
    <row r="69" spans="1:23" ht="19.899999999999999" customHeight="1">
      <c r="A69" s="25"/>
      <c r="B69" s="25"/>
      <c r="D69" s="12"/>
      <c r="E69" s="22"/>
      <c r="F69" s="22"/>
      <c r="G69" s="22"/>
      <c r="H69" s="22"/>
      <c r="I69" s="22"/>
      <c r="K69" s="22"/>
      <c r="L69" s="22"/>
      <c r="M69" s="22"/>
      <c r="O69" s="22"/>
      <c r="P69" s="22"/>
      <c r="Q69" s="22"/>
      <c r="R69" s="22"/>
      <c r="S69" s="22"/>
      <c r="U69" s="84"/>
      <c r="V69" s="14"/>
      <c r="W69" s="22"/>
    </row>
    <row r="70" spans="1:23" ht="19.899999999999999" customHeight="1" thickBot="1">
      <c r="A70" s="2"/>
      <c r="B70" s="30" t="s">
        <v>23</v>
      </c>
      <c r="C70" s="31"/>
      <c r="D70" s="32"/>
      <c r="E70" s="33"/>
      <c r="F70" s="22"/>
      <c r="G70" s="22"/>
      <c r="H70" s="22"/>
      <c r="I70" s="23"/>
      <c r="K70" s="22"/>
      <c r="L70" s="22"/>
      <c r="M70" s="22"/>
      <c r="N70" s="22"/>
      <c r="O70" s="22"/>
      <c r="P70" s="22"/>
      <c r="Q70" s="22"/>
      <c r="R70" s="22"/>
      <c r="S70" s="22"/>
      <c r="U70" s="85"/>
    </row>
    <row r="71" spans="1:23" ht="16.899999999999999" customHeight="1">
      <c r="A71" s="90"/>
      <c r="B71" s="87" t="s">
        <v>36</v>
      </c>
      <c r="C71" s="89" t="s">
        <v>292</v>
      </c>
      <c r="D71" s="32"/>
      <c r="E71" s="33"/>
      <c r="F71" s="22"/>
      <c r="G71" s="22"/>
      <c r="H71" s="22"/>
      <c r="I71" s="23"/>
      <c r="O71" s="22"/>
      <c r="P71" s="22"/>
      <c r="Q71" s="22"/>
      <c r="R71" s="22"/>
      <c r="U71" s="85"/>
    </row>
    <row r="72" spans="1:23" ht="16.899999999999999" customHeight="1">
      <c r="A72" s="90"/>
      <c r="B72" s="86" t="s">
        <v>38</v>
      </c>
      <c r="C72" s="89" t="s">
        <v>284</v>
      </c>
      <c r="U72" s="85"/>
    </row>
    <row r="73" spans="1:23" ht="16.899999999999999" customHeight="1">
      <c r="A73" s="90"/>
      <c r="B73" s="86" t="s">
        <v>37</v>
      </c>
      <c r="C73" s="89" t="s">
        <v>293</v>
      </c>
      <c r="U73" s="85"/>
    </row>
    <row r="74" spans="1:23" ht="16.899999999999999" customHeight="1">
      <c r="A74" s="90"/>
      <c r="B74" s="86" t="s">
        <v>279</v>
      </c>
      <c r="C74" s="89" t="s">
        <v>285</v>
      </c>
      <c r="U74" s="85"/>
    </row>
    <row r="75" spans="1:23" ht="16.899999999999999" customHeight="1">
      <c r="A75" s="90"/>
      <c r="B75" s="86" t="s">
        <v>280</v>
      </c>
      <c r="C75" s="89" t="s">
        <v>286</v>
      </c>
      <c r="U75" s="85"/>
    </row>
    <row r="76" spans="1:23" ht="16.899999999999999" customHeight="1">
      <c r="A76" s="90"/>
      <c r="B76" s="86" t="s">
        <v>281</v>
      </c>
      <c r="C76" s="89" t="s">
        <v>287</v>
      </c>
      <c r="U76" s="85"/>
    </row>
    <row r="77" spans="1:23" ht="16.899999999999999" customHeight="1">
      <c r="A77" s="90"/>
      <c r="B77" s="86" t="s">
        <v>282</v>
      </c>
      <c r="C77" s="89" t="s">
        <v>288</v>
      </c>
      <c r="U77" s="85"/>
    </row>
    <row r="78" spans="1:23" ht="16.899999999999999" customHeight="1">
      <c r="A78" s="90"/>
      <c r="B78" s="86" t="s">
        <v>283</v>
      </c>
      <c r="C78" s="89" t="s">
        <v>289</v>
      </c>
      <c r="U78" s="85"/>
    </row>
    <row r="79" spans="1:23" ht="13.9" customHeight="1">
      <c r="U79" s="85"/>
    </row>
    <row r="80" spans="1:23">
      <c r="U80" s="85"/>
    </row>
    <row r="81" spans="21:21">
      <c r="U81" s="85"/>
    </row>
    <row r="82" spans="21:21">
      <c r="U82" s="85"/>
    </row>
    <row r="83" spans="21:21">
      <c r="U83" s="85"/>
    </row>
    <row r="84" spans="21:21">
      <c r="U84" s="85"/>
    </row>
    <row r="85" spans="21:21">
      <c r="U85" s="85"/>
    </row>
    <row r="86" spans="21:21">
      <c r="U86" s="85"/>
    </row>
    <row r="87" spans="21:21">
      <c r="U87" s="85"/>
    </row>
  </sheetData>
  <mergeCells count="5">
    <mergeCell ref="E8:I8"/>
    <mergeCell ref="O8:S8"/>
    <mergeCell ref="O9:S9"/>
    <mergeCell ref="E9:I9"/>
    <mergeCell ref="K9:M9"/>
  </mergeCells>
  <pageMargins left="0.25" right="0.25" top="0.5" bottom="0.25" header="0.5" footer="0.5"/>
  <pageSetup scale="5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zoomScale="70" zoomScaleNormal="70" workbookViewId="0">
      <selection activeCell="F3" sqref="F3"/>
    </sheetView>
  </sheetViews>
  <sheetFormatPr defaultRowHeight="15.75"/>
  <cols>
    <col min="1" max="1" width="4.125" customWidth="1"/>
    <col min="2" max="2" width="1.625" customWidth="1"/>
    <col min="3" max="3" width="55.25" customWidth="1"/>
    <col min="4" max="4" width="12.25" customWidth="1"/>
    <col min="5" max="5" width="0.875" customWidth="1"/>
    <col min="6" max="6" width="12.25" customWidth="1"/>
  </cols>
  <sheetData>
    <row r="1" spans="1:6">
      <c r="A1" t="s">
        <v>144</v>
      </c>
      <c r="F1" s="11" t="s">
        <v>55</v>
      </c>
    </row>
    <row r="2" spans="1:6">
      <c r="A2" t="s">
        <v>145</v>
      </c>
      <c r="F2" s="11" t="s">
        <v>257</v>
      </c>
    </row>
    <row r="3" spans="1:6">
      <c r="A3" s="80" t="s">
        <v>238</v>
      </c>
      <c r="F3" s="11" t="s">
        <v>373</v>
      </c>
    </row>
    <row r="4" spans="1:6">
      <c r="A4" t="s">
        <v>146</v>
      </c>
      <c r="F4" s="11" t="s">
        <v>31</v>
      </c>
    </row>
    <row r="5" spans="1:6">
      <c r="A5" s="6"/>
      <c r="F5" s="11"/>
    </row>
    <row r="8" spans="1:6">
      <c r="A8" t="s">
        <v>1</v>
      </c>
      <c r="D8" s="59" t="s">
        <v>12</v>
      </c>
      <c r="E8" s="59"/>
      <c r="F8" s="59" t="s">
        <v>161</v>
      </c>
    </row>
    <row r="9" spans="1:6">
      <c r="A9" s="1" t="s">
        <v>2</v>
      </c>
      <c r="C9" s="1" t="s">
        <v>3</v>
      </c>
      <c r="D9" s="53" t="s">
        <v>27</v>
      </c>
      <c r="E9" s="59"/>
      <c r="F9" s="53" t="s">
        <v>27</v>
      </c>
    </row>
    <row r="11" spans="1:6">
      <c r="C11" s="74" t="s">
        <v>239</v>
      </c>
      <c r="D11" s="7"/>
      <c r="E11" s="7"/>
      <c r="F11" s="7"/>
    </row>
    <row r="12" spans="1:6">
      <c r="A12" s="64">
        <v>1</v>
      </c>
      <c r="C12" s="75" t="s">
        <v>264</v>
      </c>
      <c r="D12" s="40">
        <v>137408.64784295857</v>
      </c>
      <c r="E12" s="7"/>
      <c r="F12" s="40">
        <v>245950.53762489464</v>
      </c>
    </row>
    <row r="13" spans="1:6">
      <c r="A13" s="64">
        <v>2</v>
      </c>
      <c r="C13" s="75" t="s">
        <v>265</v>
      </c>
      <c r="D13" s="7">
        <v>565257.11538609117</v>
      </c>
      <c r="E13" s="7"/>
      <c r="F13" s="7">
        <v>691614.88958714157</v>
      </c>
    </row>
    <row r="14" spans="1:6">
      <c r="A14" s="64">
        <v>3</v>
      </c>
      <c r="C14" s="75" t="s">
        <v>266</v>
      </c>
      <c r="D14" s="7">
        <v>219321.43313135952</v>
      </c>
      <c r="E14" s="7"/>
      <c r="F14" s="7">
        <v>329177.9771651458</v>
      </c>
    </row>
    <row r="15" spans="1:6">
      <c r="A15" s="64">
        <v>4</v>
      </c>
      <c r="C15" s="75" t="s">
        <v>267</v>
      </c>
      <c r="D15" s="7">
        <v>773165.41576609015</v>
      </c>
      <c r="E15" s="7"/>
      <c r="F15" s="7">
        <v>869408.50621556863</v>
      </c>
    </row>
    <row r="16" spans="1:6">
      <c r="A16" s="64">
        <v>5</v>
      </c>
      <c r="C16" s="75" t="s">
        <v>268</v>
      </c>
      <c r="D16" s="7">
        <v>294115.61101729982</v>
      </c>
      <c r="E16" s="7"/>
      <c r="F16" s="7">
        <v>344111.48429154046</v>
      </c>
    </row>
    <row r="17" spans="1:6">
      <c r="A17" s="64">
        <v>6</v>
      </c>
      <c r="C17" s="75" t="s">
        <v>269</v>
      </c>
      <c r="D17" s="7">
        <v>29688.065822271863</v>
      </c>
      <c r="E17" s="7"/>
      <c r="F17" s="7">
        <v>49352.248514340259</v>
      </c>
    </row>
    <row r="18" spans="1:6">
      <c r="A18" s="64">
        <v>7</v>
      </c>
      <c r="C18" s="75" t="s">
        <v>270</v>
      </c>
      <c r="D18" s="7">
        <v>10243.87921592081</v>
      </c>
      <c r="E18" s="7"/>
      <c r="F18" s="7">
        <v>18506.630847630557</v>
      </c>
    </row>
    <row r="19" spans="1:6">
      <c r="A19" s="64">
        <v>8</v>
      </c>
      <c r="C19" s="75" t="s">
        <v>271</v>
      </c>
      <c r="D19" s="18">
        <v>603247.09663109481</v>
      </c>
      <c r="E19" s="7"/>
      <c r="F19" s="18">
        <v>1071660.7177337781</v>
      </c>
    </row>
    <row r="20" spans="1:6">
      <c r="A20" s="64">
        <v>9</v>
      </c>
      <c r="C20" s="76" t="s">
        <v>272</v>
      </c>
      <c r="D20" s="40">
        <f>SUM(D12:D19)</f>
        <v>2632447.2648130869</v>
      </c>
      <c r="E20" s="7"/>
      <c r="F20" s="40">
        <v>3619782.9919800609</v>
      </c>
    </row>
    <row r="21" spans="1:6">
      <c r="A21" s="64"/>
      <c r="C21" s="77"/>
      <c r="D21" s="7"/>
      <c r="E21" s="7"/>
      <c r="F21" s="7"/>
    </row>
    <row r="22" spans="1:6">
      <c r="A22" s="64">
        <v>10</v>
      </c>
      <c r="C22" s="76" t="s">
        <v>273</v>
      </c>
      <c r="D22" s="18">
        <v>91240</v>
      </c>
      <c r="E22" s="7"/>
      <c r="F22" s="18">
        <v>182188.09454757578</v>
      </c>
    </row>
    <row r="23" spans="1:6">
      <c r="A23" s="64">
        <v>11</v>
      </c>
      <c r="C23" s="76" t="s">
        <v>274</v>
      </c>
      <c r="D23" s="40">
        <f>+D22+D20</f>
        <v>2723687.2648130869</v>
      </c>
      <c r="E23" s="7"/>
      <c r="F23" s="40">
        <v>3801971.0865276367</v>
      </c>
    </row>
    <row r="24" spans="1:6">
      <c r="A24" s="64"/>
      <c r="C24" s="76"/>
      <c r="D24" s="7"/>
      <c r="E24" s="7"/>
      <c r="F24" s="7"/>
    </row>
    <row r="25" spans="1:6">
      <c r="A25" s="64">
        <v>12</v>
      </c>
      <c r="C25" s="78" t="s">
        <v>275</v>
      </c>
      <c r="D25" s="40">
        <f>+D23</f>
        <v>2723687.2648130869</v>
      </c>
      <c r="E25" s="7"/>
      <c r="F25" s="40">
        <v>3801971.0865276367</v>
      </c>
    </row>
    <row r="26" spans="1:6">
      <c r="A26" s="64">
        <v>13</v>
      </c>
      <c r="C26" s="76" t="s">
        <v>276</v>
      </c>
      <c r="D26" s="18">
        <f>-D25*0.21</f>
        <v>-571974.32561074826</v>
      </c>
      <c r="E26" s="7"/>
      <c r="F26" s="18">
        <v>-798413.9281708037</v>
      </c>
    </row>
    <row r="27" spans="1:6" ht="16.5" thickBot="1">
      <c r="A27" s="64">
        <v>14</v>
      </c>
      <c r="C27" s="76" t="s">
        <v>277</v>
      </c>
      <c r="D27" s="41">
        <f>-D25-D26</f>
        <v>-2151712.9392023385</v>
      </c>
      <c r="E27" s="7"/>
      <c r="F27" s="41">
        <v>-3003557.1583568333</v>
      </c>
    </row>
    <row r="28" spans="1:6" ht="16.5" thickTop="1">
      <c r="A28" s="64"/>
    </row>
    <row r="29" spans="1:6">
      <c r="A29" s="64"/>
      <c r="C29" s="15" t="s">
        <v>26</v>
      </c>
    </row>
    <row r="30" spans="1:6">
      <c r="A30" s="64"/>
      <c r="C30" t="s">
        <v>242</v>
      </c>
    </row>
  </sheetData>
  <pageMargins left="0.7" right="0.7" top="0.7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zoomScale="70" zoomScaleNormal="70" workbookViewId="0">
      <selection activeCell="F3" sqref="F3"/>
    </sheetView>
  </sheetViews>
  <sheetFormatPr defaultRowHeight="15.75"/>
  <cols>
    <col min="1" max="1" width="4.125" customWidth="1"/>
    <col min="2" max="2" width="1.625" customWidth="1"/>
    <col min="3" max="3" width="58.625" customWidth="1"/>
    <col min="4" max="4" width="11.75" customWidth="1"/>
    <col min="5" max="5" width="0.875" customWidth="1"/>
    <col min="6" max="6" width="10.375" customWidth="1"/>
  </cols>
  <sheetData>
    <row r="1" spans="1:6">
      <c r="A1" t="s">
        <v>144</v>
      </c>
      <c r="F1" s="11" t="s">
        <v>55</v>
      </c>
    </row>
    <row r="2" spans="1:6">
      <c r="A2" t="s">
        <v>145</v>
      </c>
      <c r="F2" s="11" t="s">
        <v>257</v>
      </c>
    </row>
    <row r="3" spans="1:6">
      <c r="A3" s="80" t="s">
        <v>148</v>
      </c>
      <c r="F3" s="11" t="s">
        <v>372</v>
      </c>
    </row>
    <row r="4" spans="1:6">
      <c r="A4" t="s">
        <v>146</v>
      </c>
      <c r="F4" s="11" t="s">
        <v>32</v>
      </c>
    </row>
    <row r="5" spans="1:6">
      <c r="A5" s="6"/>
      <c r="F5" s="11"/>
    </row>
    <row r="8" spans="1:6">
      <c r="A8" t="s">
        <v>1</v>
      </c>
      <c r="D8" s="2" t="s">
        <v>12</v>
      </c>
      <c r="E8" s="2"/>
      <c r="F8" s="2" t="s">
        <v>161</v>
      </c>
    </row>
    <row r="9" spans="1:6">
      <c r="A9" s="1" t="s">
        <v>2</v>
      </c>
      <c r="C9" s="1" t="s">
        <v>3</v>
      </c>
      <c r="D9" s="36" t="s">
        <v>27</v>
      </c>
      <c r="E9" s="2"/>
      <c r="F9" s="36" t="s">
        <v>27</v>
      </c>
    </row>
    <row r="11" spans="1:6">
      <c r="A11" s="64">
        <v>1</v>
      </c>
      <c r="C11" t="s">
        <v>152</v>
      </c>
      <c r="D11" s="7">
        <v>9106452</v>
      </c>
      <c r="E11" s="7"/>
      <c r="F11" s="7">
        <v>9106452</v>
      </c>
    </row>
    <row r="12" spans="1:6">
      <c r="A12" s="64"/>
    </row>
    <row r="13" spans="1:6">
      <c r="A13" s="64">
        <v>2</v>
      </c>
      <c r="C13" t="s">
        <v>151</v>
      </c>
      <c r="D13" s="18">
        <f>+F13</f>
        <v>9339547</v>
      </c>
      <c r="E13" s="7"/>
      <c r="F13" s="18">
        <v>9339547</v>
      </c>
    </row>
    <row r="14" spans="1:6">
      <c r="A14" s="64"/>
    </row>
    <row r="15" spans="1:6">
      <c r="A15" s="64">
        <v>3</v>
      </c>
      <c r="C15" t="s">
        <v>149</v>
      </c>
      <c r="D15" s="8">
        <f>+D11-D13</f>
        <v>-233095</v>
      </c>
      <c r="F15" s="8">
        <f>+F11-F13</f>
        <v>-233095</v>
      </c>
    </row>
    <row r="16" spans="1:6">
      <c r="A16" s="64"/>
    </row>
    <row r="17" spans="1:6">
      <c r="A17" s="64">
        <v>4</v>
      </c>
      <c r="C17" t="s">
        <v>150</v>
      </c>
      <c r="D17" s="9">
        <f>-D11*0.5</f>
        <v>-4553226</v>
      </c>
      <c r="F17" s="9">
        <v>0</v>
      </c>
    </row>
    <row r="18" spans="1:6">
      <c r="A18" s="64"/>
    </row>
    <row r="19" spans="1:6">
      <c r="A19" s="64">
        <v>5</v>
      </c>
      <c r="C19" t="s">
        <v>153</v>
      </c>
      <c r="D19" s="8">
        <f>+D15+D17</f>
        <v>-4786321</v>
      </c>
      <c r="F19" s="8">
        <f>+F15+F17</f>
        <v>-233095</v>
      </c>
    </row>
    <row r="20" spans="1:6">
      <c r="A20" s="64"/>
    </row>
    <row r="21" spans="1:6">
      <c r="A21" s="64">
        <v>6</v>
      </c>
      <c r="C21" t="s">
        <v>28</v>
      </c>
      <c r="D21" s="20">
        <v>0.21</v>
      </c>
      <c r="F21" s="20">
        <v>0.21</v>
      </c>
    </row>
    <row r="22" spans="1:6">
      <c r="A22" s="64"/>
    </row>
    <row r="23" spans="1:6">
      <c r="A23" s="64">
        <v>7</v>
      </c>
      <c r="C23" t="s">
        <v>29</v>
      </c>
      <c r="D23" s="18">
        <f>-D19*D21</f>
        <v>1005127.4099999999</v>
      </c>
      <c r="F23" s="18">
        <f>-F19*F21</f>
        <v>48949.95</v>
      </c>
    </row>
    <row r="24" spans="1:6">
      <c r="A24" s="64"/>
      <c r="D24" s="7"/>
      <c r="F24" s="7"/>
    </row>
    <row r="25" spans="1:6" ht="16.5" thickBot="1">
      <c r="A25" s="64">
        <v>8</v>
      </c>
      <c r="C25" t="s">
        <v>30</v>
      </c>
      <c r="D25" s="19">
        <f>-D19-D23</f>
        <v>3781193.59</v>
      </c>
      <c r="F25" s="19">
        <f>-F19-F23</f>
        <v>184145.05</v>
      </c>
    </row>
    <row r="26" spans="1:6" ht="16.5" thickTop="1">
      <c r="A26" s="64"/>
    </row>
    <row r="27" spans="1:6">
      <c r="A27" s="64"/>
    </row>
    <row r="28" spans="1:6">
      <c r="C28" s="15" t="s">
        <v>26</v>
      </c>
    </row>
    <row r="29" spans="1:6">
      <c r="C29" t="s">
        <v>160</v>
      </c>
    </row>
  </sheetData>
  <pageMargins left="0.7" right="0.7" top="0.75" bottom="0.75" header="0.3" footer="0.3"/>
  <pageSetup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zoomScale="55" zoomScaleNormal="55" workbookViewId="0">
      <selection activeCell="F3" sqref="F3"/>
    </sheetView>
  </sheetViews>
  <sheetFormatPr defaultRowHeight="15.75"/>
  <cols>
    <col min="1" max="1" width="4.125" customWidth="1"/>
    <col min="2" max="2" width="1.625" customWidth="1"/>
    <col min="3" max="3" width="55.75" customWidth="1"/>
    <col min="4" max="4" width="14.875" customWidth="1"/>
    <col min="5" max="5" width="3.25" customWidth="1"/>
    <col min="6" max="6" width="14.25" customWidth="1"/>
    <col min="7" max="7" width="0.75" customWidth="1"/>
  </cols>
  <sheetData>
    <row r="1" spans="1:7">
      <c r="A1" t="s">
        <v>144</v>
      </c>
      <c r="F1" s="11" t="s">
        <v>55</v>
      </c>
    </row>
    <row r="2" spans="1:7">
      <c r="A2" t="s">
        <v>245</v>
      </c>
      <c r="F2" s="11" t="s">
        <v>257</v>
      </c>
    </row>
    <row r="3" spans="1:7">
      <c r="A3" s="80" t="s">
        <v>246</v>
      </c>
      <c r="F3" s="11" t="s">
        <v>370</v>
      </c>
    </row>
    <row r="4" spans="1:7">
      <c r="A4" t="s">
        <v>146</v>
      </c>
      <c r="F4" s="11" t="s">
        <v>33</v>
      </c>
    </row>
    <row r="5" spans="1:7">
      <c r="A5" s="6"/>
      <c r="F5" s="11"/>
    </row>
    <row r="10" spans="1:7">
      <c r="A10" t="s">
        <v>1</v>
      </c>
      <c r="D10" s="2" t="s">
        <v>12</v>
      </c>
      <c r="E10" s="2"/>
      <c r="F10" s="2" t="s">
        <v>161</v>
      </c>
    </row>
    <row r="11" spans="1:7">
      <c r="A11" s="1" t="s">
        <v>2</v>
      </c>
      <c r="C11" s="1" t="s">
        <v>3</v>
      </c>
      <c r="D11" s="48" t="s">
        <v>27</v>
      </c>
      <c r="E11" s="2"/>
      <c r="F11" s="48" t="s">
        <v>27</v>
      </c>
      <c r="G11" s="2"/>
    </row>
    <row r="13" spans="1:7">
      <c r="A13" s="2">
        <v>1</v>
      </c>
      <c r="C13" s="7" t="s">
        <v>195</v>
      </c>
      <c r="D13" s="40">
        <f>+'WP-3 AMA Update'!I13</f>
        <v>247651568.60514641</v>
      </c>
      <c r="F13" s="40">
        <v>326078876.75844002</v>
      </c>
    </row>
    <row r="14" spans="1:7">
      <c r="A14" s="2">
        <v>2</v>
      </c>
      <c r="C14" s="7" t="s">
        <v>183</v>
      </c>
      <c r="D14" s="7">
        <f>+'WP-3 AMA Update'!I14</f>
        <v>-144767917.99899292</v>
      </c>
      <c r="E14" s="7"/>
      <c r="F14" s="7">
        <v>-143742277.5314436</v>
      </c>
    </row>
    <row r="15" spans="1:7">
      <c r="A15" s="2">
        <v>3</v>
      </c>
      <c r="C15" s="7" t="s">
        <v>203</v>
      </c>
      <c r="D15" s="7"/>
      <c r="E15" s="7"/>
      <c r="F15" s="7">
        <v>-12697238.698333323</v>
      </c>
    </row>
    <row r="16" spans="1:7">
      <c r="A16" s="2">
        <v>4</v>
      </c>
      <c r="C16" s="7" t="s">
        <v>196</v>
      </c>
      <c r="D16" s="49">
        <f>+'WP-3 AMA Update'!I15</f>
        <v>18474986.58578825</v>
      </c>
      <c r="F16" s="49">
        <v>22974386.588703156</v>
      </c>
    </row>
    <row r="17" spans="1:7">
      <c r="A17" s="2">
        <v>5</v>
      </c>
      <c r="C17" s="7" t="s">
        <v>204</v>
      </c>
      <c r="D17" s="49"/>
      <c r="F17" s="49">
        <v>-7927989.0496875346</v>
      </c>
    </row>
    <row r="18" spans="1:7">
      <c r="A18" s="2">
        <v>6</v>
      </c>
      <c r="C18" s="7" t="s">
        <v>193</v>
      </c>
      <c r="D18" s="49"/>
      <c r="F18" s="49">
        <v>-1867515.9642250985</v>
      </c>
    </row>
    <row r="19" spans="1:7" ht="22.9" customHeight="1" thickBot="1">
      <c r="A19" s="2">
        <v>7</v>
      </c>
      <c r="C19" s="7" t="s">
        <v>197</v>
      </c>
      <c r="D19" s="41">
        <f>SUM(D13:D16)</f>
        <v>121358637.19194174</v>
      </c>
      <c r="E19" s="61"/>
      <c r="F19" s="41">
        <f>SUM(F13:F17)</f>
        <v>184685758.06767872</v>
      </c>
    </row>
    <row r="20" spans="1:7" ht="16.5" thickTop="1">
      <c r="A20" s="2"/>
    </row>
    <row r="21" spans="1:7">
      <c r="A21" s="2">
        <v>8</v>
      </c>
      <c r="C21" s="7" t="s">
        <v>200</v>
      </c>
      <c r="D21" s="40">
        <f>+'WP-3 AMA Update'!I20</f>
        <v>18626008.301163197</v>
      </c>
      <c r="F21" s="40">
        <v>12326972</v>
      </c>
    </row>
    <row r="22" spans="1:7">
      <c r="A22" s="2">
        <v>9</v>
      </c>
      <c r="C22" s="7" t="s">
        <v>201</v>
      </c>
      <c r="D22" s="18">
        <f>-D21*0.21</f>
        <v>-3911461.7432442713</v>
      </c>
      <c r="F22" s="18">
        <f>-F21*0.21</f>
        <v>-2588664.12</v>
      </c>
    </row>
    <row r="23" spans="1:7" ht="26.45" customHeight="1" thickBot="1">
      <c r="A23" s="2">
        <v>10</v>
      </c>
      <c r="C23" s="7" t="s">
        <v>181</v>
      </c>
      <c r="D23" s="41">
        <f>-D21-D22</f>
        <v>-14714546.557918925</v>
      </c>
      <c r="E23" s="61"/>
      <c r="F23" s="41">
        <f>-F21-F22</f>
        <v>-9738307.879999999</v>
      </c>
    </row>
    <row r="24" spans="1:7" ht="16.5" thickTop="1">
      <c r="A24" s="2"/>
      <c r="C24" s="7"/>
    </row>
    <row r="25" spans="1:7">
      <c r="A25" s="2">
        <v>11</v>
      </c>
      <c r="C25" s="7" t="s">
        <v>205</v>
      </c>
      <c r="D25" s="40">
        <f>-D21</f>
        <v>-18626008.301163197</v>
      </c>
      <c r="E25" s="40"/>
      <c r="F25" s="40">
        <f>-F21</f>
        <v>-12326972</v>
      </c>
      <c r="G25" s="7"/>
    </row>
    <row r="26" spans="1:7">
      <c r="A26" s="2">
        <v>12</v>
      </c>
      <c r="C26" s="7" t="s">
        <v>206</v>
      </c>
      <c r="D26" s="9">
        <f>-D22</f>
        <v>3911461.7432442713</v>
      </c>
      <c r="F26" s="9">
        <f>-F22</f>
        <v>2588664.12</v>
      </c>
      <c r="G26" s="7"/>
    </row>
    <row r="27" spans="1:7" ht="26.45" customHeight="1" thickBot="1">
      <c r="A27" s="2">
        <v>13</v>
      </c>
      <c r="C27" t="s">
        <v>240</v>
      </c>
      <c r="D27" s="41">
        <f>+D25+D26</f>
        <v>-14714546.557918925</v>
      </c>
      <c r="E27" s="40"/>
      <c r="F27" s="41">
        <f>+F25+F26</f>
        <v>-9738307.879999999</v>
      </c>
    </row>
    <row r="28" spans="1:7" ht="16.5" thickTop="1">
      <c r="A28" s="2"/>
      <c r="D28" s="34"/>
      <c r="E28" s="7"/>
      <c r="F28" s="34"/>
    </row>
    <row r="29" spans="1:7">
      <c r="A29" s="2"/>
      <c r="C29" s="15" t="s">
        <v>26</v>
      </c>
      <c r="D29" s="7"/>
      <c r="E29" s="7"/>
      <c r="F29" s="7"/>
    </row>
    <row r="30" spans="1:7" ht="31.15" customHeight="1">
      <c r="A30" s="2"/>
      <c r="C30" s="140" t="s">
        <v>243</v>
      </c>
      <c r="D30" s="140"/>
      <c r="E30" s="140"/>
      <c r="F30" s="140"/>
    </row>
    <row r="31" spans="1:7">
      <c r="C31" t="s">
        <v>244</v>
      </c>
    </row>
  </sheetData>
  <mergeCells count="1">
    <mergeCell ref="C30:F30"/>
  </mergeCells>
  <pageMargins left="0.7" right="0.7" top="0.75" bottom="0.75" header="0.3" footer="0.3"/>
  <pageSetup scale="8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6"/>
  <sheetViews>
    <sheetView zoomScale="70" zoomScaleNormal="70" workbookViewId="0">
      <selection activeCell="F3" sqref="F3"/>
    </sheetView>
  </sheetViews>
  <sheetFormatPr defaultRowHeight="15.75"/>
  <cols>
    <col min="1" max="1" width="4.125" customWidth="1"/>
    <col min="2" max="2" width="1.625" customWidth="1"/>
    <col min="3" max="3" width="52.25" customWidth="1"/>
    <col min="4" max="4" width="17.75" customWidth="1"/>
    <col min="5" max="5" width="3.5" customWidth="1"/>
    <col min="6" max="6" width="12.875" customWidth="1"/>
    <col min="7" max="7" width="5" customWidth="1"/>
    <col min="8" max="8" width="8.875" customWidth="1"/>
  </cols>
  <sheetData>
    <row r="1" spans="1:6">
      <c r="A1" t="s">
        <v>158</v>
      </c>
      <c r="F1" s="21" t="s">
        <v>55</v>
      </c>
    </row>
    <row r="2" spans="1:6">
      <c r="A2" t="s">
        <v>145</v>
      </c>
      <c r="F2" s="11" t="s">
        <v>257</v>
      </c>
    </row>
    <row r="3" spans="1:6">
      <c r="A3" s="80" t="s">
        <v>250</v>
      </c>
      <c r="F3" s="11" t="s">
        <v>371</v>
      </c>
    </row>
    <row r="4" spans="1:6">
      <c r="A4" t="s">
        <v>146</v>
      </c>
      <c r="F4" s="11" t="s">
        <v>53</v>
      </c>
    </row>
    <row r="5" spans="1:6">
      <c r="A5" s="6"/>
      <c r="F5" s="11"/>
    </row>
    <row r="8" spans="1:6">
      <c r="A8" t="s">
        <v>1</v>
      </c>
      <c r="D8" s="2" t="s">
        <v>12</v>
      </c>
      <c r="E8" s="2"/>
      <c r="F8" s="2" t="s">
        <v>161</v>
      </c>
    </row>
    <row r="9" spans="1:6">
      <c r="A9" s="1" t="s">
        <v>2</v>
      </c>
      <c r="C9" s="1" t="s">
        <v>3</v>
      </c>
      <c r="D9" s="3" t="s">
        <v>27</v>
      </c>
      <c r="E9" s="2"/>
      <c r="F9" s="3" t="s">
        <v>27</v>
      </c>
    </row>
    <row r="11" spans="1:6">
      <c r="A11" s="64">
        <v>1</v>
      </c>
      <c r="C11" t="s">
        <v>166</v>
      </c>
      <c r="D11" s="40">
        <v>23516910</v>
      </c>
      <c r="F11" s="40">
        <v>0</v>
      </c>
    </row>
    <row r="12" spans="1:6">
      <c r="A12" s="64"/>
    </row>
    <row r="13" spans="1:6">
      <c r="A13" s="64">
        <v>2</v>
      </c>
      <c r="C13" t="s">
        <v>167</v>
      </c>
      <c r="D13" s="7">
        <v>21106142</v>
      </c>
    </row>
    <row r="14" spans="1:6">
      <c r="A14" s="64"/>
    </row>
    <row r="15" spans="1:6">
      <c r="A15" s="64">
        <v>3</v>
      </c>
      <c r="C15" t="s">
        <v>168</v>
      </c>
      <c r="D15" s="42">
        <f>+(31+28)/365</f>
        <v>0.16164383561643836</v>
      </c>
    </row>
    <row r="16" spans="1:6">
      <c r="A16" s="64"/>
    </row>
    <row r="17" spans="1:6">
      <c r="A17" s="64">
        <v>4</v>
      </c>
      <c r="C17" t="s">
        <v>169</v>
      </c>
      <c r="D17" s="43">
        <f>+D13*D15</f>
        <v>3411677.7479452053</v>
      </c>
    </row>
    <row r="18" spans="1:6">
      <c r="A18" s="64"/>
    </row>
    <row r="19" spans="1:6">
      <c r="A19" s="64">
        <v>5</v>
      </c>
      <c r="C19" t="s">
        <v>170</v>
      </c>
      <c r="D19" s="44">
        <f>+D11+D17</f>
        <v>26928587.747945204</v>
      </c>
    </row>
    <row r="20" spans="1:6">
      <c r="A20" s="64"/>
    </row>
    <row r="21" spans="1:6" ht="16.5" thickBot="1">
      <c r="A21" s="64">
        <v>6</v>
      </c>
      <c r="C21" t="s">
        <v>233</v>
      </c>
      <c r="D21" s="45">
        <f>+D45</f>
        <v>22532936.180555556</v>
      </c>
      <c r="F21" s="40">
        <v>0</v>
      </c>
    </row>
    <row r="22" spans="1:6" ht="16.5" thickTop="1">
      <c r="A22" s="64"/>
      <c r="D22" s="7"/>
    </row>
    <row r="23" spans="1:6">
      <c r="A23" s="64">
        <v>7</v>
      </c>
      <c r="C23" t="s">
        <v>252</v>
      </c>
      <c r="D23" s="44">
        <f>+D19/2</f>
        <v>13464293.873972602</v>
      </c>
      <c r="F23" s="44">
        <v>0</v>
      </c>
    </row>
    <row r="25" spans="1:6" ht="16.5" thickBot="1">
      <c r="A25" s="64">
        <v>8</v>
      </c>
      <c r="C25" t="s">
        <v>251</v>
      </c>
      <c r="D25" s="45">
        <f>+D23</f>
        <v>13464293.873972602</v>
      </c>
      <c r="F25" s="45">
        <f>+F23</f>
        <v>0</v>
      </c>
    </row>
    <row r="26" spans="1:6" ht="16.5" thickTop="1"/>
    <row r="27" spans="1:6">
      <c r="C27" s="15" t="s">
        <v>26</v>
      </c>
    </row>
    <row r="28" spans="1:6">
      <c r="C28" t="s">
        <v>171</v>
      </c>
    </row>
    <row r="30" spans="1:6">
      <c r="C30" s="73" t="s">
        <v>208</v>
      </c>
    </row>
    <row r="31" spans="1:6">
      <c r="C31" t="s">
        <v>234</v>
      </c>
      <c r="D31" s="8">
        <f>23516910*6/12</f>
        <v>11758455</v>
      </c>
    </row>
    <row r="32" spans="1:6">
      <c r="C32" t="s">
        <v>235</v>
      </c>
      <c r="D32" s="8">
        <f>23516910*7/12</f>
        <v>13718197.5</v>
      </c>
    </row>
    <row r="33" spans="3:4">
      <c r="C33" t="s">
        <v>236</v>
      </c>
      <c r="D33" s="8">
        <f>23516910*8/12</f>
        <v>15677940</v>
      </c>
    </row>
    <row r="34" spans="3:4">
      <c r="C34" t="s">
        <v>209</v>
      </c>
      <c r="D34" s="7">
        <f>23516910*9/12</f>
        <v>17637682.5</v>
      </c>
    </row>
    <row r="35" spans="3:4">
      <c r="C35" t="s">
        <v>210</v>
      </c>
      <c r="D35" s="7">
        <f>23516910*10/12</f>
        <v>19597425</v>
      </c>
    </row>
    <row r="36" spans="3:4">
      <c r="C36" t="s">
        <v>211</v>
      </c>
      <c r="D36" s="7">
        <f>23516910*11/12</f>
        <v>21557167.5</v>
      </c>
    </row>
    <row r="37" spans="3:4">
      <c r="C37" t="s">
        <v>212</v>
      </c>
      <c r="D37" s="7">
        <v>23516910</v>
      </c>
    </row>
    <row r="38" spans="3:4">
      <c r="C38" t="s">
        <v>213</v>
      </c>
      <c r="D38" s="7">
        <f>23516910+21106142/12</f>
        <v>25275755.166666668</v>
      </c>
    </row>
    <row r="39" spans="3:4">
      <c r="C39" t="s">
        <v>214</v>
      </c>
      <c r="D39" s="7">
        <f>23516910+21106142*2/12</f>
        <v>27034600.333333332</v>
      </c>
    </row>
    <row r="40" spans="3:4">
      <c r="C40" t="s">
        <v>215</v>
      </c>
      <c r="D40" s="8">
        <f>+D39</f>
        <v>27034600.333333332</v>
      </c>
    </row>
    <row r="41" spans="3:4">
      <c r="C41" t="s">
        <v>216</v>
      </c>
      <c r="D41" s="8">
        <f t="shared" ref="D41:D43" si="0">+D40</f>
        <v>27034600.333333332</v>
      </c>
    </row>
    <row r="42" spans="3:4">
      <c r="C42" t="s">
        <v>217</v>
      </c>
      <c r="D42" s="8">
        <f t="shared" si="0"/>
        <v>27034600.333333332</v>
      </c>
    </row>
    <row r="43" spans="3:4">
      <c r="C43" t="s">
        <v>218</v>
      </c>
      <c r="D43" s="8">
        <f t="shared" si="0"/>
        <v>27034600.333333332</v>
      </c>
    </row>
    <row r="45" spans="3:4">
      <c r="C45" t="s">
        <v>237</v>
      </c>
      <c r="D45" s="8">
        <f>+(D30+D43+SUM(D31:D42)*2)/24</f>
        <v>22532936.180555556</v>
      </c>
    </row>
    <row r="46" spans="3:4">
      <c r="D46" s="8"/>
    </row>
  </sheetData>
  <pageMargins left="0.7" right="0.7" top="0.75" bottom="0.75" header="0.3" footer="0.3"/>
  <pageSetup scale="9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zoomScale="55" zoomScaleNormal="55" workbookViewId="0">
      <selection activeCell="G100" sqref="G100"/>
    </sheetView>
  </sheetViews>
  <sheetFormatPr defaultRowHeight="15.75"/>
  <cols>
    <col min="1" max="1" width="4.125" customWidth="1"/>
    <col min="2" max="2" width="1.625" customWidth="1"/>
    <col min="3" max="3" width="46.75" customWidth="1"/>
    <col min="4" max="4" width="14" customWidth="1"/>
    <col min="5" max="5" width="2.625" customWidth="1"/>
    <col min="6" max="6" width="13.375" customWidth="1"/>
    <col min="7" max="7" width="5" customWidth="1"/>
    <col min="8" max="8" width="8.875" customWidth="1"/>
    <col min="9" max="9" width="10.125" bestFit="1" customWidth="1"/>
    <col min="10" max="10" width="11.25" bestFit="1" customWidth="1"/>
    <col min="11" max="11" width="3.375" customWidth="1"/>
    <col min="12" max="12" width="11.25" bestFit="1" customWidth="1"/>
  </cols>
  <sheetData>
    <row r="1" spans="1:6">
      <c r="A1" t="s">
        <v>158</v>
      </c>
      <c r="F1" s="21"/>
    </row>
    <row r="2" spans="1:6">
      <c r="A2" t="s">
        <v>145</v>
      </c>
      <c r="F2" s="11"/>
    </row>
    <row r="3" spans="1:6">
      <c r="A3" s="80" t="s">
        <v>173</v>
      </c>
      <c r="F3" s="11"/>
    </row>
    <row r="4" spans="1:6">
      <c r="A4" t="s">
        <v>146</v>
      </c>
      <c r="F4" s="11"/>
    </row>
    <row r="5" spans="1:6">
      <c r="A5" s="6"/>
      <c r="F5" s="11"/>
    </row>
    <row r="8" spans="1:6">
      <c r="A8" s="64" t="s">
        <v>1</v>
      </c>
      <c r="D8" s="2" t="s">
        <v>12</v>
      </c>
      <c r="E8" s="2"/>
      <c r="F8" s="2" t="s">
        <v>161</v>
      </c>
    </row>
    <row r="9" spans="1:6">
      <c r="A9" s="63" t="s">
        <v>2</v>
      </c>
      <c r="C9" s="1" t="s">
        <v>3</v>
      </c>
      <c r="D9" s="3" t="s">
        <v>27</v>
      </c>
      <c r="E9" s="2"/>
      <c r="F9" s="3" t="s">
        <v>27</v>
      </c>
    </row>
    <row r="10" spans="1:6">
      <c r="A10" s="62"/>
      <c r="C10" s="17"/>
      <c r="D10" s="46"/>
      <c r="E10" s="2"/>
      <c r="F10" s="46"/>
    </row>
    <row r="11" spans="1:6">
      <c r="A11" s="64"/>
      <c r="C11" s="15" t="s">
        <v>4</v>
      </c>
    </row>
    <row r="12" spans="1:6">
      <c r="A12" s="64">
        <v>1</v>
      </c>
      <c r="C12" t="s">
        <v>182</v>
      </c>
      <c r="D12" s="40">
        <f>-D57</f>
        <v>-66594804.717070341</v>
      </c>
      <c r="F12" s="40">
        <v>24644868</v>
      </c>
    </row>
    <row r="13" spans="1:6">
      <c r="A13" s="64">
        <v>2</v>
      </c>
      <c r="C13" t="s">
        <v>183</v>
      </c>
      <c r="D13" s="49">
        <f>-D76</f>
        <v>6230625.2217313247</v>
      </c>
      <c r="F13" s="49">
        <v>-2140348</v>
      </c>
    </row>
    <row r="14" spans="1:6">
      <c r="A14" s="64">
        <v>3</v>
      </c>
      <c r="C14" t="s">
        <v>184</v>
      </c>
      <c r="D14" s="18">
        <f>-D95</f>
        <v>4198559.2304705381</v>
      </c>
      <c r="F14" s="18">
        <v>-1701441</v>
      </c>
    </row>
    <row r="15" spans="1:6">
      <c r="A15" s="64"/>
    </row>
    <row r="16" spans="1:6">
      <c r="A16" s="64">
        <v>4</v>
      </c>
      <c r="C16" t="s">
        <v>174</v>
      </c>
      <c r="D16" s="44">
        <f>SUM(D12:D15)</f>
        <v>-56165620.264868475</v>
      </c>
      <c r="F16" s="44">
        <f>SUM(F12:F15)</f>
        <v>20803079</v>
      </c>
    </row>
    <row r="17" spans="1:6">
      <c r="A17" s="64"/>
    </row>
    <row r="18" spans="1:6">
      <c r="A18" s="64">
        <v>5</v>
      </c>
      <c r="C18" t="s">
        <v>294</v>
      </c>
      <c r="D18" s="40">
        <v>0</v>
      </c>
      <c r="F18" s="40">
        <v>11304151</v>
      </c>
    </row>
    <row r="19" spans="1:6">
      <c r="A19" s="64">
        <v>6</v>
      </c>
      <c r="C19" t="s">
        <v>179</v>
      </c>
      <c r="D19" s="49"/>
      <c r="F19" s="49">
        <v>-1884025</v>
      </c>
    </row>
    <row r="20" spans="1:6">
      <c r="A20" s="64">
        <v>7</v>
      </c>
      <c r="C20" t="s">
        <v>295</v>
      </c>
      <c r="D20" s="18"/>
      <c r="F20" s="18">
        <v>-1978226</v>
      </c>
    </row>
    <row r="21" spans="1:6">
      <c r="A21" s="64"/>
    </row>
    <row r="22" spans="1:6">
      <c r="A22" s="64">
        <v>8</v>
      </c>
      <c r="C22" t="s">
        <v>180</v>
      </c>
      <c r="D22" s="44">
        <f>SUM(D18:D21)</f>
        <v>0</v>
      </c>
      <c r="F22" s="44">
        <f>SUM(F18:F21)</f>
        <v>7441900</v>
      </c>
    </row>
    <row r="23" spans="1:6">
      <c r="A23" s="64"/>
    </row>
    <row r="24" spans="1:6" ht="16.5" thickBot="1">
      <c r="A24" s="64">
        <v>9</v>
      </c>
      <c r="C24" t="s">
        <v>175</v>
      </c>
      <c r="D24" s="45">
        <f>+D16+D22</f>
        <v>-56165620.264868475</v>
      </c>
      <c r="F24" s="45">
        <f>+F16+F22</f>
        <v>28244979</v>
      </c>
    </row>
    <row r="25" spans="1:6" ht="16.5" thickTop="1">
      <c r="A25" s="64"/>
    </row>
    <row r="26" spans="1:6">
      <c r="A26" s="64"/>
      <c r="C26" s="15" t="s">
        <v>177</v>
      </c>
    </row>
    <row r="27" spans="1:6">
      <c r="A27" s="64">
        <v>10</v>
      </c>
      <c r="C27" t="s">
        <v>178</v>
      </c>
      <c r="D27" s="40">
        <f>-D100</f>
        <v>-8664663</v>
      </c>
      <c r="F27" s="40">
        <v>1355468</v>
      </c>
    </row>
    <row r="28" spans="1:6">
      <c r="A28" s="64">
        <v>11</v>
      </c>
      <c r="C28" t="s">
        <v>296</v>
      </c>
      <c r="D28" s="40"/>
      <c r="F28" s="49">
        <v>-66474</v>
      </c>
    </row>
    <row r="29" spans="1:6">
      <c r="A29" s="64">
        <v>12</v>
      </c>
      <c r="C29" t="s">
        <v>223</v>
      </c>
      <c r="D29" s="40"/>
      <c r="F29" s="49">
        <v>1100395</v>
      </c>
    </row>
    <row r="30" spans="1:6">
      <c r="A30" s="64">
        <v>13</v>
      </c>
      <c r="C30" t="s">
        <v>224</v>
      </c>
      <c r="D30" s="40"/>
      <c r="F30" s="49">
        <v>3768050</v>
      </c>
    </row>
    <row r="31" spans="1:6">
      <c r="A31" s="64">
        <v>14</v>
      </c>
      <c r="C31" t="s">
        <v>103</v>
      </c>
      <c r="D31" s="18">
        <f>-D27*0.21</f>
        <v>1819579.23</v>
      </c>
      <c r="F31" s="18">
        <v>-1293062</v>
      </c>
    </row>
    <row r="32" spans="1:6">
      <c r="A32" s="64"/>
    </row>
    <row r="33" spans="1:12" ht="16.5" thickBot="1">
      <c r="A33" s="64">
        <v>15</v>
      </c>
      <c r="C33" t="s">
        <v>181</v>
      </c>
      <c r="D33" s="50">
        <f>-SUM(D27:D32)</f>
        <v>6845083.7699999996</v>
      </c>
      <c r="F33" s="50">
        <f>-SUM(F27:F32)</f>
        <v>-4864377</v>
      </c>
    </row>
    <row r="34" spans="1:12" ht="16.5" thickTop="1">
      <c r="D34" s="40"/>
    </row>
    <row r="35" spans="1:12">
      <c r="C35" s="15" t="s">
        <v>26</v>
      </c>
    </row>
    <row r="36" spans="1:12">
      <c r="C36" t="s">
        <v>176</v>
      </c>
    </row>
    <row r="37" spans="1:12">
      <c r="C37" t="s">
        <v>219</v>
      </c>
    </row>
    <row r="40" spans="1:12">
      <c r="A40" s="15" t="s">
        <v>220</v>
      </c>
    </row>
    <row r="41" spans="1:12">
      <c r="C41" t="s">
        <v>221</v>
      </c>
    </row>
    <row r="42" spans="1:12">
      <c r="C42" s="11" t="s">
        <v>222</v>
      </c>
      <c r="D42" t="s">
        <v>186</v>
      </c>
      <c r="F42" t="s">
        <v>187</v>
      </c>
    </row>
    <row r="43" spans="1:12">
      <c r="C43" s="54">
        <v>43281</v>
      </c>
      <c r="D43" s="7">
        <v>44394583.510395996</v>
      </c>
      <c r="E43" s="7"/>
      <c r="F43" s="7">
        <v>16153819.989604</v>
      </c>
      <c r="I43" s="54"/>
      <c r="J43" s="7"/>
      <c r="K43" s="7"/>
      <c r="L43" s="7"/>
    </row>
    <row r="44" spans="1:12">
      <c r="C44" s="54">
        <v>43312</v>
      </c>
      <c r="D44" s="7">
        <v>48285611.310396001</v>
      </c>
      <c r="E44" s="7"/>
      <c r="F44" s="7">
        <v>20449773.849603999</v>
      </c>
      <c r="I44" s="54"/>
      <c r="J44" s="7"/>
      <c r="K44" s="7"/>
      <c r="L44" s="7"/>
    </row>
    <row r="45" spans="1:12">
      <c r="C45" s="54">
        <v>43343</v>
      </c>
      <c r="D45" s="7">
        <v>53598407.806595258</v>
      </c>
      <c r="E45" s="7"/>
      <c r="F45" s="7">
        <v>23130928.223404739</v>
      </c>
      <c r="I45" s="54"/>
      <c r="J45" s="7"/>
      <c r="K45" s="7"/>
      <c r="L45" s="7"/>
    </row>
    <row r="46" spans="1:12">
      <c r="C46" s="54">
        <v>43373</v>
      </c>
      <c r="D46" s="7">
        <v>56859109.816595256</v>
      </c>
      <c r="E46" s="7"/>
      <c r="F46" s="7">
        <v>23474618.18340474</v>
      </c>
      <c r="I46" s="54"/>
      <c r="J46" s="7"/>
      <c r="K46" s="7"/>
      <c r="L46" s="7"/>
    </row>
    <row r="47" spans="1:12">
      <c r="C47" s="54">
        <v>43404</v>
      </c>
      <c r="D47" s="7">
        <v>64531734.136595257</v>
      </c>
      <c r="E47" s="7"/>
      <c r="F47" s="7">
        <v>24069036.323404737</v>
      </c>
      <c r="I47" s="54"/>
      <c r="J47" s="7"/>
      <c r="K47" s="7"/>
      <c r="L47" s="7"/>
    </row>
    <row r="48" spans="1:12">
      <c r="C48" s="54">
        <v>43434</v>
      </c>
      <c r="D48" s="7">
        <v>64659699.386595257</v>
      </c>
      <c r="E48" s="7"/>
      <c r="F48" s="7">
        <v>24116006.323404737</v>
      </c>
      <c r="I48" s="54"/>
      <c r="J48" s="7"/>
      <c r="K48" s="7"/>
      <c r="L48" s="7"/>
    </row>
    <row r="49" spans="3:12">
      <c r="C49" s="54">
        <v>43465</v>
      </c>
      <c r="D49" s="7">
        <v>65960577.016595259</v>
      </c>
      <c r="E49" s="7"/>
      <c r="F49" s="7">
        <v>25901244.283404738</v>
      </c>
      <c r="I49" s="54"/>
      <c r="J49" s="7"/>
      <c r="K49" s="7"/>
      <c r="L49" s="7"/>
    </row>
    <row r="50" spans="3:12">
      <c r="C50" s="54">
        <v>43496</v>
      </c>
      <c r="D50" s="7">
        <v>69170421.126595259</v>
      </c>
      <c r="E50" s="7"/>
      <c r="F50" s="7">
        <v>27430165.703404739</v>
      </c>
      <c r="I50" s="54"/>
      <c r="J50" s="7"/>
      <c r="K50" s="7"/>
      <c r="L50" s="7"/>
    </row>
    <row r="51" spans="3:12">
      <c r="C51" s="54">
        <v>43524</v>
      </c>
      <c r="D51" s="7">
        <v>73237780.856595248</v>
      </c>
      <c r="E51" s="7"/>
      <c r="F51" s="7">
        <v>27932655.043404736</v>
      </c>
      <c r="I51" s="54"/>
      <c r="J51" s="7"/>
      <c r="K51" s="7"/>
      <c r="L51" s="7"/>
    </row>
    <row r="52" spans="3:12">
      <c r="C52" s="54">
        <v>43555</v>
      </c>
      <c r="D52" s="7">
        <v>78296166.706595257</v>
      </c>
      <c r="E52" s="7"/>
      <c r="F52" s="7">
        <v>31736155.493404739</v>
      </c>
      <c r="I52" s="54"/>
      <c r="J52" s="7"/>
      <c r="K52" s="7"/>
      <c r="L52" s="7"/>
    </row>
    <row r="53" spans="3:12">
      <c r="C53" s="54">
        <v>43585</v>
      </c>
      <c r="D53" s="7">
        <v>78520537.90659526</v>
      </c>
      <c r="E53" s="7"/>
      <c r="F53" s="7">
        <v>31736155.493404739</v>
      </c>
      <c r="I53" s="54"/>
      <c r="J53" s="7"/>
      <c r="K53" s="7"/>
      <c r="L53" s="7"/>
    </row>
    <row r="54" spans="3:12">
      <c r="C54" s="54">
        <v>43616</v>
      </c>
      <c r="D54" s="7">
        <v>78520537.90659526</v>
      </c>
      <c r="E54" s="7"/>
      <c r="F54" s="7">
        <v>31736155.493404739</v>
      </c>
      <c r="I54" s="54"/>
      <c r="J54" s="7"/>
      <c r="K54" s="7"/>
      <c r="L54" s="7"/>
    </row>
    <row r="55" spans="3:12">
      <c r="C55" s="54">
        <v>43646</v>
      </c>
      <c r="D55" s="7">
        <v>90599561.746595263</v>
      </c>
      <c r="E55" s="7"/>
      <c r="F55" s="7">
        <v>38367077.573404737</v>
      </c>
      <c r="I55" s="54"/>
      <c r="J55" s="7"/>
      <c r="K55" s="7"/>
      <c r="L55" s="7"/>
    </row>
    <row r="57" spans="3:12">
      <c r="C57" s="92" t="s">
        <v>314</v>
      </c>
      <c r="D57" s="7">
        <f>+(D43+D55+SUM(D44:D54)*2)/24</f>
        <v>66594804.717070341</v>
      </c>
      <c r="E57" s="7"/>
      <c r="F57" s="7">
        <f>+(F43+F55+SUM(F44:F54)*2)/24</f>
        <v>26581111.932929646</v>
      </c>
      <c r="I57" s="92"/>
      <c r="J57" s="7"/>
      <c r="K57" s="7"/>
      <c r="L57" s="7"/>
    </row>
    <row r="58" spans="3:12">
      <c r="C58" s="11"/>
      <c r="D58" s="65"/>
      <c r="E58" s="7"/>
      <c r="F58" s="65"/>
    </row>
    <row r="59" spans="3:12">
      <c r="C59" s="11"/>
    </row>
    <row r="61" spans="3:12">
      <c r="C61" s="11" t="s">
        <v>183</v>
      </c>
    </row>
    <row r="62" spans="3:12">
      <c r="C62" s="54">
        <v>43281</v>
      </c>
      <c r="D62" s="22">
        <v>-1898019.1355115911</v>
      </c>
      <c r="F62" s="22">
        <v>-850612.76972995116</v>
      </c>
    </row>
    <row r="63" spans="3:12">
      <c r="C63" s="54">
        <v>43312</v>
      </c>
      <c r="D63" s="22">
        <v>-2557271.0372973997</v>
      </c>
      <c r="F63" s="22">
        <v>-1165123.1679064762</v>
      </c>
    </row>
    <row r="64" spans="3:12">
      <c r="C64" s="54">
        <v>43343</v>
      </c>
      <c r="D64" s="22">
        <v>-3240873.2563574552</v>
      </c>
      <c r="F64" s="22">
        <v>-1491363.6164683795</v>
      </c>
    </row>
    <row r="65" spans="3:6">
      <c r="C65" s="54">
        <v>43373</v>
      </c>
      <c r="D65" s="22">
        <v>-3939420.3596300106</v>
      </c>
      <c r="F65" s="22">
        <v>-1819107.7086052829</v>
      </c>
    </row>
    <row r="66" spans="3:6">
      <c r="C66" s="54">
        <v>43404</v>
      </c>
      <c r="D66" s="22">
        <v>-4673133.6577025652</v>
      </c>
      <c r="F66" s="22">
        <v>-2149452.3801046861</v>
      </c>
    </row>
    <row r="67" spans="3:6">
      <c r="C67" s="54">
        <v>43434</v>
      </c>
      <c r="D67" s="22">
        <v>-5407433.463170954</v>
      </c>
      <c r="F67" s="22">
        <v>-2480002.5453540892</v>
      </c>
    </row>
    <row r="68" spans="3:6">
      <c r="C68" s="54">
        <v>43465</v>
      </c>
      <c r="D68" s="22">
        <v>-6147695.6244435096</v>
      </c>
      <c r="F68" s="22">
        <v>-2818363.1266784924</v>
      </c>
    </row>
    <row r="69" spans="3:6">
      <c r="C69" s="54">
        <v>43496</v>
      </c>
      <c r="D69" s="22">
        <v>-6902669.5712202312</v>
      </c>
      <c r="F69" s="22">
        <v>-3163412.7392153954</v>
      </c>
    </row>
    <row r="70" spans="3:6">
      <c r="C70" s="54">
        <v>43524</v>
      </c>
      <c r="D70" s="22">
        <v>-7676285.5834261198</v>
      </c>
      <c r="F70" s="22">
        <v>-3510660.7426147987</v>
      </c>
    </row>
    <row r="71" spans="3:6">
      <c r="C71" s="54">
        <v>43555</v>
      </c>
      <c r="D71" s="22">
        <v>-8473085.8641111758</v>
      </c>
      <c r="F71" s="22">
        <v>-3874549.0604829518</v>
      </c>
    </row>
    <row r="72" spans="3:6">
      <c r="C72" s="54">
        <v>43585</v>
      </c>
      <c r="D72" s="22">
        <v>-9270914.5127962306</v>
      </c>
      <c r="F72" s="22">
        <v>-4238437.3783511044</v>
      </c>
    </row>
    <row r="73" spans="3:6">
      <c r="C73" s="54">
        <v>43616</v>
      </c>
      <c r="D73" s="22">
        <v>-10068743.161481285</v>
      </c>
      <c r="F73" s="22">
        <v>-4602325.696219258</v>
      </c>
    </row>
    <row r="74" spans="3:6">
      <c r="C74" s="54">
        <v>43646</v>
      </c>
      <c r="D74" s="22">
        <v>-10921934.002766341</v>
      </c>
      <c r="F74" s="22">
        <v>-4995224.2981874105</v>
      </c>
    </row>
    <row r="76" spans="3:6">
      <c r="C76" s="11" t="s">
        <v>315</v>
      </c>
      <c r="D76" s="7">
        <f>+(D62+D74+SUM(D63:D73)*2)/24</f>
        <v>-6230625.2217313247</v>
      </c>
      <c r="E76" s="7"/>
      <c r="F76" s="7">
        <f>+(F62+F74+SUM(F63:F73)*2)/24</f>
        <v>-2852976.3913299665</v>
      </c>
    </row>
    <row r="77" spans="3:6">
      <c r="C77" s="11"/>
      <c r="D77" s="66"/>
      <c r="E77" s="22"/>
      <c r="F77" s="66"/>
    </row>
    <row r="78" spans="3:6">
      <c r="C78" s="11"/>
    </row>
    <row r="80" spans="3:6">
      <c r="C80" s="11" t="s">
        <v>192</v>
      </c>
    </row>
    <row r="81" spans="3:6">
      <c r="C81" s="54">
        <v>43281</v>
      </c>
      <c r="D81" s="22">
        <v>-2355929.9218215817</v>
      </c>
      <c r="F81" s="22">
        <v>-1090038.0560034101</v>
      </c>
    </row>
    <row r="82" spans="3:6">
      <c r="C82" s="54">
        <v>43312</v>
      </c>
      <c r="D82" s="22">
        <v>-2672766.1795831434</v>
      </c>
      <c r="F82" s="22">
        <v>-1222023.8935414688</v>
      </c>
    </row>
    <row r="83" spans="3:6">
      <c r="C83" s="54">
        <v>43343</v>
      </c>
      <c r="D83" s="22">
        <v>-2984488.8707171143</v>
      </c>
      <c r="F83" s="22">
        <v>-1351546.4204985991</v>
      </c>
    </row>
    <row r="84" spans="3:6">
      <c r="C84" s="54">
        <v>43373</v>
      </c>
      <c r="D84" s="22">
        <v>-3293073.1361664589</v>
      </c>
      <c r="F84" s="22">
        <v>-1480753.1823049786</v>
      </c>
    </row>
    <row r="85" spans="3:6">
      <c r="C85" s="54">
        <v>43404</v>
      </c>
      <c r="D85" s="22">
        <v>-3594272.5007078056</v>
      </c>
      <c r="F85" s="22">
        <v>-1609413.8224452338</v>
      </c>
    </row>
    <row r="86" spans="3:6">
      <c r="C86" s="54">
        <v>43434</v>
      </c>
      <c r="D86" s="22">
        <v>-3895348.6986960256</v>
      </c>
      <c r="F86" s="22">
        <v>-1738031.3088979884</v>
      </c>
    </row>
    <row r="87" spans="3:6">
      <c r="C87" s="54">
        <v>43465</v>
      </c>
      <c r="D87" s="22">
        <v>-4195172.8019653708</v>
      </c>
      <c r="F87" s="22">
        <v>-1865008.6079749931</v>
      </c>
    </row>
    <row r="88" spans="3:6">
      <c r="C88" s="54">
        <v>43496</v>
      </c>
      <c r="D88" s="22">
        <v>-4505775.1929025799</v>
      </c>
      <c r="F88" s="22">
        <v>-1985058.9091480449</v>
      </c>
    </row>
    <row r="89" spans="3:6">
      <c r="C89" s="54">
        <v>43524</v>
      </c>
      <c r="D89" s="22">
        <v>-4812462.7500996646</v>
      </c>
      <c r="F89" s="22">
        <v>-2104647.5482399729</v>
      </c>
    </row>
    <row r="90" spans="3:6">
      <c r="C90" s="54">
        <v>43555</v>
      </c>
      <c r="D90" s="22">
        <v>-5114281.6109161247</v>
      </c>
      <c r="F90" s="22">
        <v>-2220741.7212934634</v>
      </c>
    </row>
    <row r="91" spans="3:6">
      <c r="C91" s="54">
        <v>43585</v>
      </c>
      <c r="D91" s="22">
        <v>-5415884.5144525841</v>
      </c>
      <c r="F91" s="22">
        <v>-2336835.8943469529</v>
      </c>
    </row>
    <row r="92" spans="3:6">
      <c r="C92" s="54">
        <v>43616</v>
      </c>
      <c r="D92" s="22">
        <v>-5717487.4179890435</v>
      </c>
      <c r="F92" s="22">
        <v>-2452930.0674004434</v>
      </c>
    </row>
    <row r="93" spans="3:6">
      <c r="C93" s="54">
        <v>43646</v>
      </c>
      <c r="D93" s="22">
        <v>-6007464.2610795023</v>
      </c>
      <c r="F93" s="22">
        <v>-2562932.0807929332</v>
      </c>
    </row>
    <row r="94" spans="3:6">
      <c r="F94" s="22"/>
    </row>
    <row r="95" spans="3:6">
      <c r="C95" s="92" t="s">
        <v>315</v>
      </c>
      <c r="D95" s="7">
        <f>+(D81+D93+SUM(D82:D92)*2)/24</f>
        <v>-4198559.2304705381</v>
      </c>
      <c r="E95" s="7"/>
      <c r="F95" s="7">
        <f>+(F81+F93+SUM(F82:F92)*2)/24</f>
        <v>-1849456.3703741925</v>
      </c>
    </row>
    <row r="96" spans="3:6">
      <c r="C96" s="11"/>
    </row>
    <row r="97" spans="3:6">
      <c r="C97" s="11"/>
    </row>
    <row r="100" spans="3:6">
      <c r="C100" t="s">
        <v>316</v>
      </c>
      <c r="D100" s="35">
        <f>10921934-2257271</f>
        <v>8664663</v>
      </c>
      <c r="F100" s="35">
        <f>4995224-850613</f>
        <v>4144611</v>
      </c>
    </row>
    <row r="101" spans="3:6">
      <c r="D101" s="67"/>
      <c r="E101" s="67"/>
      <c r="F101" s="67"/>
    </row>
  </sheetData>
  <printOptions horizontalCentered="1"/>
  <pageMargins left="0.7" right="0.7" top="0.75" bottom="0.75" header="0.3" footer="0.3"/>
  <pageSetup scale="70" fitToWidth="0" fitToHeight="0" orientation="portrait" r:id="rId1"/>
  <headerFooter>
    <oddHeader xml:space="preserve">&amp;RDockets UE-190529 &amp; UG-190530
Exhibit No. MEG-3
Page  of 11
Schedule No. 7
</oddHeader>
  </headerFooter>
  <rowBreaks count="1" manualBreakCount="1">
    <brk id="3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view="pageLayout" zoomScaleNormal="100" workbookViewId="0">
      <selection activeCell="F3" sqref="F3"/>
    </sheetView>
  </sheetViews>
  <sheetFormatPr defaultRowHeight="15.75"/>
  <cols>
    <col min="1" max="1" width="4.125" customWidth="1"/>
    <col min="2" max="2" width="1.625" customWidth="1"/>
    <col min="3" max="3" width="47.375" customWidth="1"/>
    <col min="4" max="4" width="14.875" bestFit="1" customWidth="1"/>
    <col min="5" max="5" width="3.25" customWidth="1"/>
    <col min="6" max="6" width="15" customWidth="1"/>
  </cols>
  <sheetData>
    <row r="1" spans="1:6">
      <c r="A1" t="s">
        <v>158</v>
      </c>
      <c r="F1" s="21" t="s">
        <v>55</v>
      </c>
    </row>
    <row r="2" spans="1:6">
      <c r="A2" t="s">
        <v>145</v>
      </c>
      <c r="F2" s="11" t="s">
        <v>257</v>
      </c>
    </row>
    <row r="3" spans="1:6">
      <c r="A3" s="80" t="s">
        <v>225</v>
      </c>
      <c r="F3" s="11" t="s">
        <v>367</v>
      </c>
    </row>
    <row r="4" spans="1:6">
      <c r="A4" t="s">
        <v>146</v>
      </c>
      <c r="F4" s="11" t="s">
        <v>258</v>
      </c>
    </row>
    <row r="5" spans="1:6">
      <c r="A5" s="6"/>
      <c r="F5" s="11"/>
    </row>
    <row r="8" spans="1:6">
      <c r="A8" t="s">
        <v>1</v>
      </c>
      <c r="D8" s="2" t="s">
        <v>12</v>
      </c>
      <c r="E8" s="2"/>
      <c r="F8" s="2" t="s">
        <v>161</v>
      </c>
    </row>
    <row r="9" spans="1:6">
      <c r="A9" s="1" t="s">
        <v>2</v>
      </c>
      <c r="C9" s="1" t="s">
        <v>3</v>
      </c>
      <c r="D9" s="47" t="s">
        <v>27</v>
      </c>
      <c r="E9" s="2"/>
      <c r="F9" s="47" t="s">
        <v>27</v>
      </c>
    </row>
    <row r="11" spans="1:6">
      <c r="A11" s="64">
        <v>1</v>
      </c>
      <c r="C11" s="81" t="s">
        <v>4</v>
      </c>
      <c r="D11" s="40">
        <f>+Adj.Summary!Q68</f>
        <v>5229775164.1885996</v>
      </c>
      <c r="F11" s="40">
        <v>5428588081</v>
      </c>
    </row>
    <row r="12" spans="1:6">
      <c r="A12" s="64"/>
      <c r="C12" s="81"/>
      <c r="D12" s="40"/>
      <c r="F12" s="40"/>
    </row>
    <row r="13" spans="1:6">
      <c r="A13" s="64">
        <v>2</v>
      </c>
      <c r="C13" s="81" t="s">
        <v>226</v>
      </c>
      <c r="D13" s="5">
        <f>+'Cost of Capital'!G35</f>
        <v>2.8256600000000003E-2</v>
      </c>
      <c r="E13" s="4"/>
      <c r="F13" s="5">
        <v>2.87E-2</v>
      </c>
    </row>
    <row r="14" spans="1:6">
      <c r="A14" s="64"/>
      <c r="C14" s="81"/>
      <c r="D14" s="7"/>
      <c r="F14" s="7"/>
    </row>
    <row r="15" spans="1:6">
      <c r="A15" s="64">
        <v>3</v>
      </c>
      <c r="C15" s="81" t="s">
        <v>227</v>
      </c>
      <c r="D15" s="40">
        <f>+D11*D13</f>
        <v>147775664.90441161</v>
      </c>
      <c r="F15" s="40">
        <f>+F11*F13</f>
        <v>155800477.92469999</v>
      </c>
    </row>
    <row r="16" spans="1:6">
      <c r="A16" s="64"/>
      <c r="C16" s="81"/>
      <c r="D16" s="7"/>
      <c r="F16" s="7"/>
    </row>
    <row r="17" spans="1:6">
      <c r="A17" s="64">
        <v>4</v>
      </c>
      <c r="C17" s="81" t="s">
        <v>228</v>
      </c>
      <c r="D17" s="40">
        <f>-D15*0.21</f>
        <v>-31032889.629926439</v>
      </c>
      <c r="F17" s="40">
        <f>-F15*0.21</f>
        <v>-32718100.364186998</v>
      </c>
    </row>
    <row r="18" spans="1:6">
      <c r="A18" s="64"/>
      <c r="C18" s="81"/>
      <c r="D18" s="7"/>
      <c r="F18" s="7"/>
    </row>
    <row r="19" spans="1:6">
      <c r="A19" s="64">
        <v>5</v>
      </c>
      <c r="C19" s="81" t="s">
        <v>230</v>
      </c>
      <c r="D19" s="18">
        <v>-33105346</v>
      </c>
      <c r="F19" s="18">
        <v>-33105346</v>
      </c>
    </row>
    <row r="20" spans="1:6">
      <c r="A20" s="64"/>
      <c r="C20" s="81"/>
      <c r="D20" s="7"/>
      <c r="F20" s="7"/>
    </row>
    <row r="21" spans="1:6">
      <c r="A21" s="64">
        <v>6</v>
      </c>
      <c r="C21" s="81" t="s">
        <v>229</v>
      </c>
      <c r="D21" s="43">
        <f>+D17-D19</f>
        <v>2072456.3700735606</v>
      </c>
      <c r="F21" s="43">
        <f>+F17-F19</f>
        <v>387245.63581300154</v>
      </c>
    </row>
    <row r="22" spans="1:6">
      <c r="A22" s="64"/>
      <c r="C22" s="81"/>
      <c r="D22" s="7"/>
      <c r="F22" s="7"/>
    </row>
    <row r="23" spans="1:6" ht="16.5" thickBot="1">
      <c r="A23" s="64">
        <v>7</v>
      </c>
      <c r="C23" s="81" t="s">
        <v>231</v>
      </c>
      <c r="D23" s="19">
        <f>-D21</f>
        <v>-2072456.3700735606</v>
      </c>
      <c r="F23" s="19">
        <f>-F21</f>
        <v>-387245.63581300154</v>
      </c>
    </row>
    <row r="24" spans="1:6" ht="16.5" thickTop="1">
      <c r="C24" s="51"/>
      <c r="D24" s="7"/>
      <c r="F24" s="7"/>
    </row>
  </sheetData>
  <pageMargins left="0.7" right="0.7" top="0.75" bottom="0.75" header="0.3" footer="0.3"/>
  <pageSetup scale="98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view="pageLayout" zoomScaleNormal="100" workbookViewId="0">
      <selection activeCell="I3" sqref="I3"/>
    </sheetView>
  </sheetViews>
  <sheetFormatPr defaultRowHeight="15.75"/>
  <cols>
    <col min="2" max="2" width="6.25" customWidth="1"/>
    <col min="3" max="3" width="12.75" customWidth="1"/>
    <col min="4" max="4" width="2.25" customWidth="1"/>
    <col min="5" max="5" width="16.875" customWidth="1"/>
    <col min="6" max="6" width="17" customWidth="1"/>
    <col min="7" max="7" width="12.75" customWidth="1"/>
    <col min="8" max="8" width="1.5" customWidth="1"/>
    <col min="9" max="9" width="6.125" customWidth="1"/>
    <col min="10" max="10" width="1.875" customWidth="1"/>
  </cols>
  <sheetData>
    <row r="1" spans="1:9">
      <c r="A1" t="s">
        <v>144</v>
      </c>
      <c r="I1" s="11" t="s">
        <v>55</v>
      </c>
    </row>
    <row r="2" spans="1:9">
      <c r="A2" t="s">
        <v>145</v>
      </c>
      <c r="I2" s="11" t="s">
        <v>257</v>
      </c>
    </row>
    <row r="3" spans="1:9">
      <c r="A3" s="80" t="s">
        <v>49</v>
      </c>
      <c r="I3" s="11" t="s">
        <v>369</v>
      </c>
    </row>
    <row r="4" spans="1:9">
      <c r="A4" t="s">
        <v>146</v>
      </c>
      <c r="I4" s="11" t="s">
        <v>259</v>
      </c>
    </row>
    <row r="5" spans="1:9">
      <c r="I5" s="11"/>
    </row>
    <row r="6" spans="1:9">
      <c r="I6" s="11"/>
    </row>
    <row r="8" spans="1:9">
      <c r="A8" s="64"/>
      <c r="B8" s="142" t="s">
        <v>158</v>
      </c>
      <c r="C8" s="142"/>
      <c r="D8" s="142"/>
      <c r="E8" s="142"/>
      <c r="F8" s="142"/>
      <c r="G8" s="142"/>
    </row>
    <row r="9" spans="1:9">
      <c r="A9" s="93"/>
      <c r="B9" s="142" t="s">
        <v>39</v>
      </c>
      <c r="C9" s="142"/>
      <c r="D9" s="142"/>
      <c r="E9" s="142"/>
      <c r="F9" s="142"/>
      <c r="G9" s="142"/>
    </row>
    <row r="10" spans="1:9">
      <c r="A10" s="94"/>
      <c r="B10" s="141"/>
      <c r="C10" s="141"/>
      <c r="D10" s="141"/>
      <c r="E10" s="141"/>
      <c r="F10" s="141"/>
      <c r="G10" s="141"/>
    </row>
    <row r="11" spans="1:9">
      <c r="A11" s="95"/>
      <c r="B11" s="96"/>
      <c r="C11" s="97"/>
      <c r="D11" s="97"/>
      <c r="E11" s="97"/>
      <c r="F11" s="97"/>
      <c r="G11" s="97"/>
    </row>
    <row r="12" spans="1:9">
      <c r="A12" s="98" t="s">
        <v>1</v>
      </c>
      <c r="B12" s="99"/>
      <c r="C12" s="97" t="s">
        <v>40</v>
      </c>
      <c r="D12" s="97"/>
      <c r="E12" s="97" t="s">
        <v>40</v>
      </c>
      <c r="F12" s="97"/>
      <c r="G12" s="97" t="s">
        <v>41</v>
      </c>
    </row>
    <row r="13" spans="1:9">
      <c r="A13" s="100" t="s">
        <v>2</v>
      </c>
      <c r="B13" s="101"/>
      <c r="C13" s="102" t="s">
        <v>42</v>
      </c>
      <c r="D13" s="102"/>
      <c r="E13" s="102" t="s">
        <v>43</v>
      </c>
      <c r="F13" s="102" t="s">
        <v>44</v>
      </c>
      <c r="G13" s="102" t="s">
        <v>44</v>
      </c>
    </row>
    <row r="14" spans="1:9">
      <c r="A14" s="93"/>
      <c r="B14" s="99"/>
      <c r="C14" s="99"/>
      <c r="D14" s="99"/>
      <c r="E14" s="103"/>
      <c r="F14" s="104"/>
      <c r="G14" s="99"/>
    </row>
    <row r="15" spans="1:9">
      <c r="A15" s="93">
        <v>1</v>
      </c>
      <c r="B15" s="99"/>
      <c r="C15" s="105" t="s">
        <v>45</v>
      </c>
      <c r="D15" s="106"/>
      <c r="E15" s="107">
        <f>100%-E17</f>
        <v>0.51500000000000001</v>
      </c>
      <c r="F15" s="108">
        <v>5.57E-2</v>
      </c>
      <c r="G15" s="108">
        <f>ROUND(E15*F15,4)</f>
        <v>2.87E-2</v>
      </c>
    </row>
    <row r="16" spans="1:9">
      <c r="A16" s="93"/>
      <c r="B16" s="99"/>
      <c r="C16" s="105"/>
      <c r="D16" s="109"/>
      <c r="E16" s="107"/>
      <c r="F16" s="108"/>
      <c r="G16" s="108"/>
    </row>
    <row r="17" spans="1:7">
      <c r="A17" s="93">
        <v>2</v>
      </c>
      <c r="B17" s="99"/>
      <c r="C17" s="105" t="s">
        <v>46</v>
      </c>
      <c r="D17" s="109"/>
      <c r="E17" s="107">
        <v>0.48499999999999999</v>
      </c>
      <c r="F17" s="108">
        <v>9.8000000000000004E-2</v>
      </c>
      <c r="G17" s="108">
        <f>ROUND(E17*F17,4)</f>
        <v>4.7500000000000001E-2</v>
      </c>
    </row>
    <row r="18" spans="1:7">
      <c r="A18" s="93"/>
      <c r="B18" s="99"/>
      <c r="C18" s="105"/>
      <c r="D18" s="109"/>
      <c r="E18" s="110"/>
      <c r="F18" s="111"/>
      <c r="G18" s="108"/>
    </row>
    <row r="19" spans="1:7">
      <c r="A19" s="93">
        <v>3</v>
      </c>
      <c r="B19" s="99"/>
      <c r="C19" s="105" t="s">
        <v>47</v>
      </c>
      <c r="D19" s="106"/>
      <c r="E19" s="108">
        <f>SUM(E15:E17)</f>
        <v>1</v>
      </c>
      <c r="F19" s="112"/>
      <c r="G19" s="108">
        <f>SUM(G15:G17)</f>
        <v>7.6200000000000004E-2</v>
      </c>
    </row>
    <row r="20" spans="1:7">
      <c r="A20" s="93"/>
      <c r="B20" s="99"/>
      <c r="C20" s="105"/>
      <c r="D20" s="109"/>
      <c r="E20" s="113"/>
      <c r="F20" s="114"/>
      <c r="G20" s="113"/>
    </row>
    <row r="21" spans="1:7">
      <c r="A21" s="93"/>
      <c r="B21" s="99"/>
      <c r="C21" s="105"/>
      <c r="D21" s="109"/>
      <c r="E21" s="113"/>
      <c r="F21" s="114"/>
      <c r="G21" s="113"/>
    </row>
    <row r="22" spans="1:7">
      <c r="A22" s="93"/>
      <c r="B22" s="99"/>
      <c r="C22" s="105"/>
      <c r="D22" s="109"/>
      <c r="E22" s="113"/>
      <c r="F22" s="114"/>
      <c r="G22" s="113"/>
    </row>
    <row r="23" spans="1:7">
      <c r="A23" s="93"/>
      <c r="B23" s="115"/>
      <c r="C23" s="115"/>
      <c r="D23" s="115"/>
      <c r="E23" s="115"/>
      <c r="F23" s="115"/>
      <c r="G23" s="115"/>
    </row>
    <row r="24" spans="1:7">
      <c r="A24" s="93"/>
      <c r="B24" s="142" t="s">
        <v>48</v>
      </c>
      <c r="C24" s="142"/>
      <c r="D24" s="142"/>
      <c r="E24" s="142"/>
      <c r="F24" s="142"/>
      <c r="G24" s="142"/>
    </row>
    <row r="25" spans="1:7">
      <c r="A25" s="93"/>
      <c r="B25" s="142" t="s">
        <v>39</v>
      </c>
      <c r="C25" s="142"/>
      <c r="D25" s="142"/>
      <c r="E25" s="142"/>
      <c r="F25" s="142"/>
      <c r="G25" s="142"/>
    </row>
    <row r="26" spans="1:7">
      <c r="A26" s="93"/>
      <c r="B26" s="141"/>
      <c r="C26" s="141"/>
      <c r="D26" s="141"/>
      <c r="E26" s="141"/>
      <c r="F26" s="141"/>
      <c r="G26" s="141"/>
    </row>
    <row r="27" spans="1:7">
      <c r="A27" s="116"/>
      <c r="B27" s="96"/>
      <c r="C27" s="97"/>
      <c r="D27" s="97"/>
      <c r="E27" s="97"/>
      <c r="F27" s="97"/>
      <c r="G27" s="97"/>
    </row>
    <row r="28" spans="1:7">
      <c r="A28" s="98" t="s">
        <v>1</v>
      </c>
      <c r="B28" s="99"/>
      <c r="C28" s="97" t="s">
        <v>40</v>
      </c>
      <c r="D28" s="97"/>
      <c r="E28" s="97" t="s">
        <v>40</v>
      </c>
      <c r="F28" s="97"/>
      <c r="G28" s="97" t="s">
        <v>41</v>
      </c>
    </row>
    <row r="29" spans="1:7">
      <c r="A29" s="100" t="s">
        <v>2</v>
      </c>
      <c r="B29" s="101"/>
      <c r="C29" s="102" t="s">
        <v>42</v>
      </c>
      <c r="D29" s="102"/>
      <c r="E29" s="102" t="s">
        <v>303</v>
      </c>
      <c r="F29" s="102" t="s">
        <v>44</v>
      </c>
      <c r="G29" s="102" t="s">
        <v>304</v>
      </c>
    </row>
    <row r="30" spans="1:7">
      <c r="A30" s="93"/>
      <c r="B30" s="99"/>
      <c r="C30" s="99"/>
      <c r="D30" s="99"/>
      <c r="E30" s="103"/>
      <c r="F30" s="117"/>
      <c r="G30" s="99"/>
    </row>
    <row r="31" spans="1:7">
      <c r="A31" s="93">
        <v>4</v>
      </c>
      <c r="B31" s="99"/>
      <c r="C31" s="99" t="s">
        <v>298</v>
      </c>
      <c r="D31" s="99"/>
      <c r="E31" s="107">
        <v>2.3E-2</v>
      </c>
      <c r="F31" s="108">
        <v>2.3800000000000002E-2</v>
      </c>
      <c r="G31" s="108">
        <f>+E31*F31+0.0003</f>
        <v>8.4740000000000011E-4</v>
      </c>
    </row>
    <row r="32" spans="1:7">
      <c r="A32" s="93"/>
      <c r="B32" s="99"/>
      <c r="C32" s="99"/>
      <c r="D32" s="99"/>
      <c r="E32" s="107"/>
      <c r="F32" s="108"/>
      <c r="G32" s="99"/>
    </row>
    <row r="33" spans="1:7">
      <c r="A33" s="93">
        <v>5</v>
      </c>
      <c r="B33" s="99"/>
      <c r="C33" s="99" t="s">
        <v>299</v>
      </c>
      <c r="D33" s="99"/>
      <c r="E33" s="122">
        <v>0.49199999999999999</v>
      </c>
      <c r="F33" s="108">
        <v>5.5100000000000003E-2</v>
      </c>
      <c r="G33" s="121">
        <f>+E33*F33+0.0003</f>
        <v>2.7409200000000002E-2</v>
      </c>
    </row>
    <row r="34" spans="1:7">
      <c r="A34" s="93"/>
      <c r="B34" s="99"/>
      <c r="C34" s="99"/>
      <c r="D34" s="99"/>
      <c r="E34" s="107"/>
      <c r="F34" s="108"/>
      <c r="G34" s="99"/>
    </row>
    <row r="35" spans="1:7">
      <c r="A35" s="93">
        <v>6</v>
      </c>
      <c r="B35" s="99"/>
      <c r="C35" s="105" t="s">
        <v>45</v>
      </c>
      <c r="D35" s="106"/>
      <c r="E35" s="107">
        <f>+E31+E33</f>
        <v>0.51500000000000001</v>
      </c>
      <c r="F35" s="108"/>
      <c r="G35" s="108">
        <f>+G31+G33</f>
        <v>2.8256600000000003E-2</v>
      </c>
    </row>
    <row r="36" spans="1:7">
      <c r="A36" s="93"/>
      <c r="B36" s="99"/>
      <c r="C36" s="105"/>
      <c r="D36" s="109"/>
      <c r="E36" s="107"/>
      <c r="F36" s="108"/>
      <c r="G36" s="108"/>
    </row>
    <row r="37" spans="1:7">
      <c r="A37" s="93">
        <v>7</v>
      </c>
      <c r="B37" s="99"/>
      <c r="C37" s="105" t="s">
        <v>46</v>
      </c>
      <c r="D37" s="109"/>
      <c r="E37" s="122">
        <v>0.48499999999999999</v>
      </c>
      <c r="F37" s="108">
        <v>8.7499999999999994E-2</v>
      </c>
      <c r="G37" s="121">
        <f>+E37*F37</f>
        <v>4.2437499999999996E-2</v>
      </c>
    </row>
    <row r="38" spans="1:7">
      <c r="A38" s="93"/>
      <c r="B38" s="99"/>
      <c r="C38" s="105"/>
      <c r="D38" s="109"/>
      <c r="E38" s="110"/>
      <c r="F38" s="111"/>
      <c r="G38" s="108"/>
    </row>
    <row r="39" spans="1:7">
      <c r="A39" s="93">
        <v>8</v>
      </c>
      <c r="B39" s="99"/>
      <c r="C39" s="105" t="s">
        <v>47</v>
      </c>
      <c r="D39" s="106"/>
      <c r="E39" s="108">
        <f>SUM(E35:E37)</f>
        <v>1</v>
      </c>
      <c r="F39" s="112"/>
      <c r="G39" s="108">
        <f>SUM(G35:G37)</f>
        <v>7.0694099999999996E-2</v>
      </c>
    </row>
    <row r="40" spans="1:7">
      <c r="A40" s="95"/>
      <c r="B40" s="95"/>
      <c r="C40" s="95"/>
      <c r="D40" s="95"/>
      <c r="E40" s="95"/>
      <c r="F40" s="95"/>
      <c r="G40" s="95"/>
    </row>
    <row r="41" spans="1:7">
      <c r="A41" t="s">
        <v>300</v>
      </c>
    </row>
    <row r="42" spans="1:7">
      <c r="A42" t="s">
        <v>301</v>
      </c>
    </row>
    <row r="43" spans="1:7">
      <c r="A43" t="s">
        <v>302</v>
      </c>
    </row>
  </sheetData>
  <mergeCells count="6">
    <mergeCell ref="B26:G26"/>
    <mergeCell ref="B8:G8"/>
    <mergeCell ref="B9:G9"/>
    <mergeCell ref="B10:G10"/>
    <mergeCell ref="B24:G24"/>
    <mergeCell ref="B25:G25"/>
  </mergeCells>
  <printOptions horizontalCentered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2019-11-22T08:00:00+00:00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FC3E78-27A3-43B7-B30C-24F7913D3C42}">
  <ds:schemaRefs>
    <ds:schemaRef ds:uri="http://purl.org/dc/terms/"/>
    <ds:schemaRef ds:uri="http://schemas.microsoft.com/sharepoint/v3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dc463f71-b30c-4ab2-9473-d307f9d35888"/>
  </ds:schemaRefs>
</ds:datastoreItem>
</file>

<file path=customXml/itemProps2.xml><?xml version="1.0" encoding="utf-8"?>
<ds:datastoreItem xmlns:ds="http://schemas.openxmlformats.org/officeDocument/2006/customXml" ds:itemID="{13A8C703-E064-4157-A7EF-68E9F22CBC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FAB90B-06FF-41FF-BF7D-B3A96FD7D4AE}"/>
</file>

<file path=customXml/itemProps4.xml><?xml version="1.0" encoding="utf-8"?>
<ds:datastoreItem xmlns:ds="http://schemas.openxmlformats.org/officeDocument/2006/customXml" ds:itemID="{D613DA8E-6404-450F-A54B-3176525853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RevReq</vt:lpstr>
      <vt:lpstr>Adj.Summary</vt:lpstr>
      <vt:lpstr>Wage Increase</vt:lpstr>
      <vt:lpstr>Incentives</vt:lpstr>
      <vt:lpstr>Plant Update</vt:lpstr>
      <vt:lpstr>Interim Protected EDIT</vt:lpstr>
      <vt:lpstr>AMI</vt:lpstr>
      <vt:lpstr>Tax Benefit of Interest</vt:lpstr>
      <vt:lpstr>Cost of Capital</vt:lpstr>
      <vt:lpstr>Power Cost</vt:lpstr>
      <vt:lpstr>WP-1 AMI </vt:lpstr>
      <vt:lpstr>WP-2 GTZ </vt:lpstr>
      <vt:lpstr>WP-3 AMA Update</vt:lpstr>
      <vt:lpstr>Adj.Summary!Print_Area</vt:lpstr>
      <vt:lpstr>AMI!Print_Area</vt:lpstr>
      <vt:lpstr>'Cost of Capital'!Print_Area</vt:lpstr>
      <vt:lpstr>Incentives!Print_Area</vt:lpstr>
      <vt:lpstr>'Interim Protected EDIT'!Print_Area</vt:lpstr>
      <vt:lpstr>'Plant Update'!Print_Area</vt:lpstr>
      <vt:lpstr>'Power Cost'!Print_Area</vt:lpstr>
      <vt:lpstr>RevReq!Print_Area</vt:lpstr>
      <vt:lpstr>'Tax Benefit of Interest'!Print_Area</vt:lpstr>
      <vt:lpstr>'Wage Increase'!Print_Area</vt:lpstr>
      <vt:lpstr>'WP-1 AMI '!Print_Area</vt:lpstr>
      <vt:lpstr>'WP-2 GTZ '!Print_Area</vt:lpstr>
      <vt:lpstr>'WP-3 AMA Update'!Print_Area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Burdet, Kevin (ATG)</cp:lastModifiedBy>
  <cp:lastPrinted>2019-11-21T23:00:48Z</cp:lastPrinted>
  <dcterms:created xsi:type="dcterms:W3CDTF">2015-07-06T17:53:07Z</dcterms:created>
  <dcterms:modified xsi:type="dcterms:W3CDTF">2019-11-21T23:00:56Z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