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75" windowWidth="17490" windowHeight="8145" tabRatio="623" activeTab="1"/>
  </bookViews>
  <sheets>
    <sheet name="Tariff Charge Summary===&gt;" sheetId="32" r:id="rId1"/>
    <sheet name="(JAP4)-Tariff Summary" sheetId="30" r:id="rId2"/>
    <sheet name="(JAP4)-Light Tariff Summary" sheetId="39" r:id="rId3"/>
    <sheet name="Rate Spread-Design====&gt;" sheetId="33" r:id="rId4"/>
    <sheet name="(JAP4) Rate Spread" sheetId="19" r:id="rId5"/>
    <sheet name="(JAP4) Rate Des Summary" sheetId="37" r:id="rId6"/>
    <sheet name="(JAP4) Proposed ERF Rev" sheetId="1" r:id="rId7"/>
    <sheet name="(JAP4) Res RD" sheetId="2" r:id="rId8"/>
    <sheet name="(JAP4) SecVolt RD" sheetId="13" r:id="rId9"/>
    <sheet name="(JAP4) PriVolt RD" sheetId="14" r:id="rId10"/>
    <sheet name="(JAP4) CAMP RD" sheetId="16" r:id="rId11"/>
    <sheet name="(JAP4) HighVolt RD" sheetId="15" r:id="rId12"/>
    <sheet name="(JAP4) TRANSP RD" sheetId="18" r:id="rId13"/>
    <sheet name="(JAP4) LIGHT Sum" sheetId="38" r:id="rId14"/>
    <sheet name="(JAP4) LIGHT RD" sheetId="40" r:id="rId15"/>
  </sheets>
  <externalReferences>
    <externalReference r:id="rId16"/>
    <externalReference r:id="rId17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10">'(JAP4) CAMP RD'!$A$1:$N$62,'(JAP4) CAMP RD'!$A$63:$T$78</definedName>
    <definedName name="_xlnm.Print_Area" localSheetId="11">'(JAP4) HighVolt RD'!$A$1:$M$44</definedName>
    <definedName name="_xlnm.Print_Area" localSheetId="14">'(JAP4) LIGHT RD'!$A$1:$P$204</definedName>
    <definedName name="_xlnm.Print_Area" localSheetId="13">'(JAP4) LIGHT Sum'!$A$1:$T$26,'(JAP4) LIGHT Sum'!$A$27:$H$531</definedName>
    <definedName name="_xlnm.Print_Area" localSheetId="9">'(JAP4) PriVolt RD'!$A$1:$M$78</definedName>
    <definedName name="_xlnm.Print_Area" localSheetId="6">'(JAP4) Proposed ERF Rev'!$B$1:$V$48</definedName>
    <definedName name="_xlnm.Print_Area" localSheetId="4">'(JAP4) Rate Spread'!$A$1:$K$40</definedName>
    <definedName name="_xlnm.Print_Area" localSheetId="7">'(JAP4) Res RD'!$A$1:$M$24</definedName>
    <definedName name="_xlnm.Print_Area" localSheetId="8">'(JAP4) SecVolt RD'!$A$1:$M$144</definedName>
    <definedName name="_xlnm.Print_Area" localSheetId="12">'(JAP4) TRANSP RD'!$A$1:$M$48</definedName>
    <definedName name="_xlnm.Print_Area" localSheetId="2">'(JAP4)-Light Tariff Summary'!$A$1:$G$183</definedName>
    <definedName name="_xlnm.Print_Area" localSheetId="1">'(JAP4)-Tariff Summary'!$A$1:$G$171</definedName>
    <definedName name="_xlnm.Print_Titles" localSheetId="10">'(JAP4) CAMP RD'!$1:$10</definedName>
    <definedName name="_xlnm.Print_Titles" localSheetId="11">'(JAP4) HighVolt RD'!$1:$10</definedName>
    <definedName name="_xlnm.Print_Titles" localSheetId="14">'(JAP4) LIGHT RD'!$1:$8</definedName>
    <definedName name="_xlnm.Print_Titles" localSheetId="13">'(JAP4) LIGHT Sum'!$1:$10</definedName>
    <definedName name="_xlnm.Print_Titles" localSheetId="9">'(JAP4) PriVolt RD'!$1:$10</definedName>
    <definedName name="_xlnm.Print_Titles" localSheetId="7">'(JAP4) Res RD'!$1:$10</definedName>
    <definedName name="_xlnm.Print_Titles" localSheetId="8">'(JAP4) SecVolt RD'!$1:$10</definedName>
    <definedName name="_xlnm.Print_Titles" localSheetId="12">'(JAP4) TRANSP RD'!$1:$10</definedName>
    <definedName name="_xlnm.Print_Titles" localSheetId="2">'(JAP4)-Light Tariff Summary'!$1:$5</definedName>
    <definedName name="_xlnm.Print_Titles" localSheetId="1">'(JAP4)-Tariff Summary'!$1:$6</definedName>
    <definedName name="TABLEA" localSheetId="6">'(JAP4) Proposed ERF Rev'!$B$3:$T$49</definedName>
  </definedNames>
  <calcPr calcId="145621"/>
</workbook>
</file>

<file path=xl/calcChain.xml><?xml version="1.0" encoding="utf-8"?>
<calcChain xmlns="http://schemas.openxmlformats.org/spreadsheetml/2006/main">
  <c r="C530" i="38" l="1"/>
  <c r="C432" i="38"/>
  <c r="C419" i="38"/>
  <c r="C374" i="38"/>
  <c r="C296" i="38"/>
  <c r="C143" i="38"/>
  <c r="C113" i="38"/>
  <c r="C45" i="38"/>
  <c r="C529" i="38"/>
  <c r="C431" i="38"/>
  <c r="C418" i="38"/>
  <c r="C373" i="38"/>
  <c r="C295" i="38"/>
  <c r="C142" i="38"/>
  <c r="C112" i="38"/>
  <c r="C44" i="38"/>
  <c r="C524" i="38"/>
  <c r="C492" i="38"/>
  <c r="C485" i="38"/>
  <c r="C478" i="38"/>
  <c r="C475" i="38"/>
  <c r="C471" i="38"/>
  <c r="C467" i="38"/>
  <c r="C462" i="38"/>
  <c r="C458" i="38"/>
  <c r="C457" i="38"/>
  <c r="C455" i="38"/>
  <c r="C454" i="38"/>
  <c r="C453" i="38"/>
  <c r="C452" i="38"/>
  <c r="C451" i="38"/>
  <c r="C449" i="38"/>
  <c r="C448" i="38"/>
  <c r="C447" i="38"/>
  <c r="C446" i="38"/>
  <c r="C444" i="38"/>
  <c r="C443" i="38"/>
  <c r="C442" i="38"/>
  <c r="C441" i="38"/>
  <c r="C440" i="38"/>
  <c r="C439" i="38"/>
  <c r="C426" i="38"/>
  <c r="C413" i="38"/>
  <c r="C412" i="38"/>
  <c r="C403" i="38"/>
  <c r="C402" i="38"/>
  <c r="C395" i="38"/>
  <c r="C394" i="38"/>
  <c r="C393" i="38"/>
  <c r="C392" i="38"/>
  <c r="C388" i="38"/>
  <c r="C386" i="38"/>
  <c r="C385" i="38"/>
  <c r="C384" i="38"/>
  <c r="C383" i="38"/>
  <c r="C382" i="38"/>
  <c r="C381" i="38"/>
  <c r="C349" i="38"/>
  <c r="C346" i="38"/>
  <c r="C342" i="38"/>
  <c r="C336" i="38"/>
  <c r="C335" i="38"/>
  <c r="C329" i="38"/>
  <c r="C327" i="38"/>
  <c r="C319" i="38"/>
  <c r="C318" i="38"/>
  <c r="C317" i="38"/>
  <c r="C316" i="38"/>
  <c r="C315" i="38"/>
  <c r="C313" i="38"/>
  <c r="C312" i="38"/>
  <c r="C311" i="38"/>
  <c r="C310" i="38"/>
  <c r="C309" i="38"/>
  <c r="C308" i="38"/>
  <c r="C307" i="38"/>
  <c r="C306" i="38"/>
  <c r="C305" i="38"/>
  <c r="C270" i="38"/>
  <c r="C269" i="38"/>
  <c r="C268" i="38"/>
  <c r="C267" i="38"/>
  <c r="C264" i="38"/>
  <c r="C263" i="38"/>
  <c r="C262" i="38"/>
  <c r="C258" i="38"/>
  <c r="C257" i="38"/>
  <c r="C256" i="38"/>
  <c r="C251" i="38"/>
  <c r="C250" i="38"/>
  <c r="C249" i="38"/>
  <c r="C247" i="38"/>
  <c r="C245" i="38"/>
  <c r="C244" i="38"/>
  <c r="C241" i="38"/>
  <c r="C240" i="38"/>
  <c r="C239" i="38"/>
  <c r="C238" i="38"/>
  <c r="C237" i="38"/>
  <c r="C233" i="38"/>
  <c r="C227" i="38"/>
  <c r="C226" i="38"/>
  <c r="C225" i="38"/>
  <c r="C224" i="38"/>
  <c r="C223" i="38"/>
  <c r="C222" i="38"/>
  <c r="C221" i="38"/>
  <c r="C220" i="38"/>
  <c r="C217" i="38"/>
  <c r="C215" i="38"/>
  <c r="C213" i="38"/>
  <c r="C211" i="38"/>
  <c r="C210" i="38"/>
  <c r="C199" i="38"/>
  <c r="C198" i="38"/>
  <c r="C197" i="38"/>
  <c r="C196" i="38"/>
  <c r="C191" i="38"/>
  <c r="C190" i="38"/>
  <c r="C189" i="38"/>
  <c r="C188" i="38"/>
  <c r="C186" i="38"/>
  <c r="C185" i="38"/>
  <c r="C184" i="38"/>
  <c r="C182" i="38"/>
  <c r="C180" i="38"/>
  <c r="C179" i="38"/>
  <c r="C178" i="38"/>
  <c r="C177" i="38"/>
  <c r="C176" i="38"/>
  <c r="C175" i="38"/>
  <c r="C173" i="38"/>
  <c r="C171" i="38"/>
  <c r="C170" i="38"/>
  <c r="C169" i="38"/>
  <c r="C168" i="38"/>
  <c r="C167" i="38"/>
  <c r="C166" i="38"/>
  <c r="C165" i="38"/>
  <c r="C156" i="38"/>
  <c r="C155" i="38"/>
  <c r="C154" i="38"/>
  <c r="C153" i="38"/>
  <c r="C152" i="38"/>
  <c r="C151" i="38"/>
  <c r="C150" i="38"/>
  <c r="C149" i="38"/>
  <c r="C136" i="38"/>
  <c r="C133" i="38"/>
  <c r="C132" i="38"/>
  <c r="C131" i="38"/>
  <c r="C130" i="38"/>
  <c r="C129" i="38"/>
  <c r="C128" i="38"/>
  <c r="C127" i="38"/>
  <c r="C125" i="38"/>
  <c r="C124" i="38"/>
  <c r="C123" i="38"/>
  <c r="C122" i="38"/>
  <c r="C121" i="38"/>
  <c r="C120" i="38"/>
  <c r="C119" i="38"/>
  <c r="C106" i="38"/>
  <c r="C100" i="38"/>
  <c r="C95" i="38"/>
  <c r="C85" i="38"/>
  <c r="C84" i="38"/>
  <c r="C83" i="38"/>
  <c r="C79" i="38"/>
  <c r="C77" i="38"/>
  <c r="C76" i="38"/>
  <c r="C75" i="38"/>
  <c r="C74" i="38"/>
  <c r="C73" i="38"/>
  <c r="C71" i="38"/>
  <c r="C70" i="38"/>
  <c r="C69" i="38"/>
  <c r="C68" i="38"/>
  <c r="C67" i="38"/>
  <c r="C65" i="38"/>
  <c r="C64" i="38"/>
  <c r="C63" i="38"/>
  <c r="C62" i="38"/>
  <c r="C61" i="38"/>
  <c r="C60" i="38"/>
  <c r="C59" i="38"/>
  <c r="C58" i="38"/>
  <c r="C57" i="38"/>
  <c r="C56" i="38"/>
  <c r="C55" i="38"/>
  <c r="C54" i="38"/>
  <c r="C53" i="38"/>
  <c r="C52" i="38"/>
  <c r="C51" i="38"/>
  <c r="C50" i="38"/>
  <c r="C37" i="38"/>
  <c r="C34" i="38"/>
  <c r="C33" i="38"/>
  <c r="C32" i="38"/>
  <c r="C30" i="38"/>
  <c r="C41" i="18"/>
  <c r="C39" i="18"/>
  <c r="F36" i="18"/>
  <c r="C36" i="18"/>
  <c r="C34" i="18"/>
  <c r="F23" i="18"/>
  <c r="C21" i="18"/>
  <c r="C18" i="18"/>
  <c r="C16" i="18"/>
  <c r="C14" i="18"/>
  <c r="C35" i="15"/>
  <c r="C32" i="15"/>
  <c r="C31" i="15"/>
  <c r="C20" i="15"/>
  <c r="C17" i="15"/>
  <c r="C16" i="15"/>
  <c r="G38" i="16"/>
  <c r="C35" i="16"/>
  <c r="C34" i="16"/>
  <c r="C30" i="16"/>
  <c r="C29" i="16"/>
  <c r="C25" i="16"/>
  <c r="C22" i="16"/>
  <c r="C21" i="16"/>
  <c r="C17" i="16"/>
  <c r="C16" i="16"/>
  <c r="C15" i="16"/>
  <c r="C73" i="14"/>
  <c r="C68" i="14"/>
  <c r="C65" i="14"/>
  <c r="C62" i="14"/>
  <c r="C60" i="14"/>
  <c r="C49" i="14"/>
  <c r="C46" i="14"/>
  <c r="C45" i="14"/>
  <c r="C42" i="14"/>
  <c r="C39" i="14"/>
  <c r="C37" i="14"/>
  <c r="C27" i="14"/>
  <c r="C24" i="14"/>
  <c r="C23" i="14"/>
  <c r="C20" i="14"/>
  <c r="C17" i="14"/>
  <c r="C15" i="14"/>
  <c r="C134" i="13"/>
  <c r="C131" i="13"/>
  <c r="C130" i="13"/>
  <c r="C127" i="13"/>
  <c r="C123" i="13"/>
  <c r="C122" i="13"/>
  <c r="C121" i="13"/>
  <c r="C120" i="13"/>
  <c r="C117" i="13"/>
  <c r="C116" i="13"/>
  <c r="C101" i="13"/>
  <c r="C97" i="13"/>
  <c r="C96" i="13"/>
  <c r="C89" i="13"/>
  <c r="C85" i="13"/>
  <c r="C77" i="13"/>
  <c r="C74" i="13"/>
  <c r="C73" i="13"/>
  <c r="C70" i="13"/>
  <c r="C67" i="13"/>
  <c r="C65" i="13"/>
  <c r="C45" i="13"/>
  <c r="C42" i="13"/>
  <c r="C41" i="13"/>
  <c r="C38" i="13"/>
  <c r="C35" i="13"/>
  <c r="C34" i="13"/>
  <c r="C33" i="13"/>
  <c r="C31" i="13"/>
  <c r="C24" i="13"/>
  <c r="C20" i="13"/>
  <c r="C19" i="13"/>
  <c r="C16" i="13"/>
  <c r="C15" i="13"/>
  <c r="C35" i="18"/>
  <c r="C24" i="16"/>
  <c r="C64" i="14"/>
  <c r="C19" i="14"/>
  <c r="C126" i="13"/>
  <c r="C125" i="13"/>
  <c r="C69" i="13"/>
  <c r="C37" i="13"/>
  <c r="C23" i="13"/>
  <c r="C22" i="13"/>
  <c r="C21" i="2"/>
  <c r="C22" i="2"/>
  <c r="C19" i="2"/>
  <c r="C18" i="2"/>
  <c r="C15" i="2"/>
  <c r="C14" i="2"/>
  <c r="F47" i="18"/>
  <c r="J50" i="1"/>
  <c r="A144" i="39" l="1"/>
  <c r="A145" i="39"/>
  <c r="A146" i="39"/>
  <c r="A147" i="39" s="1"/>
  <c r="A148" i="39" s="1"/>
  <c r="A149" i="39" s="1"/>
  <c r="O22" i="19" l="1"/>
  <c r="G9" i="38" l="1"/>
  <c r="G9" i="18"/>
  <c r="G9" i="15"/>
  <c r="H9" i="16"/>
  <c r="G9" i="14"/>
  <c r="D9" i="18"/>
  <c r="D9" i="15"/>
  <c r="E9" i="16"/>
  <c r="D9" i="14"/>
  <c r="G9" i="13"/>
  <c r="D9" i="13"/>
  <c r="A19" i="37" l="1"/>
  <c r="A143" i="30" l="1"/>
  <c r="A144" i="30" s="1"/>
  <c r="A145" i="30" s="1"/>
  <c r="J38" i="16" l="1"/>
  <c r="C170" i="30" l="1"/>
  <c r="A206" i="40" l="1"/>
  <c r="A205" i="40"/>
  <c r="M204" i="40"/>
  <c r="A204" i="40"/>
  <c r="A203" i="40"/>
  <c r="A202" i="40"/>
  <c r="M201" i="40"/>
  <c r="A201" i="40"/>
  <c r="M200" i="40"/>
  <c r="A200" i="40"/>
  <c r="A199" i="40"/>
  <c r="A198" i="40"/>
  <c r="A197" i="40"/>
  <c r="A196" i="40"/>
  <c r="A195" i="40"/>
  <c r="A194" i="40"/>
  <c r="A193" i="40"/>
  <c r="A192" i="40"/>
  <c r="A191" i="40"/>
  <c r="A190" i="40"/>
  <c r="A189" i="40"/>
  <c r="B188" i="40"/>
  <c r="A188" i="40"/>
  <c r="B187" i="40"/>
  <c r="A187" i="40"/>
  <c r="B186" i="40"/>
  <c r="A186" i="40"/>
  <c r="B185" i="40"/>
  <c r="A185" i="40"/>
  <c r="B184" i="40"/>
  <c r="A184" i="40"/>
  <c r="B183" i="40"/>
  <c r="A183" i="40"/>
  <c r="B182" i="40"/>
  <c r="A182" i="40"/>
  <c r="B181" i="40"/>
  <c r="A181" i="40"/>
  <c r="B180" i="40"/>
  <c r="A180" i="40"/>
  <c r="B179" i="40"/>
  <c r="A179" i="40"/>
  <c r="B178" i="40"/>
  <c r="A178" i="40"/>
  <c r="B177" i="40"/>
  <c r="A177" i="40"/>
  <c r="B176" i="40"/>
  <c r="A176" i="40"/>
  <c r="B175" i="40"/>
  <c r="A175" i="40"/>
  <c r="A174" i="40"/>
  <c r="A172" i="40"/>
  <c r="B171" i="40"/>
  <c r="A171" i="40"/>
  <c r="B170" i="40"/>
  <c r="A170" i="40"/>
  <c r="A169" i="40"/>
  <c r="B168" i="40"/>
  <c r="A168" i="40"/>
  <c r="B167" i="40"/>
  <c r="A167" i="40"/>
  <c r="B166" i="40"/>
  <c r="A166" i="40"/>
  <c r="B165" i="40"/>
  <c r="A165" i="40"/>
  <c r="A164" i="40"/>
  <c r="B163" i="40"/>
  <c r="A163" i="40"/>
  <c r="B162" i="40"/>
  <c r="A162" i="40"/>
  <c r="B161" i="40"/>
  <c r="A161" i="40"/>
  <c r="B160" i="40"/>
  <c r="A160" i="40"/>
  <c r="A159" i="40"/>
  <c r="A158" i="40"/>
  <c r="B157" i="40"/>
  <c r="A157" i="40"/>
  <c r="B156" i="40"/>
  <c r="A156" i="40"/>
  <c r="B155" i="40"/>
  <c r="A155" i="40"/>
  <c r="B154" i="40"/>
  <c r="A154" i="40"/>
  <c r="B153" i="40"/>
  <c r="A153" i="40"/>
  <c r="A152" i="40"/>
  <c r="A151" i="40"/>
  <c r="A150" i="40"/>
  <c r="A149" i="40"/>
  <c r="A148" i="40"/>
  <c r="A147" i="40"/>
  <c r="A146" i="40"/>
  <c r="A145" i="40"/>
  <c r="A144" i="40"/>
  <c r="A143" i="40"/>
  <c r="A142" i="40"/>
  <c r="A141" i="40"/>
  <c r="A140" i="40"/>
  <c r="B139" i="40"/>
  <c r="A139" i="40"/>
  <c r="A138" i="40"/>
  <c r="B137" i="40"/>
  <c r="A137" i="40"/>
  <c r="B136" i="40"/>
  <c r="A136" i="40"/>
  <c r="B135" i="40"/>
  <c r="A135" i="40"/>
  <c r="B134" i="40"/>
  <c r="A134" i="40"/>
  <c r="B133" i="40"/>
  <c r="A133" i="40"/>
  <c r="A132" i="40"/>
  <c r="A131" i="40"/>
  <c r="A130" i="40"/>
  <c r="B129" i="40"/>
  <c r="A129" i="40"/>
  <c r="B128" i="40"/>
  <c r="A128" i="40"/>
  <c r="B127" i="40"/>
  <c r="A127" i="40"/>
  <c r="B126" i="40"/>
  <c r="A126" i="40"/>
  <c r="B125" i="40"/>
  <c r="A125" i="40"/>
  <c r="B124" i="40"/>
  <c r="A124" i="40"/>
  <c r="B123" i="40"/>
  <c r="A123" i="40"/>
  <c r="B122" i="40"/>
  <c r="A122" i="40"/>
  <c r="B121" i="40"/>
  <c r="A121" i="40"/>
  <c r="A119" i="40"/>
  <c r="B118" i="40"/>
  <c r="A118" i="40"/>
  <c r="B117" i="40"/>
  <c r="A117" i="40"/>
  <c r="B116" i="40"/>
  <c r="A116" i="40"/>
  <c r="B115" i="40"/>
  <c r="A115" i="40"/>
  <c r="B114" i="40"/>
  <c r="A114" i="40"/>
  <c r="B113" i="40"/>
  <c r="A113" i="40"/>
  <c r="B112" i="40"/>
  <c r="A112" i="40"/>
  <c r="B111" i="40"/>
  <c r="A111" i="40"/>
  <c r="A110" i="40"/>
  <c r="A109" i="40"/>
  <c r="A108" i="40"/>
  <c r="B107" i="40"/>
  <c r="A107" i="40"/>
  <c r="B106" i="40"/>
  <c r="A106" i="40"/>
  <c r="B105" i="40"/>
  <c r="A105" i="40"/>
  <c r="B104" i="40"/>
  <c r="A104" i="40"/>
  <c r="B103" i="40"/>
  <c r="A103" i="40"/>
  <c r="B102" i="40"/>
  <c r="A102" i="40"/>
  <c r="B101" i="40"/>
  <c r="A101" i="40"/>
  <c r="B100" i="40"/>
  <c r="A100" i="40"/>
  <c r="B99" i="40"/>
  <c r="A99" i="40"/>
  <c r="A98" i="40"/>
  <c r="B97" i="40"/>
  <c r="A97" i="40"/>
  <c r="B96" i="40"/>
  <c r="A96" i="40"/>
  <c r="B95" i="40"/>
  <c r="A95" i="40"/>
  <c r="B94" i="40"/>
  <c r="A94" i="40"/>
  <c r="B93" i="40"/>
  <c r="A93" i="40"/>
  <c r="B92" i="40"/>
  <c r="A92" i="40"/>
  <c r="A91" i="40"/>
  <c r="B90" i="40"/>
  <c r="A90" i="40"/>
  <c r="B89" i="40"/>
  <c r="A89" i="40"/>
  <c r="B88" i="40"/>
  <c r="A88" i="40"/>
  <c r="B87" i="40"/>
  <c r="A87" i="40"/>
  <c r="B86" i="40"/>
  <c r="A86" i="40"/>
  <c r="B85" i="40"/>
  <c r="A85" i="40"/>
  <c r="B84" i="40"/>
  <c r="A84" i="40"/>
  <c r="B83" i="40"/>
  <c r="A83" i="40"/>
  <c r="A82" i="40"/>
  <c r="A81" i="40"/>
  <c r="B80" i="40"/>
  <c r="A80" i="40"/>
  <c r="B79" i="40"/>
  <c r="A79" i="40"/>
  <c r="B78" i="40"/>
  <c r="A78" i="40"/>
  <c r="B77" i="40"/>
  <c r="A77" i="40"/>
  <c r="B76" i="40"/>
  <c r="A76" i="40"/>
  <c r="B75" i="40"/>
  <c r="A75" i="40"/>
  <c r="B74" i="40"/>
  <c r="A74" i="40"/>
  <c r="B73" i="40"/>
  <c r="A73" i="40"/>
  <c r="B72" i="40"/>
  <c r="A72" i="40"/>
  <c r="A71" i="40"/>
  <c r="B70" i="40"/>
  <c r="A70" i="40"/>
  <c r="B69" i="40"/>
  <c r="A69" i="40"/>
  <c r="B68" i="40"/>
  <c r="A68" i="40"/>
  <c r="B67" i="40"/>
  <c r="A67" i="40"/>
  <c r="B66" i="40"/>
  <c r="A66" i="40"/>
  <c r="A65" i="40"/>
  <c r="B64" i="40"/>
  <c r="A64" i="40"/>
  <c r="B63" i="40"/>
  <c r="A63" i="40"/>
  <c r="B62" i="40"/>
  <c r="A62" i="40"/>
  <c r="B61" i="40"/>
  <c r="A61" i="40"/>
  <c r="B60" i="40"/>
  <c r="A60" i="40"/>
  <c r="B59" i="40"/>
  <c r="A59" i="40"/>
  <c r="B58" i="40"/>
  <c r="A58" i="40"/>
  <c r="B57" i="40"/>
  <c r="A57" i="40"/>
  <c r="A56" i="40"/>
  <c r="A55" i="40"/>
  <c r="A54" i="40"/>
  <c r="C53" i="40"/>
  <c r="B53" i="40"/>
  <c r="A53" i="40"/>
  <c r="C52" i="40"/>
  <c r="B52" i="40"/>
  <c r="A52" i="40"/>
  <c r="C51" i="40"/>
  <c r="B51" i="40"/>
  <c r="A51" i="40"/>
  <c r="B50" i="40"/>
  <c r="A50" i="40"/>
  <c r="B49" i="40"/>
  <c r="A49" i="40"/>
  <c r="B48" i="40"/>
  <c r="A48" i="40"/>
  <c r="B47" i="40"/>
  <c r="A47" i="40"/>
  <c r="A46" i="40"/>
  <c r="B45" i="40"/>
  <c r="A45" i="40"/>
  <c r="B44" i="40"/>
  <c r="A44" i="40"/>
  <c r="B43" i="40"/>
  <c r="A43" i="40"/>
  <c r="B42" i="40"/>
  <c r="A42" i="40"/>
  <c r="B41" i="40"/>
  <c r="A41" i="40"/>
  <c r="B40" i="40"/>
  <c r="A40" i="40"/>
  <c r="B39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C24" i="40"/>
  <c r="B24" i="40"/>
  <c r="A24" i="40"/>
  <c r="C23" i="40"/>
  <c r="B23" i="40"/>
  <c r="A23" i="40"/>
  <c r="C22" i="40"/>
  <c r="B22" i="40"/>
  <c r="A22" i="40"/>
  <c r="C21" i="40"/>
  <c r="A21" i="40"/>
  <c r="C20" i="40"/>
  <c r="B20" i="40"/>
  <c r="A20" i="40"/>
  <c r="C19" i="40"/>
  <c r="B19" i="40"/>
  <c r="A19" i="40"/>
  <c r="A18" i="40"/>
  <c r="A17" i="40"/>
  <c r="A16" i="40"/>
  <c r="A15" i="40"/>
  <c r="A14" i="40"/>
  <c r="A13" i="40"/>
  <c r="A12" i="40"/>
  <c r="A11" i="40"/>
  <c r="A10" i="40"/>
  <c r="L20" i="38"/>
  <c r="C20" i="38"/>
  <c r="A527" i="38"/>
  <c r="L19" i="38"/>
  <c r="K19" i="38"/>
  <c r="C19" i="38"/>
  <c r="A429" i="38"/>
  <c r="L18" i="38"/>
  <c r="C18" i="38"/>
  <c r="A416" i="38"/>
  <c r="L17" i="38"/>
  <c r="K17" i="38"/>
  <c r="C17" i="38"/>
  <c r="A371" i="38"/>
  <c r="L16" i="38"/>
  <c r="K16" i="38"/>
  <c r="C16" i="38"/>
  <c r="A293" i="38"/>
  <c r="L15" i="38"/>
  <c r="K15" i="38"/>
  <c r="C15" i="38"/>
  <c r="A140" i="38"/>
  <c r="L14" i="38"/>
  <c r="C14" i="38"/>
  <c r="A110" i="38"/>
  <c r="L13" i="38"/>
  <c r="C13" i="38"/>
  <c r="J21" i="38"/>
  <c r="F21" i="38"/>
  <c r="A20" i="38"/>
  <c r="A19" i="38"/>
  <c r="A18" i="38"/>
  <c r="A17" i="38"/>
  <c r="A16" i="38"/>
  <c r="A15" i="38"/>
  <c r="A14" i="38"/>
  <c r="A13" i="38"/>
  <c r="A3" i="38"/>
  <c r="G41" i="18"/>
  <c r="G39" i="18"/>
  <c r="G34" i="18"/>
  <c r="G35" i="18"/>
  <c r="I17" i="18"/>
  <c r="A3" i="18"/>
  <c r="G25" i="15"/>
  <c r="E157" i="30" s="1"/>
  <c r="E25" i="15"/>
  <c r="E24" i="15"/>
  <c r="A3" i="15"/>
  <c r="H75" i="16"/>
  <c r="E75" i="16" s="1"/>
  <c r="H74" i="16"/>
  <c r="E74" i="16" s="1"/>
  <c r="H73" i="16"/>
  <c r="E73" i="16" s="1"/>
  <c r="H72" i="16"/>
  <c r="E72" i="16" s="1"/>
  <c r="H71" i="16"/>
  <c r="E71" i="16" s="1"/>
  <c r="H70" i="16"/>
  <c r="E70" i="16" s="1"/>
  <c r="H69" i="16"/>
  <c r="E69" i="16" s="1"/>
  <c r="H68" i="16"/>
  <c r="E68" i="16" s="1"/>
  <c r="H67" i="16"/>
  <c r="E67" i="16" s="1"/>
  <c r="H66" i="16"/>
  <c r="E66" i="16" s="1"/>
  <c r="H65" i="16"/>
  <c r="E65" i="16" s="1"/>
  <c r="A3" i="16"/>
  <c r="A3" i="14"/>
  <c r="L111" i="13"/>
  <c r="L110" i="13"/>
  <c r="I92" i="13"/>
  <c r="A81" i="13"/>
  <c r="A3" i="13"/>
  <c r="A3" i="2"/>
  <c r="B48" i="1"/>
  <c r="H46" i="1"/>
  <c r="B46" i="1"/>
  <c r="B44" i="1"/>
  <c r="B42" i="1"/>
  <c r="B40" i="1"/>
  <c r="H38" i="1"/>
  <c r="B38" i="1"/>
  <c r="H37" i="1"/>
  <c r="B37" i="1"/>
  <c r="H36" i="1"/>
  <c r="B36" i="1"/>
  <c r="U33" i="1"/>
  <c r="B33" i="1"/>
  <c r="B31" i="1"/>
  <c r="B30" i="1"/>
  <c r="B29" i="1"/>
  <c r="B28" i="1"/>
  <c r="B25" i="1"/>
  <c r="B24" i="1"/>
  <c r="B23" i="1"/>
  <c r="B22" i="1"/>
  <c r="B21" i="1"/>
  <c r="B18" i="1"/>
  <c r="A18" i="37"/>
  <c r="A17" i="37"/>
  <c r="A16" i="37"/>
  <c r="A15" i="37"/>
  <c r="A14" i="37"/>
  <c r="A13" i="37"/>
  <c r="A12" i="37"/>
  <c r="A11" i="37"/>
  <c r="A10" i="37"/>
  <c r="A9" i="37"/>
  <c r="A8" i="37"/>
  <c r="A7" i="37"/>
  <c r="M33" i="19"/>
  <c r="M31" i="19"/>
  <c r="M29" i="19"/>
  <c r="M27" i="19"/>
  <c r="M25" i="19"/>
  <c r="M23" i="19"/>
  <c r="M22" i="19"/>
  <c r="M21" i="19"/>
  <c r="M16" i="19"/>
  <c r="M15" i="19"/>
  <c r="M10" i="19"/>
  <c r="M9" i="19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D524" i="38"/>
  <c r="B183" i="39"/>
  <c r="D511" i="38"/>
  <c r="B181" i="39"/>
  <c r="D510" i="38"/>
  <c r="F510" i="38" s="1"/>
  <c r="B180" i="39"/>
  <c r="D509" i="38"/>
  <c r="F509" i="38" s="1"/>
  <c r="B179" i="39"/>
  <c r="D502" i="38"/>
  <c r="B178" i="39"/>
  <c r="D501" i="38"/>
  <c r="F501" i="38" s="1"/>
  <c r="B177" i="39"/>
  <c r="D495" i="38"/>
  <c r="B176" i="39"/>
  <c r="D494" i="38"/>
  <c r="F494" i="38" s="1"/>
  <c r="B175" i="39"/>
  <c r="D488" i="38"/>
  <c r="B174" i="39"/>
  <c r="D485" i="38"/>
  <c r="D486" i="38" s="1"/>
  <c r="D487" i="38" s="1"/>
  <c r="F487" i="38" s="1"/>
  <c r="B173" i="39"/>
  <c r="D480" i="38"/>
  <c r="B172" i="39"/>
  <c r="D477" i="38"/>
  <c r="B171" i="39"/>
  <c r="D474" i="38"/>
  <c r="B170" i="39"/>
  <c r="D469" i="38"/>
  <c r="B169" i="39"/>
  <c r="D463" i="38"/>
  <c r="B168" i="39"/>
  <c r="D460" i="38"/>
  <c r="B167" i="39"/>
  <c r="D458" i="38"/>
  <c r="B165" i="39"/>
  <c r="D457" i="38"/>
  <c r="B164" i="39"/>
  <c r="D455" i="38"/>
  <c r="B162" i="39"/>
  <c r="D454" i="38"/>
  <c r="B161" i="39"/>
  <c r="D453" i="38"/>
  <c r="B160" i="39"/>
  <c r="D452" i="38"/>
  <c r="B159" i="39"/>
  <c r="D451" i="38"/>
  <c r="B158" i="39"/>
  <c r="D449" i="38"/>
  <c r="B156" i="39"/>
  <c r="D448" i="38"/>
  <c r="B155" i="39"/>
  <c r="D447" i="38"/>
  <c r="B154" i="39"/>
  <c r="D446" i="38"/>
  <c r="B153" i="39"/>
  <c r="D444" i="38"/>
  <c r="B151" i="39"/>
  <c r="D443" i="38"/>
  <c r="B150" i="39"/>
  <c r="D442" i="38"/>
  <c r="B149" i="39"/>
  <c r="D441" i="38"/>
  <c r="B148" i="39"/>
  <c r="D440" i="38"/>
  <c r="B147" i="39"/>
  <c r="D439" i="38"/>
  <c r="D426" i="38"/>
  <c r="D413" i="38"/>
  <c r="B142" i="39"/>
  <c r="D412" i="38"/>
  <c r="B141" i="39"/>
  <c r="D410" i="38"/>
  <c r="F410" i="38" s="1"/>
  <c r="B139" i="39"/>
  <c r="D409" i="38"/>
  <c r="F409" i="38" s="1"/>
  <c r="B138" i="39"/>
  <c r="D408" i="38"/>
  <c r="F408" i="38" s="1"/>
  <c r="B137" i="39"/>
  <c r="D407" i="38"/>
  <c r="F407" i="38" s="1"/>
  <c r="B136" i="39"/>
  <c r="D406" i="38"/>
  <c r="F406" i="38" s="1"/>
  <c r="B135" i="39"/>
  <c r="D405" i="38"/>
  <c r="F405" i="38" s="1"/>
  <c r="B134" i="39"/>
  <c r="D402" i="38"/>
  <c r="D403" i="38" s="1"/>
  <c r="B133" i="39"/>
  <c r="D396" i="38"/>
  <c r="B132" i="39"/>
  <c r="D390" i="38"/>
  <c r="B131" i="39"/>
  <c r="D388" i="38"/>
  <c r="B129" i="39"/>
  <c r="D386" i="38"/>
  <c r="B127" i="39"/>
  <c r="D385" i="38"/>
  <c r="B126" i="39"/>
  <c r="D384" i="38"/>
  <c r="B125" i="39"/>
  <c r="D383" i="38"/>
  <c r="B124" i="39"/>
  <c r="D382" i="38"/>
  <c r="B123" i="39"/>
  <c r="D381" i="38"/>
  <c r="D363" i="38"/>
  <c r="B120" i="39"/>
  <c r="D357" i="38"/>
  <c r="B119" i="39"/>
  <c r="D351" i="38"/>
  <c r="B118" i="39"/>
  <c r="D345" i="38"/>
  <c r="B117" i="39"/>
  <c r="D339" i="38"/>
  <c r="B116" i="39"/>
  <c r="D333" i="38"/>
  <c r="B115" i="39"/>
  <c r="D327" i="38"/>
  <c r="D328" i="38" s="1"/>
  <c r="D329" i="38" s="1"/>
  <c r="D330" i="38" s="1"/>
  <c r="B114" i="39"/>
  <c r="D321" i="38"/>
  <c r="B113" i="39"/>
  <c r="D315" i="38"/>
  <c r="B112" i="39"/>
  <c r="D313" i="38"/>
  <c r="B110" i="39"/>
  <c r="D312" i="38"/>
  <c r="B109" i="39"/>
  <c r="D311" i="38"/>
  <c r="B108" i="39"/>
  <c r="D310" i="38"/>
  <c r="B107" i="39"/>
  <c r="D309" i="38"/>
  <c r="B106" i="39"/>
  <c r="D308" i="38"/>
  <c r="B105" i="39"/>
  <c r="D307" i="38"/>
  <c r="B104" i="39"/>
  <c r="D306" i="38"/>
  <c r="B103" i="39"/>
  <c r="D305" i="38"/>
  <c r="D285" i="38"/>
  <c r="B100" i="39"/>
  <c r="D279" i="38"/>
  <c r="B99" i="39"/>
  <c r="D273" i="38"/>
  <c r="B98" i="39"/>
  <c r="D267" i="38"/>
  <c r="B97" i="39"/>
  <c r="D261" i="38"/>
  <c r="B96" i="39"/>
  <c r="D255" i="38"/>
  <c r="B95" i="39"/>
  <c r="D249" i="38"/>
  <c r="D250" i="38" s="1"/>
  <c r="B94" i="39"/>
  <c r="D243" i="38"/>
  <c r="B93" i="39"/>
  <c r="D237" i="38"/>
  <c r="B92" i="39"/>
  <c r="D235" i="38"/>
  <c r="F235" i="38" s="1"/>
  <c r="B90" i="39"/>
  <c r="D234" i="38"/>
  <c r="F234" i="38" s="1"/>
  <c r="B89" i="39"/>
  <c r="D233" i="38"/>
  <c r="B88" i="39"/>
  <c r="D232" i="38"/>
  <c r="F232" i="38" s="1"/>
  <c r="B87" i="39"/>
  <c r="D231" i="38"/>
  <c r="F231" i="38" s="1"/>
  <c r="B86" i="39"/>
  <c r="D230" i="38"/>
  <c r="F230" i="38" s="1"/>
  <c r="B85" i="39"/>
  <c r="D228" i="38"/>
  <c r="F228" i="38" s="1"/>
  <c r="B83" i="39"/>
  <c r="D227" i="38"/>
  <c r="B82" i="39"/>
  <c r="D226" i="38"/>
  <c r="B81" i="39"/>
  <c r="D225" i="38"/>
  <c r="B80" i="39"/>
  <c r="D224" i="38"/>
  <c r="B79" i="39"/>
  <c r="D223" i="38"/>
  <c r="B78" i="39"/>
  <c r="D222" i="38"/>
  <c r="B77" i="39"/>
  <c r="D221" i="38"/>
  <c r="B76" i="39"/>
  <c r="D220" i="38"/>
  <c r="B75" i="39"/>
  <c r="D213" i="38"/>
  <c r="B73" i="39"/>
  <c r="D207" i="38"/>
  <c r="B72" i="39"/>
  <c r="D201" i="38"/>
  <c r="B71" i="39"/>
  <c r="D195" i="38"/>
  <c r="B70" i="39"/>
  <c r="D189" i="38"/>
  <c r="B69" i="39"/>
  <c r="D183" i="38"/>
  <c r="B68" i="39"/>
  <c r="D177" i="38"/>
  <c r="D178" i="38" s="1"/>
  <c r="D179" i="38" s="1"/>
  <c r="D180" i="38" s="1"/>
  <c r="D181" i="38" s="1"/>
  <c r="B67" i="39"/>
  <c r="D171" i="38"/>
  <c r="D172" i="38" s="1"/>
  <c r="B66" i="39"/>
  <c r="D165" i="38"/>
  <c r="B65" i="39"/>
  <c r="D163" i="38"/>
  <c r="F163" i="38" s="1"/>
  <c r="B63" i="39"/>
  <c r="D162" i="38"/>
  <c r="F162" i="38" s="1"/>
  <c r="B62" i="39"/>
  <c r="D161" i="38"/>
  <c r="F161" i="38" s="1"/>
  <c r="B61" i="39"/>
  <c r="D160" i="38"/>
  <c r="F160" i="38" s="1"/>
  <c r="B60" i="39"/>
  <c r="D159" i="38"/>
  <c r="F159" i="38" s="1"/>
  <c r="B59" i="39"/>
  <c r="D157" i="38"/>
  <c r="F157" i="38" s="1"/>
  <c r="B57" i="39"/>
  <c r="D156" i="38"/>
  <c r="B56" i="39"/>
  <c r="D155" i="38"/>
  <c r="B55" i="39"/>
  <c r="D154" i="38"/>
  <c r="B54" i="39"/>
  <c r="D153" i="38"/>
  <c r="B53" i="39"/>
  <c r="D152" i="38"/>
  <c r="B52" i="39"/>
  <c r="D151" i="38"/>
  <c r="B51" i="39"/>
  <c r="D150" i="38"/>
  <c r="B50" i="39"/>
  <c r="D149" i="38"/>
  <c r="D133" i="38"/>
  <c r="B47" i="39"/>
  <c r="D132" i="38"/>
  <c r="B46" i="39"/>
  <c r="D131" i="38"/>
  <c r="B45" i="39"/>
  <c r="D130" i="38"/>
  <c r="B44" i="39"/>
  <c r="D129" i="38"/>
  <c r="B43" i="39"/>
  <c r="D128" i="38"/>
  <c r="B42" i="39"/>
  <c r="D127" i="38"/>
  <c r="B41" i="39"/>
  <c r="D125" i="38"/>
  <c r="B39" i="39"/>
  <c r="D124" i="38"/>
  <c r="B38" i="39"/>
  <c r="D123" i="38"/>
  <c r="B37" i="39"/>
  <c r="D122" i="38"/>
  <c r="B36" i="39"/>
  <c r="D121" i="38"/>
  <c r="B35" i="39"/>
  <c r="D120" i="38"/>
  <c r="B34" i="39"/>
  <c r="D119" i="38"/>
  <c r="B33" i="39"/>
  <c r="D118" i="38"/>
  <c r="F118" i="38" s="1"/>
  <c r="B32" i="39"/>
  <c r="D136" i="38"/>
  <c r="B30" i="39"/>
  <c r="D135" i="38"/>
  <c r="F135" i="38" s="1"/>
  <c r="D98" i="38"/>
  <c r="B27" i="39"/>
  <c r="D92" i="38"/>
  <c r="B26" i="39"/>
  <c r="D86" i="38"/>
  <c r="B25" i="39"/>
  <c r="D80" i="38"/>
  <c r="B24" i="39"/>
  <c r="D74" i="38"/>
  <c r="B23" i="39"/>
  <c r="D68" i="38"/>
  <c r="D69" i="38" s="1"/>
  <c r="D70" i="38" s="1"/>
  <c r="D71" i="38" s="1"/>
  <c r="D72" i="38" s="1"/>
  <c r="D73" i="38" s="1"/>
  <c r="B22" i="39"/>
  <c r="D62" i="38"/>
  <c r="D63" i="38" s="1"/>
  <c r="D64" i="38" s="1"/>
  <c r="B21" i="39"/>
  <c r="D56" i="38"/>
  <c r="B20" i="39"/>
  <c r="D50" i="38"/>
  <c r="D51" i="38" s="1"/>
  <c r="D52" i="38" s="1"/>
  <c r="D53" i="38" s="1"/>
  <c r="D54" i="38" s="1"/>
  <c r="D55" i="38" s="1"/>
  <c r="B19" i="39"/>
  <c r="D106" i="38"/>
  <c r="B17" i="39"/>
  <c r="D105" i="38"/>
  <c r="F105" i="38" s="1"/>
  <c r="D39" i="38"/>
  <c r="F39" i="38" s="1"/>
  <c r="B14" i="39"/>
  <c r="D38" i="38"/>
  <c r="F38" i="38" s="1"/>
  <c r="B13" i="39"/>
  <c r="D37" i="38"/>
  <c r="B12" i="39"/>
  <c r="D36" i="38"/>
  <c r="F36" i="38" s="1"/>
  <c r="B11" i="39"/>
  <c r="D34" i="38"/>
  <c r="D33" i="38"/>
  <c r="D32" i="38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D30" i="38"/>
  <c r="B171" i="30"/>
  <c r="B170" i="30"/>
  <c r="D14" i="18"/>
  <c r="B167" i="30"/>
  <c r="B166" i="30"/>
  <c r="B163" i="30"/>
  <c r="B162" i="30"/>
  <c r="B161" i="30"/>
  <c r="B158" i="30"/>
  <c r="B157" i="30"/>
  <c r="B156" i="30"/>
  <c r="E155" i="30"/>
  <c r="B155" i="30"/>
  <c r="B154" i="30"/>
  <c r="B153" i="30"/>
  <c r="B148" i="30"/>
  <c r="B147" i="30"/>
  <c r="B146" i="30"/>
  <c r="B145" i="30"/>
  <c r="B144" i="30"/>
  <c r="B143" i="30"/>
  <c r="B142" i="30"/>
  <c r="B141" i="30"/>
  <c r="B140" i="30"/>
  <c r="B139" i="30"/>
  <c r="B138" i="30"/>
  <c r="B137" i="30"/>
  <c r="B136" i="30"/>
  <c r="B135" i="30"/>
  <c r="B134" i="30"/>
  <c r="E133" i="30"/>
  <c r="B133" i="30"/>
  <c r="E132" i="30"/>
  <c r="B132" i="30"/>
  <c r="E131" i="30"/>
  <c r="B131" i="30"/>
  <c r="B130" i="30"/>
  <c r="B129" i="30"/>
  <c r="E128" i="30"/>
  <c r="B128" i="30"/>
  <c r="B127" i="30"/>
  <c r="E126" i="30"/>
  <c r="B126" i="30"/>
  <c r="B125" i="30"/>
  <c r="E124" i="30"/>
  <c r="F124" i="30" s="1"/>
  <c r="B124" i="30"/>
  <c r="E123" i="30"/>
  <c r="B123" i="30"/>
  <c r="E122" i="30"/>
  <c r="B122" i="30"/>
  <c r="B121" i="30"/>
  <c r="E35" i="16"/>
  <c r="B120" i="30"/>
  <c r="E34" i="16"/>
  <c r="B119" i="30"/>
  <c r="B118" i="30"/>
  <c r="B117" i="30"/>
  <c r="C54" i="16"/>
  <c r="D54" i="16" s="1"/>
  <c r="B116" i="30"/>
  <c r="B115" i="30"/>
  <c r="C56" i="16"/>
  <c r="D56" i="16" s="1"/>
  <c r="B114" i="30"/>
  <c r="B113" i="30"/>
  <c r="B112" i="30"/>
  <c r="C58" i="16"/>
  <c r="B111" i="30"/>
  <c r="E22" i="16"/>
  <c r="B110" i="30"/>
  <c r="C60" i="16"/>
  <c r="B109" i="30"/>
  <c r="E21" i="16"/>
  <c r="B108" i="30"/>
  <c r="B107" i="30"/>
  <c r="B106" i="30"/>
  <c r="E17" i="16"/>
  <c r="B105" i="30"/>
  <c r="E16" i="16"/>
  <c r="B104" i="30"/>
  <c r="E15" i="16"/>
  <c r="B103" i="30"/>
  <c r="B102" i="30"/>
  <c r="D73" i="14"/>
  <c r="B98" i="30"/>
  <c r="B97" i="30"/>
  <c r="B96" i="30"/>
  <c r="B95" i="30"/>
  <c r="D68" i="14"/>
  <c r="B94" i="30"/>
  <c r="B93" i="30"/>
  <c r="D62" i="14"/>
  <c r="B92" i="30"/>
  <c r="B91" i="30"/>
  <c r="D60" i="14"/>
  <c r="B90" i="30"/>
  <c r="D49" i="14"/>
  <c r="B87" i="30"/>
  <c r="B86" i="30"/>
  <c r="D46" i="14"/>
  <c r="B85" i="30"/>
  <c r="D45" i="14"/>
  <c r="B84" i="30"/>
  <c r="B83" i="30"/>
  <c r="D39" i="14"/>
  <c r="D41" i="14" s="1"/>
  <c r="F41" i="14" s="1"/>
  <c r="B82" i="30"/>
  <c r="B81" i="30"/>
  <c r="D37" i="14"/>
  <c r="B80" i="30"/>
  <c r="B77" i="30"/>
  <c r="B76" i="30"/>
  <c r="B75" i="30"/>
  <c r="B74" i="30"/>
  <c r="B73" i="30"/>
  <c r="B72" i="30"/>
  <c r="B71" i="30"/>
  <c r="B70" i="30"/>
  <c r="B67" i="30"/>
  <c r="B66" i="30"/>
  <c r="B65" i="30"/>
  <c r="B64" i="30"/>
  <c r="F63" i="30"/>
  <c r="B63" i="30"/>
  <c r="B62" i="30"/>
  <c r="B61" i="30"/>
  <c r="B60" i="30"/>
  <c r="B59" i="30"/>
  <c r="B58" i="30"/>
  <c r="B57" i="30"/>
  <c r="B56" i="30"/>
  <c r="B55" i="30"/>
  <c r="B52" i="30"/>
  <c r="B51" i="30"/>
  <c r="B50" i="30"/>
  <c r="B49" i="30"/>
  <c r="B48" i="30"/>
  <c r="E47" i="30"/>
  <c r="B47" i="30"/>
  <c r="D98" i="13"/>
  <c r="B46" i="30"/>
  <c r="D86" i="13"/>
  <c r="B45" i="30"/>
  <c r="B44" i="30"/>
  <c r="B43" i="30"/>
  <c r="B42" i="30"/>
  <c r="B41" i="30"/>
  <c r="B40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E11" i="30"/>
  <c r="B11" i="30"/>
  <c r="B10" i="30"/>
  <c r="D15" i="2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D42" i="13" l="1"/>
  <c r="D67" i="13"/>
  <c r="D89" i="13" s="1"/>
  <c r="D121" i="13"/>
  <c r="D125" i="13" s="1"/>
  <c r="D123" i="13"/>
  <c r="D126" i="13" s="1"/>
  <c r="D15" i="14"/>
  <c r="D24" i="14"/>
  <c r="D15" i="13"/>
  <c r="D35" i="13"/>
  <c r="G35" i="13" s="1"/>
  <c r="D116" i="13"/>
  <c r="D19" i="13"/>
  <c r="D31" i="13"/>
  <c r="D41" i="13"/>
  <c r="D120" i="13"/>
  <c r="F120" i="13" s="1"/>
  <c r="D122" i="13"/>
  <c r="D134" i="13"/>
  <c r="D23" i="14"/>
  <c r="D71" i="14" s="1"/>
  <c r="F71" i="14" s="1"/>
  <c r="D35" i="15"/>
  <c r="F35" i="15" s="1"/>
  <c r="D14" i="2"/>
  <c r="G14" i="2" s="1"/>
  <c r="E8" i="30" s="1"/>
  <c r="F8" i="30" s="1"/>
  <c r="D20" i="13"/>
  <c r="D23" i="13" s="1"/>
  <c r="F28" i="30"/>
  <c r="D77" i="13"/>
  <c r="D101" i="13" s="1"/>
  <c r="D16" i="15"/>
  <c r="D24" i="15" s="1"/>
  <c r="D33" i="13"/>
  <c r="D65" i="13"/>
  <c r="D85" i="13" s="1"/>
  <c r="D74" i="13"/>
  <c r="D97" i="13" s="1"/>
  <c r="D130" i="13"/>
  <c r="D19" i="2"/>
  <c r="D21" i="2" s="1"/>
  <c r="D16" i="13"/>
  <c r="D34" i="13"/>
  <c r="D45" i="13"/>
  <c r="D73" i="13"/>
  <c r="D96" i="13" s="1"/>
  <c r="D117" i="13"/>
  <c r="D131" i="13"/>
  <c r="D17" i="14"/>
  <c r="D19" i="14" s="1"/>
  <c r="D27" i="14"/>
  <c r="D31" i="15"/>
  <c r="M34" i="40"/>
  <c r="N34" i="40" s="1"/>
  <c r="M133" i="40"/>
  <c r="F155" i="30"/>
  <c r="F157" i="30"/>
  <c r="M47" i="40"/>
  <c r="N47" i="40" s="1"/>
  <c r="J53" i="40"/>
  <c r="L53" i="40" s="1"/>
  <c r="M89" i="40"/>
  <c r="N89" i="40" s="1"/>
  <c r="M90" i="40"/>
  <c r="N90" i="40" s="1"/>
  <c r="J92" i="40"/>
  <c r="L92" i="40" s="1"/>
  <c r="J93" i="40"/>
  <c r="L93" i="40" s="1"/>
  <c r="J132" i="40"/>
  <c r="L132" i="40" s="1"/>
  <c r="M28" i="40"/>
  <c r="N28" i="40" s="1"/>
  <c r="M111" i="40"/>
  <c r="N111" i="40" s="1"/>
  <c r="M117" i="40"/>
  <c r="N117" i="40" s="1"/>
  <c r="F72" i="38"/>
  <c r="F328" i="38"/>
  <c r="F486" i="38"/>
  <c r="J21" i="40"/>
  <c r="L21" i="40" s="1"/>
  <c r="M24" i="40"/>
  <c r="N24" i="40" s="1"/>
  <c r="M27" i="40"/>
  <c r="N27" i="40" s="1"/>
  <c r="J67" i="40"/>
  <c r="L67" i="40" s="1"/>
  <c r="J69" i="40"/>
  <c r="L69" i="40" s="1"/>
  <c r="M70" i="40"/>
  <c r="N70" i="40" s="1"/>
  <c r="J74" i="40"/>
  <c r="L74" i="40" s="1"/>
  <c r="M79" i="40"/>
  <c r="N79" i="40" s="1"/>
  <c r="J85" i="40"/>
  <c r="L85" i="40" s="1"/>
  <c r="J87" i="40"/>
  <c r="M88" i="40"/>
  <c r="N88" i="40" s="1"/>
  <c r="J115" i="40"/>
  <c r="L115" i="40" s="1"/>
  <c r="M124" i="40"/>
  <c r="N124" i="40" s="1"/>
  <c r="M128" i="40"/>
  <c r="N128" i="40" s="1"/>
  <c r="M129" i="40"/>
  <c r="N129" i="40" s="1"/>
  <c r="M30" i="40"/>
  <c r="N30" i="40" s="1"/>
  <c r="M105" i="40"/>
  <c r="N105" i="40" s="1"/>
  <c r="M186" i="40"/>
  <c r="N186" i="40" s="1"/>
  <c r="M66" i="40"/>
  <c r="N66" i="40" s="1"/>
  <c r="M94" i="40"/>
  <c r="N94" i="40" s="1"/>
  <c r="M96" i="40"/>
  <c r="N96" i="40" s="1"/>
  <c r="M112" i="40"/>
  <c r="N112" i="40" s="1"/>
  <c r="M123" i="40"/>
  <c r="N123" i="40" s="1"/>
  <c r="M135" i="40"/>
  <c r="N135" i="40" s="1"/>
  <c r="M137" i="40"/>
  <c r="N137" i="40" s="1"/>
  <c r="M142" i="40"/>
  <c r="N142" i="40" s="1"/>
  <c r="J146" i="40"/>
  <c r="L146" i="40" s="1"/>
  <c r="J147" i="40"/>
  <c r="L147" i="40" s="1"/>
  <c r="M152" i="40"/>
  <c r="N152" i="40" s="1"/>
  <c r="M154" i="40"/>
  <c r="N154" i="40" s="1"/>
  <c r="M156" i="40"/>
  <c r="M159" i="40"/>
  <c r="N159" i="40" s="1"/>
  <c r="M161" i="40"/>
  <c r="N161" i="40" s="1"/>
  <c r="M163" i="40"/>
  <c r="N163" i="40" s="1"/>
  <c r="J165" i="40"/>
  <c r="L165" i="40" s="1"/>
  <c r="J166" i="40"/>
  <c r="L166" i="40" s="1"/>
  <c r="J167" i="40"/>
  <c r="L167" i="40" s="1"/>
  <c r="J168" i="40"/>
  <c r="L168" i="40" s="1"/>
  <c r="J171" i="40"/>
  <c r="L171" i="40" s="1"/>
  <c r="J175" i="40"/>
  <c r="L175" i="40" s="1"/>
  <c r="J177" i="40"/>
  <c r="L177" i="40" s="1"/>
  <c r="M179" i="40"/>
  <c r="N179" i="40" s="1"/>
  <c r="J180" i="40"/>
  <c r="L180" i="40" s="1"/>
  <c r="M195" i="40"/>
  <c r="N195" i="40" s="1"/>
  <c r="F207" i="38"/>
  <c r="D208" i="38"/>
  <c r="F86" i="38"/>
  <c r="D87" i="38"/>
  <c r="D173" i="38"/>
  <c r="F172" i="38"/>
  <c r="D404" i="38"/>
  <c r="F404" i="38" s="1"/>
  <c r="D166" i="38"/>
  <c r="D167" i="38" s="1"/>
  <c r="D168" i="38" s="1"/>
  <c r="D65" i="38"/>
  <c r="F261" i="38"/>
  <c r="D262" i="38"/>
  <c r="D263" i="38" s="1"/>
  <c r="D264" i="38" s="1"/>
  <c r="D182" i="38"/>
  <c r="F181" i="38"/>
  <c r="F183" i="38"/>
  <c r="D184" i="38"/>
  <c r="D190" i="38"/>
  <c r="D214" i="38"/>
  <c r="F273" i="38"/>
  <c r="D274" i="38"/>
  <c r="F285" i="38"/>
  <c r="D286" i="38"/>
  <c r="F339" i="38"/>
  <c r="D340" i="38"/>
  <c r="F357" i="38"/>
  <c r="D358" i="38"/>
  <c r="F463" i="38"/>
  <c r="D464" i="38"/>
  <c r="F495" i="38"/>
  <c r="D496" i="38"/>
  <c r="F502" i="38"/>
  <c r="D503" i="38"/>
  <c r="J20" i="40"/>
  <c r="L20" i="40" s="1"/>
  <c r="J33" i="40"/>
  <c r="L33" i="40" s="1"/>
  <c r="J48" i="40"/>
  <c r="L48" i="40" s="1"/>
  <c r="J50" i="40"/>
  <c r="L50" i="40" s="1"/>
  <c r="M99" i="40"/>
  <c r="N99" i="40" s="1"/>
  <c r="M100" i="40"/>
  <c r="N100" i="40" s="1"/>
  <c r="M101" i="40"/>
  <c r="N101" i="40" s="1"/>
  <c r="M102" i="40"/>
  <c r="N102" i="40" s="1"/>
  <c r="M103" i="40"/>
  <c r="N103" i="40" s="1"/>
  <c r="M104" i="40"/>
  <c r="J134" i="40"/>
  <c r="L134" i="40" s="1"/>
  <c r="J136" i="40"/>
  <c r="L136" i="40" s="1"/>
  <c r="D75" i="38"/>
  <c r="F98" i="38"/>
  <c r="D99" i="38"/>
  <c r="F195" i="38"/>
  <c r="D196" i="38"/>
  <c r="D197" i="38" s="1"/>
  <c r="F201" i="38"/>
  <c r="D202" i="38"/>
  <c r="D251" i="38"/>
  <c r="D252" i="38" s="1"/>
  <c r="F321" i="38"/>
  <c r="D322" i="38"/>
  <c r="F488" i="38"/>
  <c r="D489" i="38"/>
  <c r="J127" i="40"/>
  <c r="L127" i="40" s="1"/>
  <c r="M127" i="40"/>
  <c r="N127" i="40" s="1"/>
  <c r="E125" i="30"/>
  <c r="F125" i="30" s="1"/>
  <c r="D57" i="38"/>
  <c r="F80" i="38"/>
  <c r="D81" i="38"/>
  <c r="F92" i="38"/>
  <c r="D93" i="38"/>
  <c r="D238" i="38"/>
  <c r="D239" i="38" s="1"/>
  <c r="D240" i="38" s="1"/>
  <c r="F243" i="38"/>
  <c r="D244" i="38"/>
  <c r="D245" i="38" s="1"/>
  <c r="D246" i="38" s="1"/>
  <c r="F255" i="38"/>
  <c r="D256" i="38"/>
  <c r="D257" i="38" s="1"/>
  <c r="D316" i="38"/>
  <c r="D317" i="38" s="1"/>
  <c r="D318" i="38" s="1"/>
  <c r="D331" i="38"/>
  <c r="F330" i="38"/>
  <c r="F351" i="38"/>
  <c r="D352" i="38"/>
  <c r="F460" i="38"/>
  <c r="D461" i="38"/>
  <c r="F474" i="38"/>
  <c r="D475" i="38"/>
  <c r="F477" i="38"/>
  <c r="D478" i="38"/>
  <c r="D479" i="38" s="1"/>
  <c r="F479" i="38" s="1"/>
  <c r="F511" i="38"/>
  <c r="D512" i="38"/>
  <c r="J113" i="40"/>
  <c r="L113" i="40" s="1"/>
  <c r="M116" i="40"/>
  <c r="N116" i="40" s="1"/>
  <c r="J125" i="40"/>
  <c r="L125" i="40" s="1"/>
  <c r="M143" i="40"/>
  <c r="N143" i="40" s="1"/>
  <c r="M147" i="40"/>
  <c r="N147" i="40" s="1"/>
  <c r="M165" i="40"/>
  <c r="N165" i="40" s="1"/>
  <c r="M166" i="40"/>
  <c r="N166" i="40" s="1"/>
  <c r="M167" i="40"/>
  <c r="N167" i="40" s="1"/>
  <c r="M168" i="40"/>
  <c r="J182" i="40"/>
  <c r="M182" i="40"/>
  <c r="N182" i="40" s="1"/>
  <c r="D268" i="38"/>
  <c r="D269" i="38" s="1"/>
  <c r="F279" i="38"/>
  <c r="D280" i="38"/>
  <c r="F333" i="38"/>
  <c r="D334" i="38"/>
  <c r="F345" i="38"/>
  <c r="D346" i="38"/>
  <c r="D347" i="38" s="1"/>
  <c r="F363" i="38"/>
  <c r="D364" i="38"/>
  <c r="F390" i="38"/>
  <c r="D391" i="38"/>
  <c r="F396" i="38"/>
  <c r="D397" i="38"/>
  <c r="F469" i="38"/>
  <c r="D470" i="38"/>
  <c r="F480" i="38"/>
  <c r="D481" i="38"/>
  <c r="C46" i="38"/>
  <c r="J16" i="38"/>
  <c r="J31" i="40"/>
  <c r="L31" i="40" s="1"/>
  <c r="M35" i="40"/>
  <c r="N35" i="40" s="1"/>
  <c r="M57" i="40"/>
  <c r="N57" i="40" s="1"/>
  <c r="M59" i="40"/>
  <c r="N59" i="40" s="1"/>
  <c r="M61" i="40"/>
  <c r="N61" i="40" s="1"/>
  <c r="M63" i="40"/>
  <c r="N63" i="40" s="1"/>
  <c r="J66" i="40"/>
  <c r="L66" i="40" s="1"/>
  <c r="M73" i="40"/>
  <c r="N73" i="40" s="1"/>
  <c r="M75" i="40"/>
  <c r="N75" i="40" s="1"/>
  <c r="M76" i="40"/>
  <c r="N76" i="40" s="1"/>
  <c r="M78" i="40"/>
  <c r="N78" i="40" s="1"/>
  <c r="J95" i="40"/>
  <c r="L95" i="40" s="1"/>
  <c r="J96" i="40"/>
  <c r="L96" i="40" s="1"/>
  <c r="M97" i="40"/>
  <c r="N97" i="40" s="1"/>
  <c r="M106" i="40"/>
  <c r="N106" i="40" s="1"/>
  <c r="M107" i="40"/>
  <c r="N107" i="40" s="1"/>
  <c r="J110" i="40"/>
  <c r="L110" i="40" s="1"/>
  <c r="J111" i="40"/>
  <c r="L111" i="40" s="1"/>
  <c r="J117" i="40"/>
  <c r="L117" i="40" s="1"/>
  <c r="M121" i="40"/>
  <c r="N121" i="40" s="1"/>
  <c r="J142" i="40"/>
  <c r="L142" i="40" s="1"/>
  <c r="M145" i="40"/>
  <c r="N145" i="40" s="1"/>
  <c r="M149" i="40"/>
  <c r="N149" i="40" s="1"/>
  <c r="L182" i="40"/>
  <c r="M183" i="40"/>
  <c r="N183" i="40" s="1"/>
  <c r="J184" i="40"/>
  <c r="L184" i="40" s="1"/>
  <c r="J186" i="40"/>
  <c r="M194" i="40"/>
  <c r="N194" i="40" s="1"/>
  <c r="J195" i="40"/>
  <c r="L195" i="40" s="1"/>
  <c r="J16" i="40"/>
  <c r="L16" i="40" s="1"/>
  <c r="J23" i="40"/>
  <c r="L23" i="40" s="1"/>
  <c r="J30" i="40"/>
  <c r="L30" i="40" s="1"/>
  <c r="M53" i="40"/>
  <c r="N53" i="40" s="1"/>
  <c r="M56" i="40"/>
  <c r="N56" i="40" s="1"/>
  <c r="M58" i="40"/>
  <c r="N58" i="40" s="1"/>
  <c r="M60" i="40"/>
  <c r="N60" i="40" s="1"/>
  <c r="M62" i="40"/>
  <c r="N62" i="40" s="1"/>
  <c r="M64" i="40"/>
  <c r="N64" i="40" s="1"/>
  <c r="M67" i="40"/>
  <c r="N67" i="40" s="1"/>
  <c r="M68" i="40"/>
  <c r="N68" i="40" s="1"/>
  <c r="M80" i="40"/>
  <c r="N80" i="40" s="1"/>
  <c r="M82" i="40"/>
  <c r="N82" i="40" s="1"/>
  <c r="M83" i="40"/>
  <c r="N83" i="40" s="1"/>
  <c r="M84" i="40"/>
  <c r="N84" i="40" s="1"/>
  <c r="M85" i="40"/>
  <c r="N85" i="40" s="1"/>
  <c r="M86" i="40"/>
  <c r="N86" i="40" s="1"/>
  <c r="M87" i="40"/>
  <c r="N87" i="40" s="1"/>
  <c r="M93" i="40"/>
  <c r="N93" i="40" s="1"/>
  <c r="J97" i="40"/>
  <c r="L97" i="40" s="1"/>
  <c r="J102" i="40"/>
  <c r="L102" i="40" s="1"/>
  <c r="J104" i="40"/>
  <c r="L104" i="40" s="1"/>
  <c r="M113" i="40"/>
  <c r="N113" i="40" s="1"/>
  <c r="J123" i="40"/>
  <c r="L123" i="40" s="1"/>
  <c r="M132" i="40"/>
  <c r="N132" i="40" s="1"/>
  <c r="M139" i="40"/>
  <c r="J148" i="40"/>
  <c r="L148" i="40" s="1"/>
  <c r="J149" i="40"/>
  <c r="L149" i="40" s="1"/>
  <c r="J153" i="40"/>
  <c r="L153" i="40" s="1"/>
  <c r="J155" i="40"/>
  <c r="L155" i="40" s="1"/>
  <c r="J157" i="40"/>
  <c r="L157" i="40" s="1"/>
  <c r="J160" i="40"/>
  <c r="L160" i="40" s="1"/>
  <c r="J162" i="40"/>
  <c r="L162" i="40" s="1"/>
  <c r="M170" i="40"/>
  <c r="N170" i="40" s="1"/>
  <c r="M174" i="40"/>
  <c r="N174" i="40" s="1"/>
  <c r="M176" i="40"/>
  <c r="N176" i="40" s="1"/>
  <c r="M178" i="40"/>
  <c r="N178" i="40" s="1"/>
  <c r="L186" i="40"/>
  <c r="M187" i="40"/>
  <c r="N187" i="40" s="1"/>
  <c r="J188" i="40"/>
  <c r="L188" i="40" s="1"/>
  <c r="J194" i="40"/>
  <c r="L194" i="40" s="1"/>
  <c r="M197" i="40"/>
  <c r="N197" i="40" s="1"/>
  <c r="J204" i="40"/>
  <c r="L204" i="40" s="1"/>
  <c r="F47" i="30"/>
  <c r="F126" i="30"/>
  <c r="F132" i="30"/>
  <c r="F123" i="30"/>
  <c r="F133" i="30"/>
  <c r="F11" i="30"/>
  <c r="F122" i="30"/>
  <c r="F128" i="30"/>
  <c r="F131" i="30"/>
  <c r="C55" i="16"/>
  <c r="D55" i="16" s="1"/>
  <c r="E30" i="16"/>
  <c r="D20" i="15"/>
  <c r="D25" i="15" s="1"/>
  <c r="J18" i="40"/>
  <c r="L18" i="40" s="1"/>
  <c r="M18" i="40"/>
  <c r="J41" i="40"/>
  <c r="L41" i="40" s="1"/>
  <c r="M41" i="40"/>
  <c r="J45" i="40"/>
  <c r="L45" i="40" s="1"/>
  <c r="M45" i="40"/>
  <c r="J52" i="40"/>
  <c r="L52" i="40" s="1"/>
  <c r="M52" i="40"/>
  <c r="M21" i="40"/>
  <c r="M22" i="40"/>
  <c r="M31" i="40"/>
  <c r="J34" i="40"/>
  <c r="L34" i="40" s="1"/>
  <c r="J40" i="40"/>
  <c r="L40" i="40" s="1"/>
  <c r="M40" i="40"/>
  <c r="J44" i="40"/>
  <c r="L44" i="40" s="1"/>
  <c r="M44" i="40"/>
  <c r="J47" i="40"/>
  <c r="L47" i="40" s="1"/>
  <c r="L22" i="38"/>
  <c r="J32" i="40"/>
  <c r="L32" i="40" s="1"/>
  <c r="M32" i="40"/>
  <c r="J38" i="40"/>
  <c r="L38" i="40" s="1"/>
  <c r="M38" i="40"/>
  <c r="J42" i="40"/>
  <c r="L42" i="40" s="1"/>
  <c r="M42" i="40"/>
  <c r="M19" i="40"/>
  <c r="J29" i="40"/>
  <c r="L29" i="40" s="1"/>
  <c r="J39" i="40"/>
  <c r="L39" i="40" s="1"/>
  <c r="M39" i="40"/>
  <c r="J43" i="40"/>
  <c r="L43" i="40" s="1"/>
  <c r="M43" i="40"/>
  <c r="J61" i="40"/>
  <c r="L61" i="40" s="1"/>
  <c r="J70" i="40"/>
  <c r="L70" i="40" s="1"/>
  <c r="J17" i="38"/>
  <c r="K18" i="38"/>
  <c r="J18" i="38" s="1"/>
  <c r="C420" i="38"/>
  <c r="M16" i="40"/>
  <c r="J19" i="40"/>
  <c r="L19" i="40" s="1"/>
  <c r="M20" i="40"/>
  <c r="J22" i="40"/>
  <c r="L22" i="40" s="1"/>
  <c r="M23" i="40"/>
  <c r="J27" i="40"/>
  <c r="L27" i="40" s="1"/>
  <c r="M33" i="40"/>
  <c r="J35" i="40"/>
  <c r="L35" i="40" s="1"/>
  <c r="M50" i="40"/>
  <c r="J63" i="40"/>
  <c r="L63" i="40" s="1"/>
  <c r="J24" i="40"/>
  <c r="L24" i="40" s="1"/>
  <c r="M29" i="40"/>
  <c r="J49" i="40"/>
  <c r="L49" i="40" s="1"/>
  <c r="M49" i="40"/>
  <c r="J59" i="40"/>
  <c r="L59" i="40" s="1"/>
  <c r="J77" i="40"/>
  <c r="L77" i="40" s="1"/>
  <c r="M77" i="40"/>
  <c r="N104" i="40"/>
  <c r="N156" i="40"/>
  <c r="J28" i="40"/>
  <c r="L28" i="40" s="1"/>
  <c r="M48" i="40"/>
  <c r="M51" i="40"/>
  <c r="J57" i="40"/>
  <c r="L57" i="40" s="1"/>
  <c r="J72" i="40"/>
  <c r="L72" i="40" s="1"/>
  <c r="M72" i="40"/>
  <c r="C531" i="38"/>
  <c r="J51" i="40"/>
  <c r="L51" i="40" s="1"/>
  <c r="J56" i="40"/>
  <c r="L56" i="40" s="1"/>
  <c r="J58" i="40"/>
  <c r="L58" i="40" s="1"/>
  <c r="J60" i="40"/>
  <c r="L60" i="40" s="1"/>
  <c r="J62" i="40"/>
  <c r="L62" i="40" s="1"/>
  <c r="J64" i="40"/>
  <c r="L64" i="40" s="1"/>
  <c r="J68" i="40"/>
  <c r="L68" i="40" s="1"/>
  <c r="M69" i="40"/>
  <c r="M74" i="40"/>
  <c r="J75" i="40"/>
  <c r="L75" i="40" s="1"/>
  <c r="J78" i="40"/>
  <c r="L78" i="40" s="1"/>
  <c r="J80" i="40"/>
  <c r="L80" i="40" s="1"/>
  <c r="J89" i="40"/>
  <c r="L89" i="40" s="1"/>
  <c r="M92" i="40"/>
  <c r="J106" i="40"/>
  <c r="L106" i="40" s="1"/>
  <c r="M110" i="40"/>
  <c r="J118" i="40"/>
  <c r="L118" i="40" s="1"/>
  <c r="M118" i="40"/>
  <c r="M125" i="40"/>
  <c r="M136" i="40"/>
  <c r="J79" i="40"/>
  <c r="L79" i="40" s="1"/>
  <c r="L87" i="40"/>
  <c r="J94" i="40"/>
  <c r="L94" i="40" s="1"/>
  <c r="J112" i="40"/>
  <c r="L112" i="40" s="1"/>
  <c r="J114" i="40"/>
  <c r="L114" i="40" s="1"/>
  <c r="M114" i="40"/>
  <c r="J135" i="40"/>
  <c r="L135" i="40" s="1"/>
  <c r="N139" i="40"/>
  <c r="J139" i="40"/>
  <c r="L139" i="40" s="1"/>
  <c r="J144" i="40"/>
  <c r="L144" i="40" s="1"/>
  <c r="M144" i="40"/>
  <c r="J73" i="40"/>
  <c r="L73" i="40" s="1"/>
  <c r="J76" i="40"/>
  <c r="L76" i="40" s="1"/>
  <c r="J83" i="40"/>
  <c r="L83" i="40" s="1"/>
  <c r="J100" i="40"/>
  <c r="L100" i="40" s="1"/>
  <c r="J121" i="40"/>
  <c r="L121" i="40" s="1"/>
  <c r="J129" i="40"/>
  <c r="L129" i="40" s="1"/>
  <c r="J82" i="40"/>
  <c r="L82" i="40" s="1"/>
  <c r="J84" i="40"/>
  <c r="L84" i="40" s="1"/>
  <c r="J86" i="40"/>
  <c r="L86" i="40" s="1"/>
  <c r="J88" i="40"/>
  <c r="L88" i="40" s="1"/>
  <c r="J90" i="40"/>
  <c r="L90" i="40" s="1"/>
  <c r="M95" i="40"/>
  <c r="J99" i="40"/>
  <c r="L99" i="40" s="1"/>
  <c r="J101" i="40"/>
  <c r="L101" i="40" s="1"/>
  <c r="J103" i="40"/>
  <c r="L103" i="40" s="1"/>
  <c r="J105" i="40"/>
  <c r="L105" i="40" s="1"/>
  <c r="J107" i="40"/>
  <c r="L107" i="40" s="1"/>
  <c r="J116" i="40"/>
  <c r="L116" i="40" s="1"/>
  <c r="N133" i="40"/>
  <c r="M134" i="40"/>
  <c r="M141" i="40"/>
  <c r="J143" i="40"/>
  <c r="L143" i="40" s="1"/>
  <c r="J145" i="40"/>
  <c r="L145" i="40" s="1"/>
  <c r="N204" i="40"/>
  <c r="M115" i="40"/>
  <c r="M122" i="40"/>
  <c r="M126" i="40"/>
  <c r="J133" i="40"/>
  <c r="L133" i="40" s="1"/>
  <c r="J137" i="40"/>
  <c r="L137" i="40" s="1"/>
  <c r="J203" i="40"/>
  <c r="L203" i="40" s="1"/>
  <c r="M203" i="40"/>
  <c r="J191" i="40"/>
  <c r="L191" i="40" s="1"/>
  <c r="M191" i="40"/>
  <c r="J122" i="40"/>
  <c r="L122" i="40" s="1"/>
  <c r="J124" i="40"/>
  <c r="L124" i="40" s="1"/>
  <c r="J126" i="40"/>
  <c r="L126" i="40" s="1"/>
  <c r="J128" i="40"/>
  <c r="L128" i="40" s="1"/>
  <c r="J141" i="40"/>
  <c r="L141" i="40" s="1"/>
  <c r="M146" i="40"/>
  <c r="M148" i="40"/>
  <c r="J152" i="40"/>
  <c r="L152" i="40" s="1"/>
  <c r="M153" i="40"/>
  <c r="J154" i="40"/>
  <c r="L154" i="40" s="1"/>
  <c r="M155" i="40"/>
  <c r="J156" i="40"/>
  <c r="L156" i="40" s="1"/>
  <c r="M157" i="40"/>
  <c r="J159" i="40"/>
  <c r="L159" i="40" s="1"/>
  <c r="M160" i="40"/>
  <c r="J161" i="40"/>
  <c r="L161" i="40" s="1"/>
  <c r="M162" i="40"/>
  <c r="J163" i="40"/>
  <c r="L163" i="40" s="1"/>
  <c r="J170" i="40"/>
  <c r="L170" i="40" s="1"/>
  <c r="M171" i="40"/>
  <c r="J174" i="40"/>
  <c r="L174" i="40" s="1"/>
  <c r="M175" i="40"/>
  <c r="J176" i="40"/>
  <c r="L176" i="40" s="1"/>
  <c r="M177" i="40"/>
  <c r="J178" i="40"/>
  <c r="L178" i="40" s="1"/>
  <c r="M180" i="40"/>
  <c r="M184" i="40"/>
  <c r="M188" i="40"/>
  <c r="N201" i="40"/>
  <c r="N168" i="40"/>
  <c r="M181" i="40"/>
  <c r="M185" i="40"/>
  <c r="N200" i="40"/>
  <c r="J179" i="40"/>
  <c r="L179" i="40" s="1"/>
  <c r="J181" i="40"/>
  <c r="L181" i="40" s="1"/>
  <c r="J183" i="40"/>
  <c r="L183" i="40" s="1"/>
  <c r="J185" i="40"/>
  <c r="L185" i="40" s="1"/>
  <c r="J187" i="40"/>
  <c r="L187" i="40" s="1"/>
  <c r="J197" i="40"/>
  <c r="L197" i="40" s="1"/>
  <c r="J200" i="40"/>
  <c r="L200" i="40" s="1"/>
  <c r="J201" i="40"/>
  <c r="L201" i="40" s="1"/>
  <c r="F17" i="18"/>
  <c r="G15" i="2"/>
  <c r="D64" i="14"/>
  <c r="D22" i="13"/>
  <c r="D69" i="13"/>
  <c r="C59" i="16"/>
  <c r="J15" i="38"/>
  <c r="D18" i="2"/>
  <c r="J19" i="38"/>
  <c r="K20" i="38"/>
  <c r="J20" i="38" s="1"/>
  <c r="C114" i="38"/>
  <c r="C433" i="38"/>
  <c r="K13" i="38"/>
  <c r="J13" i="38" s="1"/>
  <c r="E29" i="16"/>
  <c r="K14" i="38"/>
  <c r="J14" i="38" s="1"/>
  <c r="C144" i="38"/>
  <c r="C297" i="38"/>
  <c r="C375" i="38"/>
  <c r="C22" i="38"/>
  <c r="H42" i="1" s="1"/>
  <c r="D37" i="13" l="1"/>
  <c r="F51" i="13"/>
  <c r="F52" i="13"/>
  <c r="D82" i="38"/>
  <c r="F81" i="38"/>
  <c r="D323" i="38"/>
  <c r="F322" i="38"/>
  <c r="D287" i="38"/>
  <c r="F286" i="38"/>
  <c r="D215" i="38"/>
  <c r="F214" i="38"/>
  <c r="D185" i="38"/>
  <c r="D265" i="38"/>
  <c r="D169" i="38"/>
  <c r="D471" i="38"/>
  <c r="F470" i="38"/>
  <c r="D392" i="38"/>
  <c r="F391" i="38"/>
  <c r="D348" i="38"/>
  <c r="F347" i="38"/>
  <c r="D281" i="38"/>
  <c r="F280" i="38"/>
  <c r="D462" i="38"/>
  <c r="F461" i="38"/>
  <c r="D247" i="38"/>
  <c r="F246" i="38"/>
  <c r="D100" i="38"/>
  <c r="F99" i="38"/>
  <c r="D497" i="38"/>
  <c r="F496" i="38"/>
  <c r="D359" i="38"/>
  <c r="F358" i="38"/>
  <c r="D332" i="38"/>
  <c r="F332" i="38" s="1"/>
  <c r="F331" i="38"/>
  <c r="D94" i="38"/>
  <c r="F93" i="38"/>
  <c r="D490" i="38"/>
  <c r="F489" i="38"/>
  <c r="D198" i="38"/>
  <c r="D275" i="38"/>
  <c r="F274" i="38"/>
  <c r="D191" i="38"/>
  <c r="D174" i="38"/>
  <c r="D209" i="38"/>
  <c r="F208" i="38"/>
  <c r="D203" i="38"/>
  <c r="F202" i="38"/>
  <c r="D482" i="38"/>
  <c r="F481" i="38"/>
  <c r="D398" i="38"/>
  <c r="F397" i="38"/>
  <c r="D365" i="38"/>
  <c r="F364" i="38"/>
  <c r="D335" i="38"/>
  <c r="F334" i="38"/>
  <c r="D270" i="38"/>
  <c r="D513" i="38"/>
  <c r="F512" i="38"/>
  <c r="D476" i="38"/>
  <c r="F476" i="38" s="1"/>
  <c r="D353" i="38"/>
  <c r="F352" i="38"/>
  <c r="D319" i="38"/>
  <c r="D258" i="38"/>
  <c r="D241" i="38"/>
  <c r="D58" i="38"/>
  <c r="D253" i="38"/>
  <c r="F252" i="38"/>
  <c r="D76" i="38"/>
  <c r="D504" i="38"/>
  <c r="F503" i="38"/>
  <c r="D465" i="38"/>
  <c r="F464" i="38"/>
  <c r="D341" i="38"/>
  <c r="F340" i="38"/>
  <c r="D66" i="38"/>
  <c r="D88" i="38"/>
  <c r="F87" i="38"/>
  <c r="J22" i="38"/>
  <c r="D28" i="19" s="1"/>
  <c r="L9" i="40"/>
  <c r="N180" i="40"/>
  <c r="N175" i="40"/>
  <c r="N48" i="40"/>
  <c r="N23" i="40"/>
  <c r="N181" i="40"/>
  <c r="N160" i="40"/>
  <c r="N155" i="40"/>
  <c r="N148" i="40"/>
  <c r="N191" i="40"/>
  <c r="N122" i="40"/>
  <c r="N141" i="40"/>
  <c r="N134" i="40"/>
  <c r="N92" i="40"/>
  <c r="N69" i="40"/>
  <c r="N51" i="40"/>
  <c r="N49" i="40"/>
  <c r="N50" i="40"/>
  <c r="N39" i="40"/>
  <c r="N42" i="40"/>
  <c r="N32" i="40"/>
  <c r="N45" i="40"/>
  <c r="N41" i="40"/>
  <c r="N125" i="40"/>
  <c r="N110" i="40"/>
  <c r="N16" i="40"/>
  <c r="N52" i="40"/>
  <c r="N185" i="40"/>
  <c r="N162" i="40"/>
  <c r="N157" i="40"/>
  <c r="N153" i="40"/>
  <c r="N115" i="40"/>
  <c r="N33" i="40"/>
  <c r="N43" i="40"/>
  <c r="N38" i="40"/>
  <c r="N31" i="40"/>
  <c r="N21" i="40"/>
  <c r="N18" i="40"/>
  <c r="N188" i="40"/>
  <c r="N146" i="40"/>
  <c r="N95" i="40"/>
  <c r="N144" i="40"/>
  <c r="N40" i="40"/>
  <c r="N22" i="40"/>
  <c r="N184" i="40"/>
  <c r="N177" i="40"/>
  <c r="N171" i="40"/>
  <c r="N203" i="40"/>
  <c r="N126" i="40"/>
  <c r="N114" i="40"/>
  <c r="N136" i="40"/>
  <c r="N118" i="40"/>
  <c r="N74" i="40"/>
  <c r="N72" i="40"/>
  <c r="N77" i="40"/>
  <c r="N29" i="40"/>
  <c r="N20" i="40"/>
  <c r="N19" i="40"/>
  <c r="N44" i="40"/>
  <c r="D92" i="13"/>
  <c r="F92" i="13" s="1"/>
  <c r="E9" i="30"/>
  <c r="F9" i="30" s="1"/>
  <c r="K22" i="38"/>
  <c r="D90" i="13"/>
  <c r="D102" i="13"/>
  <c r="G37" i="13"/>
  <c r="E26" i="30"/>
  <c r="F26" i="30" s="1"/>
  <c r="J42" i="1" l="1"/>
  <c r="D210" i="38"/>
  <c r="F209" i="38"/>
  <c r="D192" i="38"/>
  <c r="D199" i="38"/>
  <c r="D95" i="38"/>
  <c r="F94" i="38"/>
  <c r="D360" i="38"/>
  <c r="F359" i="38"/>
  <c r="D101" i="38"/>
  <c r="D349" i="38"/>
  <c r="F348" i="38"/>
  <c r="D472" i="38"/>
  <c r="D67" i="38"/>
  <c r="F66" i="38"/>
  <c r="D466" i="38"/>
  <c r="F465" i="38"/>
  <c r="D77" i="38"/>
  <c r="D59" i="38"/>
  <c r="D259" i="38"/>
  <c r="D354" i="38"/>
  <c r="F353" i="38"/>
  <c r="D514" i="38"/>
  <c r="F513" i="38"/>
  <c r="D336" i="38"/>
  <c r="D399" i="38"/>
  <c r="F398" i="38"/>
  <c r="D266" i="38"/>
  <c r="F266" i="38" s="1"/>
  <c r="F265" i="38"/>
  <c r="D216" i="38"/>
  <c r="D324" i="38"/>
  <c r="F323" i="38"/>
  <c r="D204" i="38"/>
  <c r="F203" i="38"/>
  <c r="D175" i="38"/>
  <c r="F174" i="38"/>
  <c r="D276" i="38"/>
  <c r="F275" i="38"/>
  <c r="D491" i="38"/>
  <c r="F490" i="38"/>
  <c r="D498" i="38"/>
  <c r="F497" i="38"/>
  <c r="D248" i="38"/>
  <c r="F248" i="38" s="1"/>
  <c r="D282" i="38"/>
  <c r="F281" i="38"/>
  <c r="D393" i="38"/>
  <c r="D89" i="38"/>
  <c r="F88" i="38"/>
  <c r="D342" i="38"/>
  <c r="F341" i="38"/>
  <c r="D505" i="38"/>
  <c r="F504" i="38"/>
  <c r="D254" i="38"/>
  <c r="F254" i="38" s="1"/>
  <c r="F253" i="38"/>
  <c r="D242" i="38"/>
  <c r="F242" i="38" s="1"/>
  <c r="D320" i="38"/>
  <c r="F320" i="38" s="1"/>
  <c r="D271" i="38"/>
  <c r="D366" i="38"/>
  <c r="F365" i="38"/>
  <c r="D483" i="38"/>
  <c r="F482" i="38"/>
  <c r="D170" i="38"/>
  <c r="D186" i="38"/>
  <c r="D288" i="38"/>
  <c r="F287" i="38"/>
  <c r="D83" i="38"/>
  <c r="F82" i="38"/>
  <c r="N9" i="40"/>
  <c r="N13" i="40" s="1"/>
  <c r="O200" i="40" s="1"/>
  <c r="D289" i="38" l="1"/>
  <c r="F288" i="38"/>
  <c r="D367" i="38"/>
  <c r="F366" i="38"/>
  <c r="D343" i="38"/>
  <c r="D394" i="38"/>
  <c r="D492" i="38"/>
  <c r="F491" i="38"/>
  <c r="D176" i="38"/>
  <c r="D325" i="38"/>
  <c r="F324" i="38"/>
  <c r="D337" i="38"/>
  <c r="D355" i="38"/>
  <c r="F354" i="38"/>
  <c r="D60" i="38"/>
  <c r="D467" i="38"/>
  <c r="F466" i="38"/>
  <c r="D473" i="38"/>
  <c r="F473" i="38" s="1"/>
  <c r="F472" i="38"/>
  <c r="D102" i="38"/>
  <c r="F101" i="38"/>
  <c r="D96" i="38"/>
  <c r="D193" i="38"/>
  <c r="F192" i="38"/>
  <c r="D84" i="38"/>
  <c r="D187" i="38"/>
  <c r="D484" i="38"/>
  <c r="F484" i="38" s="1"/>
  <c r="F483" i="38"/>
  <c r="D272" i="38"/>
  <c r="F272" i="38" s="1"/>
  <c r="F271" i="38"/>
  <c r="D506" i="38"/>
  <c r="F505" i="38"/>
  <c r="D90" i="38"/>
  <c r="F89" i="38"/>
  <c r="D283" i="38"/>
  <c r="F282" i="38"/>
  <c r="D499" i="38"/>
  <c r="F498" i="38"/>
  <c r="D277" i="38"/>
  <c r="F276" i="38"/>
  <c r="D205" i="38"/>
  <c r="F204" i="38"/>
  <c r="D217" i="38"/>
  <c r="F216" i="38"/>
  <c r="D400" i="38"/>
  <c r="F399" i="38"/>
  <c r="D515" i="38"/>
  <c r="F514" i="38"/>
  <c r="D260" i="38"/>
  <c r="F260" i="38" s="1"/>
  <c r="F259" i="38"/>
  <c r="D78" i="38"/>
  <c r="D350" i="38"/>
  <c r="F350" i="38" s="1"/>
  <c r="D361" i="38"/>
  <c r="F360" i="38"/>
  <c r="D200" i="38"/>
  <c r="F200" i="38" s="1"/>
  <c r="D211" i="38"/>
  <c r="O201" i="40"/>
  <c r="P201" i="40" s="1"/>
  <c r="G106" i="38" s="1"/>
  <c r="O113" i="40"/>
  <c r="P113" i="40" s="1"/>
  <c r="G308" i="38" s="1"/>
  <c r="O128" i="40"/>
  <c r="P128" i="40" s="1"/>
  <c r="G357" i="38" s="1"/>
  <c r="O59" i="40"/>
  <c r="P59" i="40" s="1"/>
  <c r="G152" i="38" s="1"/>
  <c r="O117" i="40"/>
  <c r="P117" i="40" s="1"/>
  <c r="G312" i="38" s="1"/>
  <c r="O57" i="40"/>
  <c r="P57" i="40" s="1"/>
  <c r="G150" i="38" s="1"/>
  <c r="O34" i="40"/>
  <c r="P34" i="40" s="1"/>
  <c r="G92" i="38" s="1"/>
  <c r="O90" i="40"/>
  <c r="P90" i="40" s="1"/>
  <c r="G228" i="38" s="1"/>
  <c r="O73" i="40"/>
  <c r="P73" i="40" s="1"/>
  <c r="G171" i="38" s="1"/>
  <c r="O76" i="40"/>
  <c r="P76" i="40" s="1"/>
  <c r="G189" i="38" s="1"/>
  <c r="O67" i="40"/>
  <c r="P67" i="40" s="1"/>
  <c r="G160" i="38" s="1"/>
  <c r="O94" i="40"/>
  <c r="P94" i="40" s="1"/>
  <c r="G232" i="38" s="1"/>
  <c r="O99" i="40"/>
  <c r="P99" i="40" s="1"/>
  <c r="G237" i="38" s="1"/>
  <c r="O82" i="40"/>
  <c r="P82" i="40" s="1"/>
  <c r="G220" i="38" s="1"/>
  <c r="O135" i="40"/>
  <c r="P135" i="40" s="1"/>
  <c r="G384" i="38" s="1"/>
  <c r="O53" i="40"/>
  <c r="P53" i="40" s="1"/>
  <c r="G133" i="38" s="1"/>
  <c r="O84" i="40"/>
  <c r="P84" i="40" s="1"/>
  <c r="G222" i="38" s="1"/>
  <c r="O86" i="40"/>
  <c r="P86" i="40" s="1"/>
  <c r="G224" i="38" s="1"/>
  <c r="O107" i="40"/>
  <c r="P107" i="40" s="1"/>
  <c r="G285" i="38" s="1"/>
  <c r="O127" i="40"/>
  <c r="P127" i="40" s="1"/>
  <c r="G351" i="38" s="1"/>
  <c r="O96" i="40"/>
  <c r="P96" i="40" s="1"/>
  <c r="G234" i="38" s="1"/>
  <c r="O159" i="40"/>
  <c r="P159" i="40" s="1"/>
  <c r="G451" i="38" s="1"/>
  <c r="O116" i="40"/>
  <c r="P116" i="40" s="1"/>
  <c r="G311" i="38" s="1"/>
  <c r="O142" i="40"/>
  <c r="P142" i="40" s="1"/>
  <c r="G396" i="38" s="1"/>
  <c r="O152" i="40"/>
  <c r="P152" i="40" s="1"/>
  <c r="G439" i="38" s="1"/>
  <c r="O154" i="40"/>
  <c r="P154" i="40" s="1"/>
  <c r="G441" i="38" s="1"/>
  <c r="O186" i="40"/>
  <c r="P186" i="40" s="1"/>
  <c r="G509" i="38" s="1"/>
  <c r="O195" i="40"/>
  <c r="P195" i="40" s="1"/>
  <c r="G413" i="38" s="1"/>
  <c r="O149" i="40"/>
  <c r="P149" i="40" s="1"/>
  <c r="G410" i="38" s="1"/>
  <c r="O83" i="40"/>
  <c r="P83" i="40" s="1"/>
  <c r="G221" i="38" s="1"/>
  <c r="O56" i="40"/>
  <c r="P56" i="40" s="1"/>
  <c r="G149" i="38" s="1"/>
  <c r="O75" i="40"/>
  <c r="P75" i="40" s="1"/>
  <c r="G183" i="38" s="1"/>
  <c r="O139" i="40"/>
  <c r="P139" i="40" s="1"/>
  <c r="G388" i="38" s="1"/>
  <c r="O137" i="40"/>
  <c r="P137" i="40" s="1"/>
  <c r="G386" i="38" s="1"/>
  <c r="O145" i="40"/>
  <c r="P145" i="40" s="1"/>
  <c r="G406" i="38" s="1"/>
  <c r="O89" i="40"/>
  <c r="P89" i="40" s="1"/>
  <c r="G227" i="38" s="1"/>
  <c r="O93" i="40"/>
  <c r="P93" i="40" s="1"/>
  <c r="G231" i="38" s="1"/>
  <c r="O24" i="40"/>
  <c r="P24" i="40" s="1"/>
  <c r="G39" i="38" s="1"/>
  <c r="O28" i="40"/>
  <c r="P28" i="40" s="1"/>
  <c r="G56" i="38" s="1"/>
  <c r="O66" i="40"/>
  <c r="P66" i="40" s="1"/>
  <c r="G159" i="38" s="1"/>
  <c r="O60" i="40"/>
  <c r="P60" i="40" s="1"/>
  <c r="G153" i="38" s="1"/>
  <c r="O70" i="40"/>
  <c r="P70" i="40" s="1"/>
  <c r="G163" i="38" s="1"/>
  <c r="O79" i="40"/>
  <c r="P79" i="40" s="1"/>
  <c r="G207" i="38" s="1"/>
  <c r="O63" i="40"/>
  <c r="P63" i="40" s="1"/>
  <c r="G156" i="38" s="1"/>
  <c r="O80" i="40"/>
  <c r="P80" i="40" s="1"/>
  <c r="G213" i="38" s="1"/>
  <c r="O112" i="40"/>
  <c r="P112" i="40" s="1"/>
  <c r="G307" i="38" s="1"/>
  <c r="O85" i="40"/>
  <c r="P85" i="40" s="1"/>
  <c r="G223" i="38" s="1"/>
  <c r="O106" i="40"/>
  <c r="P106" i="40" s="1"/>
  <c r="G279" i="38" s="1"/>
  <c r="O111" i="40"/>
  <c r="P111" i="40" s="1"/>
  <c r="G306" i="38" s="1"/>
  <c r="O124" i="40"/>
  <c r="P124" i="40" s="1"/>
  <c r="G333" i="38" s="1"/>
  <c r="O121" i="40"/>
  <c r="P121" i="40" s="1"/>
  <c r="G315" i="38" s="1"/>
  <c r="O179" i="40"/>
  <c r="P179" i="40" s="1"/>
  <c r="G480" i="38" s="1"/>
  <c r="O197" i="40"/>
  <c r="P197" i="40" s="1"/>
  <c r="G524" i="38" s="1"/>
  <c r="O176" i="40"/>
  <c r="P176" i="40" s="1"/>
  <c r="G469" i="38" s="1"/>
  <c r="O183" i="40"/>
  <c r="P183" i="40" s="1"/>
  <c r="G495" i="38" s="1"/>
  <c r="O182" i="40"/>
  <c r="P182" i="40" s="1"/>
  <c r="G494" i="38" s="1"/>
  <c r="O147" i="40"/>
  <c r="P147" i="40" s="1"/>
  <c r="G408" i="38" s="1"/>
  <c r="O166" i="40"/>
  <c r="P166" i="40" s="1"/>
  <c r="G447" i="38" s="1"/>
  <c r="O168" i="40"/>
  <c r="P168" i="40" s="1"/>
  <c r="G449" i="38" s="1"/>
  <c r="P200" i="40"/>
  <c r="G105" i="38" s="1"/>
  <c r="O27" i="40"/>
  <c r="P27" i="40" s="1"/>
  <c r="G50" i="38" s="1"/>
  <c r="O47" i="40"/>
  <c r="P47" i="40" s="1"/>
  <c r="G127" i="38" s="1"/>
  <c r="O62" i="40"/>
  <c r="P62" i="40" s="1"/>
  <c r="G155" i="38" s="1"/>
  <c r="O88" i="40"/>
  <c r="P88" i="40" s="1"/>
  <c r="G226" i="38" s="1"/>
  <c r="O174" i="40"/>
  <c r="P174" i="40" s="1"/>
  <c r="G460" i="38" s="1"/>
  <c r="O178" i="40"/>
  <c r="P178" i="40" s="1"/>
  <c r="G477" i="38" s="1"/>
  <c r="O68" i="40"/>
  <c r="P68" i="40" s="1"/>
  <c r="G161" i="38" s="1"/>
  <c r="O170" i="40"/>
  <c r="P170" i="40" s="1"/>
  <c r="G457" i="38" s="1"/>
  <c r="O30" i="40"/>
  <c r="P30" i="40" s="1"/>
  <c r="G68" i="38" s="1"/>
  <c r="O35" i="40"/>
  <c r="P35" i="40" s="1"/>
  <c r="G98" i="38" s="1"/>
  <c r="O61" i="40"/>
  <c r="P61" i="40" s="1"/>
  <c r="G154" i="38" s="1"/>
  <c r="O100" i="40"/>
  <c r="P100" i="40" s="1"/>
  <c r="G243" i="38" s="1"/>
  <c r="O102" i="40"/>
  <c r="P102" i="40" s="1"/>
  <c r="G255" i="38" s="1"/>
  <c r="O87" i="40"/>
  <c r="P87" i="40" s="1"/>
  <c r="G225" i="38" s="1"/>
  <c r="O132" i="40"/>
  <c r="P132" i="40" s="1"/>
  <c r="G381" i="38" s="1"/>
  <c r="O58" i="40"/>
  <c r="P58" i="40" s="1"/>
  <c r="G151" i="38" s="1"/>
  <c r="O104" i="40"/>
  <c r="P104" i="40" s="1"/>
  <c r="G267" i="38" s="1"/>
  <c r="O129" i="40"/>
  <c r="P129" i="40" s="1"/>
  <c r="G363" i="38" s="1"/>
  <c r="O161" i="40"/>
  <c r="P161" i="40" s="1"/>
  <c r="G453" i="38" s="1"/>
  <c r="O187" i="40"/>
  <c r="P187" i="40" s="1"/>
  <c r="G510" i="38" s="1"/>
  <c r="O204" i="40"/>
  <c r="P204" i="40" s="1"/>
  <c r="G136" i="38" s="1"/>
  <c r="O163" i="40"/>
  <c r="P163" i="40" s="1"/>
  <c r="G455" i="38" s="1"/>
  <c r="O143" i="40"/>
  <c r="P143" i="40" s="1"/>
  <c r="G402" i="38" s="1"/>
  <c r="O165" i="40"/>
  <c r="P165" i="40" s="1"/>
  <c r="G446" i="38" s="1"/>
  <c r="O167" i="40"/>
  <c r="P167" i="40" s="1"/>
  <c r="G448" i="38" s="1"/>
  <c r="O194" i="40"/>
  <c r="P194" i="40" s="1"/>
  <c r="G412" i="38" s="1"/>
  <c r="O78" i="40"/>
  <c r="P78" i="40" s="1"/>
  <c r="G201" i="38" s="1"/>
  <c r="O101" i="40"/>
  <c r="P101" i="40" s="1"/>
  <c r="G249" i="38" s="1"/>
  <c r="O103" i="40"/>
  <c r="P103" i="40" s="1"/>
  <c r="G261" i="38" s="1"/>
  <c r="O97" i="40"/>
  <c r="P97" i="40" s="1"/>
  <c r="G235" i="38" s="1"/>
  <c r="O105" i="40"/>
  <c r="P105" i="40" s="1"/>
  <c r="G273" i="38" s="1"/>
  <c r="O156" i="40"/>
  <c r="P156" i="40" s="1"/>
  <c r="G443" i="38" s="1"/>
  <c r="O64" i="40"/>
  <c r="P64" i="40" s="1"/>
  <c r="G157" i="38" s="1"/>
  <c r="O123" i="40"/>
  <c r="P123" i="40" s="1"/>
  <c r="G327" i="38" s="1"/>
  <c r="O133" i="40"/>
  <c r="P133" i="40" s="1"/>
  <c r="G382" i="38" s="1"/>
  <c r="O134" i="40"/>
  <c r="P134" i="40" s="1"/>
  <c r="G383" i="38" s="1"/>
  <c r="O110" i="40"/>
  <c r="P110" i="40" s="1"/>
  <c r="G305" i="38" s="1"/>
  <c r="O52" i="40"/>
  <c r="P52" i="40" s="1"/>
  <c r="G132" i="38" s="1"/>
  <c r="O38" i="40"/>
  <c r="P38" i="40" s="1"/>
  <c r="G118" i="38" s="1"/>
  <c r="O21" i="40"/>
  <c r="P21" i="40" s="1"/>
  <c r="G36" i="38" s="1"/>
  <c r="O146" i="40"/>
  <c r="P146" i="40" s="1"/>
  <c r="G407" i="38" s="1"/>
  <c r="O144" i="40"/>
  <c r="P144" i="40" s="1"/>
  <c r="G405" i="38" s="1"/>
  <c r="O22" i="40"/>
  <c r="P22" i="40" s="1"/>
  <c r="G37" i="38" s="1"/>
  <c r="O126" i="40"/>
  <c r="P126" i="40" s="1"/>
  <c r="G345" i="38" s="1"/>
  <c r="O180" i="40"/>
  <c r="P180" i="40" s="1"/>
  <c r="G485" i="38" s="1"/>
  <c r="O191" i="40"/>
  <c r="P191" i="40" s="1"/>
  <c r="G426" i="38" s="1"/>
  <c r="O51" i="40"/>
  <c r="P51" i="40" s="1"/>
  <c r="G131" i="38" s="1"/>
  <c r="O177" i="40"/>
  <c r="P177" i="40" s="1"/>
  <c r="G474" i="38" s="1"/>
  <c r="O19" i="40"/>
  <c r="P19" i="40" s="1"/>
  <c r="G33" i="38" s="1"/>
  <c r="O175" i="40"/>
  <c r="P175" i="40" s="1"/>
  <c r="G463" i="38" s="1"/>
  <c r="O23" i="40"/>
  <c r="P23" i="40" s="1"/>
  <c r="G38" i="38" s="1"/>
  <c r="O160" i="40"/>
  <c r="P160" i="40" s="1"/>
  <c r="G452" i="38" s="1"/>
  <c r="O148" i="40"/>
  <c r="P148" i="40" s="1"/>
  <c r="G409" i="38" s="1"/>
  <c r="O122" i="40"/>
  <c r="P122" i="40" s="1"/>
  <c r="G321" i="38" s="1"/>
  <c r="O69" i="40"/>
  <c r="P69" i="40" s="1"/>
  <c r="G162" i="38" s="1"/>
  <c r="O49" i="40"/>
  <c r="P49" i="40" s="1"/>
  <c r="G129" i="38" s="1"/>
  <c r="O39" i="40"/>
  <c r="P39" i="40" s="1"/>
  <c r="G119" i="38" s="1"/>
  <c r="O32" i="40"/>
  <c r="P32" i="40" s="1"/>
  <c r="G80" i="38" s="1"/>
  <c r="O41" i="40"/>
  <c r="P41" i="40" s="1"/>
  <c r="G121" i="38" s="1"/>
  <c r="O162" i="40"/>
  <c r="P162" i="40" s="1"/>
  <c r="G454" i="38" s="1"/>
  <c r="O153" i="40"/>
  <c r="P153" i="40" s="1"/>
  <c r="G440" i="38" s="1"/>
  <c r="O33" i="40"/>
  <c r="P33" i="40" s="1"/>
  <c r="G86" i="38" s="1"/>
  <c r="O188" i="40"/>
  <c r="P188" i="40" s="1"/>
  <c r="G511" i="38" s="1"/>
  <c r="O95" i="40"/>
  <c r="P95" i="40" s="1"/>
  <c r="G233" i="38" s="1"/>
  <c r="O40" i="40"/>
  <c r="P40" i="40" s="1"/>
  <c r="G120" i="38" s="1"/>
  <c r="O203" i="40"/>
  <c r="P203" i="40" s="1"/>
  <c r="G135" i="38" s="1"/>
  <c r="O72" i="40"/>
  <c r="P72" i="40" s="1"/>
  <c r="G165" i="38" s="1"/>
  <c r="O29" i="40"/>
  <c r="P29" i="40" s="1"/>
  <c r="G62" i="38" s="1"/>
  <c r="O42" i="40"/>
  <c r="P42" i="40" s="1"/>
  <c r="G122" i="38" s="1"/>
  <c r="O114" i="40"/>
  <c r="P114" i="40" s="1"/>
  <c r="G309" i="38" s="1"/>
  <c r="O118" i="40"/>
  <c r="P118" i="40" s="1"/>
  <c r="G313" i="38" s="1"/>
  <c r="O181" i="40"/>
  <c r="P181" i="40" s="1"/>
  <c r="G488" i="38" s="1"/>
  <c r="O155" i="40"/>
  <c r="P155" i="40" s="1"/>
  <c r="G442" i="38" s="1"/>
  <c r="O141" i="40"/>
  <c r="P141" i="40" s="1"/>
  <c r="G390" i="38" s="1"/>
  <c r="O45" i="40"/>
  <c r="P45" i="40" s="1"/>
  <c r="G125" i="38" s="1"/>
  <c r="O16" i="40"/>
  <c r="P16" i="40" s="1"/>
  <c r="G30" i="38" s="1"/>
  <c r="O185" i="40"/>
  <c r="P185" i="40" s="1"/>
  <c r="G502" i="38" s="1"/>
  <c r="O157" i="40"/>
  <c r="P157" i="40" s="1"/>
  <c r="G444" i="38" s="1"/>
  <c r="O43" i="40"/>
  <c r="P43" i="40" s="1"/>
  <c r="G123" i="38" s="1"/>
  <c r="O184" i="40"/>
  <c r="P184" i="40" s="1"/>
  <c r="G501" i="38" s="1"/>
  <c r="O74" i="40"/>
  <c r="P74" i="40" s="1"/>
  <c r="G177" i="38" s="1"/>
  <c r="O44" i="40"/>
  <c r="P44" i="40" s="1"/>
  <c r="G124" i="38" s="1"/>
  <c r="O171" i="40"/>
  <c r="P171" i="40" s="1"/>
  <c r="G458" i="38" s="1"/>
  <c r="O136" i="40"/>
  <c r="P136" i="40" s="1"/>
  <c r="G385" i="38" s="1"/>
  <c r="O77" i="40"/>
  <c r="P77" i="40" s="1"/>
  <c r="G195" i="38" s="1"/>
  <c r="O20" i="40"/>
  <c r="P20" i="40" s="1"/>
  <c r="G34" i="38" s="1"/>
  <c r="O48" i="40"/>
  <c r="P48" i="40" s="1"/>
  <c r="G128" i="38" s="1"/>
  <c r="O92" i="40"/>
  <c r="P92" i="40" s="1"/>
  <c r="G230" i="38" s="1"/>
  <c r="O50" i="40"/>
  <c r="P50" i="40" s="1"/>
  <c r="G130" i="38" s="1"/>
  <c r="O125" i="40"/>
  <c r="P125" i="40" s="1"/>
  <c r="G339" i="38" s="1"/>
  <c r="O115" i="40"/>
  <c r="P115" i="40" s="1"/>
  <c r="G310" i="38" s="1"/>
  <c r="O31" i="40"/>
  <c r="P31" i="40" s="1"/>
  <c r="G74" i="38" s="1"/>
  <c r="O18" i="40"/>
  <c r="P18" i="40" s="1"/>
  <c r="G32" i="38" s="1"/>
  <c r="D212" i="38" l="1"/>
  <c r="F212" i="38" s="1"/>
  <c r="D79" i="38"/>
  <c r="F78" i="38"/>
  <c r="D218" i="38"/>
  <c r="F218" i="38" s="1"/>
  <c r="D284" i="38"/>
  <c r="F284" i="38" s="1"/>
  <c r="F283" i="38"/>
  <c r="D507" i="38"/>
  <c r="F506" i="38"/>
  <c r="D61" i="38"/>
  <c r="D338" i="38"/>
  <c r="F338" i="38" s="1"/>
  <c r="F337" i="38"/>
  <c r="D395" i="38"/>
  <c r="D401" i="38"/>
  <c r="F401" i="38" s="1"/>
  <c r="F400" i="38"/>
  <c r="D206" i="38"/>
  <c r="F206" i="38" s="1"/>
  <c r="F205" i="38"/>
  <c r="D500" i="38"/>
  <c r="F500" i="38" s="1"/>
  <c r="F499" i="38"/>
  <c r="D91" i="38"/>
  <c r="F91" i="38" s="1"/>
  <c r="F90" i="38"/>
  <c r="D188" i="38"/>
  <c r="F187" i="38"/>
  <c r="D194" i="38"/>
  <c r="F194" i="38" s="1"/>
  <c r="F193" i="38"/>
  <c r="D103" i="38"/>
  <c r="F103" i="38" s="1"/>
  <c r="F102" i="38"/>
  <c r="D468" i="38"/>
  <c r="F468" i="38" s="1"/>
  <c r="D356" i="38"/>
  <c r="F356" i="38" s="1"/>
  <c r="F355" i="38"/>
  <c r="D326" i="38"/>
  <c r="F326" i="38" s="1"/>
  <c r="F325" i="38"/>
  <c r="D493" i="38"/>
  <c r="F493" i="38" s="1"/>
  <c r="D344" i="38"/>
  <c r="F344" i="38" s="1"/>
  <c r="F343" i="38"/>
  <c r="D290" i="38"/>
  <c r="F290" i="38" s="1"/>
  <c r="F289" i="38"/>
  <c r="D362" i="38"/>
  <c r="F362" i="38" s="1"/>
  <c r="F361" i="38"/>
  <c r="D516" i="38"/>
  <c r="F515" i="38"/>
  <c r="D278" i="38"/>
  <c r="F278" i="38" s="1"/>
  <c r="F277" i="38"/>
  <c r="D85" i="38"/>
  <c r="D97" i="38"/>
  <c r="F97" i="38" s="1"/>
  <c r="F96" i="38"/>
  <c r="D368" i="38"/>
  <c r="F368" i="38" s="1"/>
  <c r="F367" i="38"/>
  <c r="F9" i="39"/>
  <c r="G9" i="39" s="1"/>
  <c r="H390" i="38"/>
  <c r="G391" i="38"/>
  <c r="F131" i="39"/>
  <c r="G131" i="39" s="1"/>
  <c r="G87" i="38"/>
  <c r="H86" i="38"/>
  <c r="F25" i="39"/>
  <c r="G25" i="39" s="1"/>
  <c r="G81" i="38"/>
  <c r="H80" i="38"/>
  <c r="F24" i="39"/>
  <c r="G24" i="39" s="1"/>
  <c r="F144" i="39"/>
  <c r="G144" i="39" s="1"/>
  <c r="G328" i="38"/>
  <c r="F114" i="39"/>
  <c r="G114" i="39" s="1"/>
  <c r="F162" i="39"/>
  <c r="G162" i="39" s="1"/>
  <c r="H363" i="38"/>
  <c r="F120" i="39"/>
  <c r="G120" i="39" s="1"/>
  <c r="G364" i="38"/>
  <c r="H477" i="38"/>
  <c r="G478" i="38"/>
  <c r="F171" i="39"/>
  <c r="G171" i="39" s="1"/>
  <c r="G470" i="38"/>
  <c r="H469" i="38"/>
  <c r="F169" i="39"/>
  <c r="G169" i="39" s="1"/>
  <c r="H163" i="38"/>
  <c r="F63" i="39"/>
  <c r="G63" i="39" s="1"/>
  <c r="F127" i="39"/>
  <c r="G127" i="39" s="1"/>
  <c r="F148" i="39"/>
  <c r="G148" i="39" s="1"/>
  <c r="F75" i="39"/>
  <c r="G75" i="39" s="1"/>
  <c r="F50" i="39"/>
  <c r="G50" i="39" s="1"/>
  <c r="F107" i="39"/>
  <c r="G107" i="39" s="1"/>
  <c r="F42" i="39"/>
  <c r="G42" i="39" s="1"/>
  <c r="F165" i="39"/>
  <c r="G165" i="39" s="1"/>
  <c r="F37" i="39"/>
  <c r="G37" i="39" s="1"/>
  <c r="F39" i="39"/>
  <c r="G39" i="39" s="1"/>
  <c r="F110" i="39"/>
  <c r="G110" i="39" s="1"/>
  <c r="G166" i="38"/>
  <c r="F65" i="39"/>
  <c r="G65" i="39" s="1"/>
  <c r="H511" i="38"/>
  <c r="G512" i="38"/>
  <c r="F181" i="39"/>
  <c r="G181" i="39" s="1"/>
  <c r="F35" i="39"/>
  <c r="G35" i="39" s="1"/>
  <c r="H162" i="38"/>
  <c r="F62" i="39"/>
  <c r="G62" i="39" s="1"/>
  <c r="H38" i="38"/>
  <c r="F13" i="39"/>
  <c r="G13" i="39" s="1"/>
  <c r="F45" i="39"/>
  <c r="G45" i="39" s="1"/>
  <c r="F12" i="39"/>
  <c r="G12" i="39" s="1"/>
  <c r="H118" i="38"/>
  <c r="F32" i="39"/>
  <c r="G32" i="39" s="1"/>
  <c r="F123" i="39"/>
  <c r="G123" i="39" s="1"/>
  <c r="H273" i="38"/>
  <c r="G274" i="38"/>
  <c r="F98" i="39"/>
  <c r="G98" i="39" s="1"/>
  <c r="G202" i="38"/>
  <c r="F71" i="39"/>
  <c r="G71" i="39" s="1"/>
  <c r="H201" i="38"/>
  <c r="G403" i="38"/>
  <c r="F133" i="39"/>
  <c r="G133" i="39" s="1"/>
  <c r="F160" i="39"/>
  <c r="G160" i="39" s="1"/>
  <c r="F122" i="39"/>
  <c r="G122" i="39" s="1"/>
  <c r="F54" i="39"/>
  <c r="G54" i="39" s="1"/>
  <c r="H161" i="38"/>
  <c r="F61" i="39"/>
  <c r="G61" i="39" s="1"/>
  <c r="F55" i="39"/>
  <c r="G55" i="39" s="1"/>
  <c r="F156" i="39"/>
  <c r="G156" i="39" s="1"/>
  <c r="H495" i="38"/>
  <c r="G496" i="38"/>
  <c r="F176" i="39"/>
  <c r="G176" i="39" s="1"/>
  <c r="G316" i="38"/>
  <c r="F112" i="39"/>
  <c r="G112" i="39" s="1"/>
  <c r="F78" i="39"/>
  <c r="G78" i="39" s="1"/>
  <c r="G208" i="38"/>
  <c r="H207" i="38"/>
  <c r="F72" i="39"/>
  <c r="G72" i="39" s="1"/>
  <c r="G57" i="38"/>
  <c r="F20" i="39"/>
  <c r="G20" i="39" s="1"/>
  <c r="H406" i="38"/>
  <c r="F135" i="39"/>
  <c r="G135" i="39" s="1"/>
  <c r="F49" i="39"/>
  <c r="G49" i="39" s="1"/>
  <c r="H509" i="38"/>
  <c r="F179" i="39"/>
  <c r="G179" i="39" s="1"/>
  <c r="F108" i="39"/>
  <c r="G108" i="39" s="1"/>
  <c r="H285" i="38"/>
  <c r="G286" i="38"/>
  <c r="F100" i="39"/>
  <c r="G100" i="39" s="1"/>
  <c r="F125" i="39"/>
  <c r="G125" i="39" s="1"/>
  <c r="H160" i="38"/>
  <c r="F60" i="39"/>
  <c r="G60" i="39" s="1"/>
  <c r="G93" i="38"/>
  <c r="H92" i="38"/>
  <c r="F26" i="39"/>
  <c r="G26" i="39" s="1"/>
  <c r="H357" i="38"/>
  <c r="G358" i="38"/>
  <c r="F119" i="39"/>
  <c r="G119" i="39" s="1"/>
  <c r="H339" i="38"/>
  <c r="F116" i="39"/>
  <c r="G116" i="39" s="1"/>
  <c r="G340" i="38"/>
  <c r="F151" i="39"/>
  <c r="G151" i="39" s="1"/>
  <c r="F106" i="39"/>
  <c r="G106" i="39" s="1"/>
  <c r="H321" i="38"/>
  <c r="G322" i="38"/>
  <c r="F113" i="39"/>
  <c r="G113" i="39" s="1"/>
  <c r="F46" i="39"/>
  <c r="G46" i="39" s="1"/>
  <c r="F141" i="39"/>
  <c r="G141" i="39" s="1"/>
  <c r="G99" i="38"/>
  <c r="H98" i="38"/>
  <c r="F27" i="39"/>
  <c r="G27" i="39" s="1"/>
  <c r="F154" i="39"/>
  <c r="G154" i="39" s="1"/>
  <c r="F104" i="39"/>
  <c r="G104" i="39" s="1"/>
  <c r="F76" i="39"/>
  <c r="G76" i="39" s="1"/>
  <c r="F79" i="39"/>
  <c r="G79" i="39" s="1"/>
  <c r="F105" i="39"/>
  <c r="G105" i="39" s="1"/>
  <c r="F7" i="39"/>
  <c r="G7" i="39" s="1"/>
  <c r="F44" i="39"/>
  <c r="G44" i="39" s="1"/>
  <c r="G196" i="38"/>
  <c r="H195" i="38"/>
  <c r="F70" i="39"/>
  <c r="G70" i="39" s="1"/>
  <c r="G178" i="38"/>
  <c r="F67" i="39"/>
  <c r="G67" i="39" s="1"/>
  <c r="G503" i="38"/>
  <c r="H502" i="38"/>
  <c r="F178" i="39"/>
  <c r="G178" i="39" s="1"/>
  <c r="F149" i="39"/>
  <c r="G149" i="39" s="1"/>
  <c r="F36" i="39"/>
  <c r="G36" i="39" s="1"/>
  <c r="F34" i="39"/>
  <c r="G34" i="39" s="1"/>
  <c r="F147" i="39"/>
  <c r="G147" i="39" s="1"/>
  <c r="F33" i="39"/>
  <c r="G33" i="39" s="1"/>
  <c r="H409" i="38"/>
  <c r="F138" i="39"/>
  <c r="G138" i="39" s="1"/>
  <c r="F8" i="39"/>
  <c r="G8" i="39" s="1"/>
  <c r="G486" i="38"/>
  <c r="F173" i="39"/>
  <c r="G173" i="39" s="1"/>
  <c r="H407" i="38"/>
  <c r="F136" i="39"/>
  <c r="G136" i="39" s="1"/>
  <c r="F102" i="39"/>
  <c r="G102" i="39" s="1"/>
  <c r="H157" i="38"/>
  <c r="F57" i="39"/>
  <c r="G57" i="39" s="1"/>
  <c r="H261" i="38"/>
  <c r="G262" i="38"/>
  <c r="F96" i="39"/>
  <c r="G96" i="39" s="1"/>
  <c r="F155" i="39"/>
  <c r="G155" i="39" s="1"/>
  <c r="F30" i="39"/>
  <c r="G30" i="39" s="1"/>
  <c r="G268" i="38"/>
  <c r="F97" i="39"/>
  <c r="G97" i="39" s="1"/>
  <c r="H255" i="38"/>
  <c r="G256" i="38"/>
  <c r="F95" i="39"/>
  <c r="G95" i="39" s="1"/>
  <c r="G69" i="38"/>
  <c r="F22" i="39"/>
  <c r="G22" i="39" s="1"/>
  <c r="G461" i="38"/>
  <c r="H460" i="38"/>
  <c r="F167" i="39"/>
  <c r="G167" i="39" s="1"/>
  <c r="G51" i="38"/>
  <c r="F19" i="39"/>
  <c r="G19" i="39" s="1"/>
  <c r="H408" i="38"/>
  <c r="F137" i="39"/>
  <c r="G137" i="39" s="1"/>
  <c r="F183" i="39"/>
  <c r="G183" i="39" s="1"/>
  <c r="F103" i="39"/>
  <c r="G103" i="39" s="1"/>
  <c r="G214" i="38"/>
  <c r="F73" i="39"/>
  <c r="G73" i="39" s="1"/>
  <c r="F53" i="39"/>
  <c r="G53" i="39" s="1"/>
  <c r="H231" i="38"/>
  <c r="F86" i="39"/>
  <c r="G86" i="39" s="1"/>
  <c r="F129" i="39"/>
  <c r="G129" i="39" s="1"/>
  <c r="H410" i="38"/>
  <c r="F139" i="39"/>
  <c r="G139" i="39" s="1"/>
  <c r="F146" i="39"/>
  <c r="G146" i="39" s="1"/>
  <c r="H234" i="38"/>
  <c r="F89" i="39"/>
  <c r="G89" i="39" s="1"/>
  <c r="F77" i="39"/>
  <c r="G77" i="39" s="1"/>
  <c r="G238" i="38"/>
  <c r="F92" i="39"/>
  <c r="G92" i="39" s="1"/>
  <c r="G172" i="38"/>
  <c r="F66" i="39"/>
  <c r="G66" i="39" s="1"/>
  <c r="F109" i="39"/>
  <c r="G109" i="39" s="1"/>
  <c r="F17" i="39"/>
  <c r="G17" i="39" s="1"/>
  <c r="F38" i="39"/>
  <c r="G38" i="39" s="1"/>
  <c r="H135" i="38"/>
  <c r="F29" i="39"/>
  <c r="G29" i="39" s="1"/>
  <c r="H463" i="38"/>
  <c r="G464" i="38"/>
  <c r="F168" i="39"/>
  <c r="G168" i="39" s="1"/>
  <c r="H405" i="38"/>
  <c r="F134" i="39"/>
  <c r="G134" i="39" s="1"/>
  <c r="H235" i="38"/>
  <c r="F90" i="39"/>
  <c r="G90" i="39" s="1"/>
  <c r="F80" i="39"/>
  <c r="G80" i="39" s="1"/>
  <c r="F41" i="39"/>
  <c r="G41" i="39" s="1"/>
  <c r="H333" i="38"/>
  <c r="G334" i="38"/>
  <c r="F115" i="39"/>
  <c r="G115" i="39" s="1"/>
  <c r="H39" i="38"/>
  <c r="F14" i="39"/>
  <c r="G14" i="39" s="1"/>
  <c r="F158" i="39"/>
  <c r="G158" i="39" s="1"/>
  <c r="G190" i="38"/>
  <c r="F69" i="39"/>
  <c r="G69" i="39" s="1"/>
  <c r="G75" i="38"/>
  <c r="F23" i="39"/>
  <c r="G23" i="39" s="1"/>
  <c r="H230" i="38"/>
  <c r="F85" i="39"/>
  <c r="G85" i="39" s="1"/>
  <c r="F126" i="39"/>
  <c r="G126" i="39" s="1"/>
  <c r="H501" i="38"/>
  <c r="F177" i="39"/>
  <c r="G177" i="39" s="1"/>
  <c r="F6" i="39"/>
  <c r="G6" i="39" s="1"/>
  <c r="G489" i="38"/>
  <c r="F174" i="39"/>
  <c r="G174" i="39" s="1"/>
  <c r="H488" i="38"/>
  <c r="G63" i="38"/>
  <c r="F21" i="39"/>
  <c r="G21" i="39" s="1"/>
  <c r="F88" i="39"/>
  <c r="G88" i="39" s="1"/>
  <c r="F161" i="39"/>
  <c r="G161" i="39" s="1"/>
  <c r="F43" i="39"/>
  <c r="G43" i="39" s="1"/>
  <c r="F159" i="39"/>
  <c r="G159" i="39" s="1"/>
  <c r="H474" i="38"/>
  <c r="G475" i="38"/>
  <c r="F170" i="39"/>
  <c r="G170" i="39" s="1"/>
  <c r="H345" i="38"/>
  <c r="G346" i="38"/>
  <c r="F117" i="39"/>
  <c r="G117" i="39" s="1"/>
  <c r="H36" i="38"/>
  <c r="F11" i="39"/>
  <c r="G11" i="39" s="1"/>
  <c r="F124" i="39"/>
  <c r="G124" i="39" s="1"/>
  <c r="F150" i="39"/>
  <c r="G150" i="39" s="1"/>
  <c r="G250" i="38"/>
  <c r="F94" i="39"/>
  <c r="G94" i="39" s="1"/>
  <c r="F153" i="39"/>
  <c r="G153" i="39" s="1"/>
  <c r="H510" i="38"/>
  <c r="F180" i="39"/>
  <c r="G180" i="39" s="1"/>
  <c r="F51" i="39"/>
  <c r="G51" i="39" s="1"/>
  <c r="G244" i="38"/>
  <c r="H243" i="38"/>
  <c r="F93" i="39"/>
  <c r="G93" i="39" s="1"/>
  <c r="F164" i="39"/>
  <c r="G164" i="39" s="1"/>
  <c r="F81" i="39"/>
  <c r="G81" i="39" s="1"/>
  <c r="H105" i="38"/>
  <c r="F16" i="39"/>
  <c r="G16" i="39" s="1"/>
  <c r="H494" i="38"/>
  <c r="F175" i="39"/>
  <c r="G175" i="39" s="1"/>
  <c r="H480" i="38"/>
  <c r="F172" i="39"/>
  <c r="G172" i="39" s="1"/>
  <c r="G481" i="38"/>
  <c r="H279" i="38"/>
  <c r="G280" i="38"/>
  <c r="F99" i="39"/>
  <c r="G99" i="39" s="1"/>
  <c r="F56" i="39"/>
  <c r="G56" i="39" s="1"/>
  <c r="H159" i="38"/>
  <c r="F59" i="39"/>
  <c r="G59" i="39" s="1"/>
  <c r="F82" i="39"/>
  <c r="G82" i="39" s="1"/>
  <c r="G184" i="38"/>
  <c r="F68" i="39"/>
  <c r="G68" i="39" s="1"/>
  <c r="H183" i="38"/>
  <c r="F142" i="39"/>
  <c r="G142" i="39" s="1"/>
  <c r="G397" i="38"/>
  <c r="H396" i="38"/>
  <c r="F132" i="39"/>
  <c r="G132" i="39" s="1"/>
  <c r="H351" i="38"/>
  <c r="F118" i="39"/>
  <c r="G118" i="39" s="1"/>
  <c r="G352" i="38"/>
  <c r="F47" i="39"/>
  <c r="G47" i="39" s="1"/>
  <c r="H232" i="38"/>
  <c r="F87" i="39"/>
  <c r="G87" i="39" s="1"/>
  <c r="H228" i="38"/>
  <c r="F83" i="39"/>
  <c r="G83" i="39" s="1"/>
  <c r="F52" i="39"/>
  <c r="G52" i="39" s="1"/>
  <c r="D517" i="38" l="1"/>
  <c r="F516" i="38"/>
  <c r="D508" i="38"/>
  <c r="F508" i="38" s="1"/>
  <c r="F507" i="38"/>
  <c r="G185" i="38"/>
  <c r="G251" i="38"/>
  <c r="G347" i="38"/>
  <c r="G191" i="38"/>
  <c r="H352" i="38"/>
  <c r="G353" i="38"/>
  <c r="H481" i="38"/>
  <c r="G482" i="38"/>
  <c r="G398" i="38"/>
  <c r="H397" i="38"/>
  <c r="G245" i="38"/>
  <c r="G476" i="38"/>
  <c r="G64" i="38"/>
  <c r="H503" i="38"/>
  <c r="G504" i="38"/>
  <c r="G100" i="38"/>
  <c r="H99" i="38"/>
  <c r="H340" i="38"/>
  <c r="G341" i="38"/>
  <c r="H358" i="38"/>
  <c r="G359" i="38"/>
  <c r="H93" i="38"/>
  <c r="G94" i="38"/>
  <c r="G497" i="38"/>
  <c r="H496" i="38"/>
  <c r="G404" i="38"/>
  <c r="H391" i="38"/>
  <c r="G392" i="38"/>
  <c r="H208" i="38"/>
  <c r="G209" i="38"/>
  <c r="G479" i="38"/>
  <c r="G76" i="38"/>
  <c r="H464" i="38"/>
  <c r="G465" i="38"/>
  <c r="H172" i="38"/>
  <c r="G173" i="38"/>
  <c r="H214" i="38"/>
  <c r="G215" i="38"/>
  <c r="H461" i="38"/>
  <c r="G462" i="38"/>
  <c r="G197" i="38"/>
  <c r="H322" i="38"/>
  <c r="G323" i="38"/>
  <c r="H286" i="38"/>
  <c r="G287" i="38"/>
  <c r="G58" i="38"/>
  <c r="G317" i="38"/>
  <c r="G513" i="38"/>
  <c r="H512" i="38"/>
  <c r="G167" i="38"/>
  <c r="G329" i="38"/>
  <c r="H328" i="38"/>
  <c r="H87" i="38"/>
  <c r="G88" i="38"/>
  <c r="H280" i="38"/>
  <c r="G281" i="38"/>
  <c r="G239" i="38"/>
  <c r="G70" i="38"/>
  <c r="G263" i="38"/>
  <c r="H274" i="38"/>
  <c r="G275" i="38"/>
  <c r="G490" i="38"/>
  <c r="H489" i="38"/>
  <c r="G335" i="38"/>
  <c r="H334" i="38"/>
  <c r="G52" i="38"/>
  <c r="G257" i="38"/>
  <c r="G269" i="38"/>
  <c r="G487" i="38"/>
  <c r="H486" i="38"/>
  <c r="G179" i="38"/>
  <c r="H202" i="38"/>
  <c r="G203" i="38"/>
  <c r="G471" i="38"/>
  <c r="H470" i="38"/>
  <c r="H364" i="38"/>
  <c r="G365" i="38"/>
  <c r="H81" i="38"/>
  <c r="G82" i="38"/>
  <c r="D518" i="38" l="1"/>
  <c r="F517" i="38"/>
  <c r="G514" i="38"/>
  <c r="H513" i="38"/>
  <c r="G204" i="38"/>
  <c r="H203" i="38"/>
  <c r="G180" i="38"/>
  <c r="G53" i="38"/>
  <c r="G198" i="38"/>
  <c r="H479" i="38"/>
  <c r="H94" i="38"/>
  <c r="G95" i="38"/>
  <c r="G505" i="38"/>
  <c r="H504" i="38"/>
  <c r="H476" i="38"/>
  <c r="H82" i="38"/>
  <c r="G83" i="38"/>
  <c r="H365" i="38"/>
  <c r="G366" i="38"/>
  <c r="G472" i="38"/>
  <c r="G258" i="38"/>
  <c r="H275" i="38"/>
  <c r="G276" i="38"/>
  <c r="G264" i="38"/>
  <c r="H281" i="38"/>
  <c r="G282" i="38"/>
  <c r="G318" i="38"/>
  <c r="H323" i="38"/>
  <c r="G324" i="38"/>
  <c r="G174" i="38"/>
  <c r="H465" i="38"/>
  <c r="G466" i="38"/>
  <c r="G77" i="38"/>
  <c r="G498" i="38"/>
  <c r="H497" i="38"/>
  <c r="H353" i="38"/>
  <c r="G354" i="38"/>
  <c r="G252" i="38"/>
  <c r="G168" i="38"/>
  <c r="H287" i="38"/>
  <c r="G288" i="38"/>
  <c r="G216" i="38"/>
  <c r="G210" i="38"/>
  <c r="H209" i="38"/>
  <c r="G393" i="38"/>
  <c r="H404" i="38"/>
  <c r="H341" i="38"/>
  <c r="G342" i="38"/>
  <c r="G101" i="38"/>
  <c r="G399" i="38"/>
  <c r="H398" i="38"/>
  <c r="H482" i="38"/>
  <c r="G483" i="38"/>
  <c r="H347" i="38"/>
  <c r="G348" i="38"/>
  <c r="G270" i="38"/>
  <c r="G491" i="38"/>
  <c r="H490" i="38"/>
  <c r="G240" i="38"/>
  <c r="G89" i="38"/>
  <c r="H88" i="38"/>
  <c r="H359" i="38"/>
  <c r="G360" i="38"/>
  <c r="G246" i="38"/>
  <c r="G192" i="38"/>
  <c r="H487" i="38"/>
  <c r="G336" i="38"/>
  <c r="G71" i="38"/>
  <c r="G330" i="38"/>
  <c r="G59" i="38"/>
  <c r="G65" i="38"/>
  <c r="G186" i="38"/>
  <c r="D519" i="38" l="1"/>
  <c r="F518" i="38"/>
  <c r="G60" i="38"/>
  <c r="G499" i="38"/>
  <c r="H498" i="38"/>
  <c r="H89" i="38"/>
  <c r="G90" i="38"/>
  <c r="G72" i="38"/>
  <c r="H192" i="38"/>
  <c r="G193" i="38"/>
  <c r="H360" i="38"/>
  <c r="G361" i="38"/>
  <c r="G271" i="38"/>
  <c r="G211" i="38"/>
  <c r="H252" i="38"/>
  <c r="G253" i="38"/>
  <c r="G319" i="38"/>
  <c r="G473" i="38"/>
  <c r="H472" i="38"/>
  <c r="H330" i="38"/>
  <c r="G331" i="38"/>
  <c r="G492" i="38"/>
  <c r="H491" i="38"/>
  <c r="G349" i="38"/>
  <c r="H348" i="38"/>
  <c r="H483" i="38"/>
  <c r="G484" i="38"/>
  <c r="H399" i="38"/>
  <c r="G400" i="38"/>
  <c r="H101" i="38"/>
  <c r="G102" i="38"/>
  <c r="G394" i="38"/>
  <c r="H288" i="38"/>
  <c r="G289" i="38"/>
  <c r="G169" i="38"/>
  <c r="G78" i="38"/>
  <c r="H324" i="38"/>
  <c r="G325" i="38"/>
  <c r="H276" i="38"/>
  <c r="G277" i="38"/>
  <c r="G259" i="38"/>
  <c r="G84" i="38"/>
  <c r="G96" i="38"/>
  <c r="G181" i="38"/>
  <c r="G241" i="38"/>
  <c r="H366" i="38"/>
  <c r="G367" i="38"/>
  <c r="G66" i="38"/>
  <c r="G337" i="38"/>
  <c r="G247" i="38"/>
  <c r="H246" i="38"/>
  <c r="G343" i="38"/>
  <c r="H216" i="38"/>
  <c r="G217" i="38"/>
  <c r="G467" i="38"/>
  <c r="H466" i="38"/>
  <c r="H174" i="38"/>
  <c r="G175" i="38"/>
  <c r="H282" i="38"/>
  <c r="G283" i="38"/>
  <c r="G265" i="38"/>
  <c r="G506" i="38"/>
  <c r="H505" i="38"/>
  <c r="G199" i="38"/>
  <c r="G515" i="38"/>
  <c r="H514" i="38"/>
  <c r="H354" i="38"/>
  <c r="G355" i="38"/>
  <c r="G54" i="38"/>
  <c r="G187" i="38"/>
  <c r="H204" i="38"/>
  <c r="G205" i="38"/>
  <c r="D520" i="38" l="1"/>
  <c r="F519" i="38"/>
  <c r="H367" i="38"/>
  <c r="G368" i="38"/>
  <c r="G242" i="38"/>
  <c r="G103" i="38"/>
  <c r="H102" i="38"/>
  <c r="H400" i="38"/>
  <c r="G401" i="38"/>
  <c r="H331" i="38"/>
  <c r="G332" i="38"/>
  <c r="H473" i="38"/>
  <c r="G272" i="38"/>
  <c r="H271" i="38"/>
  <c r="H72" i="38"/>
  <c r="G73" i="38"/>
  <c r="G55" i="38"/>
  <c r="G507" i="38"/>
  <c r="H506" i="38"/>
  <c r="G468" i="38"/>
  <c r="H343" i="38"/>
  <c r="G344" i="38"/>
  <c r="G85" i="38"/>
  <c r="H78" i="38"/>
  <c r="G79" i="38"/>
  <c r="G170" i="38"/>
  <c r="H253" i="38"/>
  <c r="G254" i="38"/>
  <c r="G212" i="38"/>
  <c r="G194" i="38"/>
  <c r="H193" i="38"/>
  <c r="G61" i="38"/>
  <c r="G206" i="38"/>
  <c r="H205" i="38"/>
  <c r="G188" i="38"/>
  <c r="H187" i="38"/>
  <c r="G200" i="38"/>
  <c r="H283" i="38"/>
  <c r="G284" i="38"/>
  <c r="G67" i="38"/>
  <c r="H66" i="38"/>
  <c r="G97" i="38"/>
  <c r="H96" i="38"/>
  <c r="H277" i="38"/>
  <c r="G278" i="38"/>
  <c r="H325" i="38"/>
  <c r="G326" i="38"/>
  <c r="G493" i="38"/>
  <c r="H361" i="38"/>
  <c r="G362" i="38"/>
  <c r="G266" i="38"/>
  <c r="H265" i="38"/>
  <c r="G176" i="38"/>
  <c r="G248" i="38"/>
  <c r="H259" i="38"/>
  <c r="G260" i="38"/>
  <c r="H355" i="38"/>
  <c r="G356" i="38"/>
  <c r="G516" i="38"/>
  <c r="H515" i="38"/>
  <c r="G218" i="38"/>
  <c r="H337" i="38"/>
  <c r="G338" i="38"/>
  <c r="G182" i="38"/>
  <c r="H181" i="38"/>
  <c r="H289" i="38"/>
  <c r="G290" i="38"/>
  <c r="G395" i="38"/>
  <c r="H484" i="38"/>
  <c r="G350" i="38"/>
  <c r="G320" i="38"/>
  <c r="G91" i="38"/>
  <c r="H90" i="38"/>
  <c r="G500" i="38"/>
  <c r="H499" i="38"/>
  <c r="D521" i="38" l="1"/>
  <c r="F520" i="38"/>
  <c r="H338" i="38"/>
  <c r="H260" i="38"/>
  <c r="H362" i="38"/>
  <c r="H206" i="38"/>
  <c r="H278" i="38"/>
  <c r="H242" i="38"/>
  <c r="H320" i="38"/>
  <c r="H350" i="38"/>
  <c r="G517" i="38"/>
  <c r="H516" i="38"/>
  <c r="H254" i="38"/>
  <c r="H344" i="38"/>
  <c r="H468" i="38"/>
  <c r="H272" i="38"/>
  <c r="H332" i="38"/>
  <c r="H218" i="38"/>
  <c r="H248" i="38"/>
  <c r="H493" i="38"/>
  <c r="H91" i="38"/>
  <c r="H356" i="38"/>
  <c r="H97" i="38"/>
  <c r="H212" i="38"/>
  <c r="H500" i="38"/>
  <c r="H290" i="38"/>
  <c r="H266" i="38"/>
  <c r="H326" i="38"/>
  <c r="H284" i="38"/>
  <c r="H200" i="38"/>
  <c r="H194" i="38"/>
  <c r="G508" i="38"/>
  <c r="H507" i="38"/>
  <c r="H401" i="38"/>
  <c r="H103" i="38"/>
  <c r="H368" i="38"/>
  <c r="D522" i="38" l="1"/>
  <c r="F522" i="38" s="1"/>
  <c r="F521" i="38"/>
  <c r="H517" i="38"/>
  <c r="G518" i="38"/>
  <c r="H508" i="38"/>
  <c r="G519" i="38" l="1"/>
  <c r="H518" i="38"/>
  <c r="H519" i="38" l="1"/>
  <c r="G520" i="38"/>
  <c r="G521" i="38" l="1"/>
  <c r="H520" i="38"/>
  <c r="G522" i="38" l="1"/>
  <c r="H521" i="38"/>
  <c r="H522" i="38" l="1"/>
  <c r="I23" i="18" l="1"/>
  <c r="G16" i="16" l="1"/>
  <c r="G17" i="16"/>
  <c r="F131" i="13"/>
  <c r="F39" i="14" l="1"/>
  <c r="F40" i="14" s="1"/>
  <c r="C40" i="14"/>
  <c r="F117" i="13"/>
  <c r="F96" i="13"/>
  <c r="G35" i="16"/>
  <c r="F123" i="13"/>
  <c r="F46" i="14"/>
  <c r="C99" i="13"/>
  <c r="F116" i="13"/>
  <c r="F118" i="13" l="1"/>
  <c r="C43" i="14"/>
  <c r="J29" i="1" s="1"/>
  <c r="C118" i="13"/>
  <c r="H24" i="1" s="1"/>
  <c r="C31" i="16"/>
  <c r="G29" i="16"/>
  <c r="C18" i="16"/>
  <c r="H33" i="1" s="1"/>
  <c r="G15" i="16"/>
  <c r="G18" i="16" s="1"/>
  <c r="G21" i="16"/>
  <c r="C23" i="16"/>
  <c r="F42" i="13"/>
  <c r="F121" i="13"/>
  <c r="C124" i="13"/>
  <c r="F20" i="13"/>
  <c r="F130" i="13"/>
  <c r="F132" i="13" s="1"/>
  <c r="C132" i="13"/>
  <c r="G22" i="16"/>
  <c r="C102" i="13"/>
  <c r="F102" i="13" s="1"/>
  <c r="F101" i="13"/>
  <c r="F24" i="14"/>
  <c r="F19" i="2"/>
  <c r="G30" i="16"/>
  <c r="G34" i="16"/>
  <c r="G36" i="16" s="1"/>
  <c r="C36" i="16"/>
  <c r="F97" i="13"/>
  <c r="C98" i="13"/>
  <c r="F98" i="13" s="1"/>
  <c r="F89" i="13"/>
  <c r="C90" i="13"/>
  <c r="F90" i="13" s="1"/>
  <c r="C91" i="13"/>
  <c r="C94" i="13" s="1"/>
  <c r="C86" i="13"/>
  <c r="F86" i="13" s="1"/>
  <c r="F85" i="13"/>
  <c r="F16" i="13"/>
  <c r="F122" i="13"/>
  <c r="D141" i="13" s="1"/>
  <c r="F77" i="13"/>
  <c r="F45" i="13"/>
  <c r="F134" i="13"/>
  <c r="F49" i="14"/>
  <c r="D18" i="19" l="1"/>
  <c r="D143" i="13"/>
  <c r="F87" i="13"/>
  <c r="F91" i="13"/>
  <c r="G31" i="16"/>
  <c r="C69" i="14"/>
  <c r="F68" i="14"/>
  <c r="F69" i="14" s="1"/>
  <c r="C43" i="13"/>
  <c r="F41" i="13"/>
  <c r="F43" i="13" s="1"/>
  <c r="C63" i="14"/>
  <c r="F62" i="14"/>
  <c r="F63" i="14" s="1"/>
  <c r="F31" i="15"/>
  <c r="C33" i="15"/>
  <c r="J37" i="1" s="1"/>
  <c r="I18" i="2"/>
  <c r="C20" i="2"/>
  <c r="F18" i="2"/>
  <c r="F20" i="2" s="1"/>
  <c r="F73" i="13"/>
  <c r="F34" i="13"/>
  <c r="F54" i="13"/>
  <c r="G54" i="13" s="1"/>
  <c r="I41" i="18"/>
  <c r="F41" i="18"/>
  <c r="F35" i="13"/>
  <c r="I35" i="13"/>
  <c r="F45" i="14"/>
  <c r="F47" i="14" s="1"/>
  <c r="C47" i="14"/>
  <c r="G23" i="16"/>
  <c r="C18" i="14"/>
  <c r="F17" i="14"/>
  <c r="F18" i="14" s="1"/>
  <c r="H40" i="1"/>
  <c r="F14" i="18"/>
  <c r="F15" i="14"/>
  <c r="H28" i="1"/>
  <c r="C25" i="14"/>
  <c r="F23" i="14"/>
  <c r="F25" i="14" s="1"/>
  <c r="D142" i="13"/>
  <c r="F124" i="13"/>
  <c r="F37" i="14"/>
  <c r="H29" i="1"/>
  <c r="F74" i="13"/>
  <c r="I34" i="18"/>
  <c r="F34" i="18"/>
  <c r="I20" i="15"/>
  <c r="F20" i="15"/>
  <c r="F99" i="13"/>
  <c r="F15" i="2"/>
  <c r="I15" i="2"/>
  <c r="F103" i="13"/>
  <c r="F73" i="14"/>
  <c r="F27" i="14"/>
  <c r="D93" i="13" l="1"/>
  <c r="F93" i="13" s="1"/>
  <c r="F94" i="13" s="1"/>
  <c r="F105" i="13" s="1"/>
  <c r="D31" i="14"/>
  <c r="C68" i="13"/>
  <c r="F67" i="13"/>
  <c r="F68" i="13" s="1"/>
  <c r="H30" i="1"/>
  <c r="F60" i="14"/>
  <c r="H22" i="1"/>
  <c r="F31" i="13"/>
  <c r="C18" i="15"/>
  <c r="J36" i="1" s="1"/>
  <c r="F16" i="15"/>
  <c r="D36" i="18"/>
  <c r="G36" i="18" s="1"/>
  <c r="I36" i="18" s="1"/>
  <c r="F33" i="13"/>
  <c r="F53" i="13"/>
  <c r="C36" i="13"/>
  <c r="F16" i="18"/>
  <c r="I16" i="18"/>
  <c r="C19" i="18"/>
  <c r="J40" i="1" s="1"/>
  <c r="C75" i="13"/>
  <c r="G19" i="2"/>
  <c r="D60" i="13"/>
  <c r="F56" i="13"/>
  <c r="H23" i="1"/>
  <c r="F65" i="13"/>
  <c r="C17" i="13"/>
  <c r="H21" i="1" s="1"/>
  <c r="F15" i="13"/>
  <c r="F17" i="13" s="1"/>
  <c r="C21" i="13"/>
  <c r="F19" i="13"/>
  <c r="F21" i="13" s="1"/>
  <c r="C16" i="2"/>
  <c r="H17" i="1" s="1"/>
  <c r="I14" i="2"/>
  <c r="I16" i="2" s="1"/>
  <c r="F14" i="2"/>
  <c r="F16" i="2" s="1"/>
  <c r="F39" i="18"/>
  <c r="I39" i="18"/>
  <c r="E24" i="16"/>
  <c r="F75" i="13"/>
  <c r="J38" i="1" l="1"/>
  <c r="D24" i="19" s="1"/>
  <c r="H31" i="1"/>
  <c r="H18" i="1"/>
  <c r="D81" i="13"/>
  <c r="H25" i="1"/>
  <c r="G21" i="2"/>
  <c r="I19" i="2"/>
  <c r="I20" i="2" s="1"/>
  <c r="E12" i="30"/>
  <c r="F12" i="30" s="1"/>
  <c r="G53" i="13"/>
  <c r="F55" i="13"/>
  <c r="F57" i="13" s="1"/>
  <c r="L56" i="13" s="1"/>
  <c r="L39" i="15"/>
  <c r="D26" i="19"/>
  <c r="F36" i="13"/>
  <c r="D59" i="13"/>
  <c r="H44" i="1" l="1"/>
  <c r="H48" i="1" s="1"/>
  <c r="F33" i="38" l="1"/>
  <c r="H33" i="38"/>
  <c r="F59" i="38"/>
  <c r="H59" i="38"/>
  <c r="F73" i="38"/>
  <c r="H73" i="38"/>
  <c r="F124" i="38"/>
  <c r="H124" i="38"/>
  <c r="H168" i="38"/>
  <c r="F168" i="38"/>
  <c r="F184" i="38"/>
  <c r="H184" i="38"/>
  <c r="H211" i="38"/>
  <c r="F211" i="38"/>
  <c r="F233" i="38"/>
  <c r="H233" i="38"/>
  <c r="H256" i="38"/>
  <c r="F256" i="38"/>
  <c r="H307" i="38"/>
  <c r="F307" i="38"/>
  <c r="H327" i="38"/>
  <c r="F327" i="38"/>
  <c r="F382" i="38"/>
  <c r="H382" i="38"/>
  <c r="C427" i="38"/>
  <c r="F426" i="38"/>
  <c r="F427" i="38" s="1"/>
  <c r="O19" i="38" s="1"/>
  <c r="H426" i="38"/>
  <c r="H427" i="38" s="1"/>
  <c r="S19" i="38" s="1"/>
  <c r="F447" i="38"/>
  <c r="H447" i="38"/>
  <c r="F471" i="38"/>
  <c r="H471" i="38"/>
  <c r="F492" i="38"/>
  <c r="H492" i="38"/>
  <c r="F34" i="38"/>
  <c r="H34" i="38"/>
  <c r="F52" i="38"/>
  <c r="H52" i="38"/>
  <c r="F56" i="38"/>
  <c r="H56" i="38"/>
  <c r="H60" i="38"/>
  <c r="F60" i="38"/>
  <c r="F64" i="38"/>
  <c r="H64" i="38"/>
  <c r="F69" i="38"/>
  <c r="H69" i="38"/>
  <c r="H74" i="38"/>
  <c r="F74" i="38"/>
  <c r="H79" i="38"/>
  <c r="F79" i="38"/>
  <c r="F95" i="38"/>
  <c r="H95" i="38"/>
  <c r="F121" i="38"/>
  <c r="H121" i="38"/>
  <c r="F125" i="38"/>
  <c r="H125" i="38"/>
  <c r="H130" i="38"/>
  <c r="F130" i="38"/>
  <c r="F149" i="38"/>
  <c r="C291" i="38"/>
  <c r="H149" i="38"/>
  <c r="F153" i="38"/>
  <c r="H153" i="38"/>
  <c r="F165" i="38"/>
  <c r="H165" i="38"/>
  <c r="H169" i="38"/>
  <c r="F169" i="38"/>
  <c r="F175" i="38"/>
  <c r="H175" i="38"/>
  <c r="F179" i="38"/>
  <c r="H179" i="38"/>
  <c r="F185" i="38"/>
  <c r="H185" i="38"/>
  <c r="H190" i="38"/>
  <c r="F190" i="38"/>
  <c r="F198" i="38"/>
  <c r="H198" i="38"/>
  <c r="F213" i="38"/>
  <c r="H213" i="38"/>
  <c r="F221" i="38"/>
  <c r="H221" i="38"/>
  <c r="H225" i="38"/>
  <c r="F225" i="38"/>
  <c r="F237" i="38"/>
  <c r="H237" i="38"/>
  <c r="F241" i="38"/>
  <c r="H241" i="38"/>
  <c r="F249" i="38"/>
  <c r="H249" i="38"/>
  <c r="H257" i="38"/>
  <c r="F257" i="38"/>
  <c r="F264" i="38"/>
  <c r="H264" i="38"/>
  <c r="F270" i="38"/>
  <c r="H270" i="38"/>
  <c r="H308" i="38"/>
  <c r="F308" i="38"/>
  <c r="H312" i="38"/>
  <c r="F312" i="38"/>
  <c r="F317" i="38"/>
  <c r="H317" i="38"/>
  <c r="F329" i="38"/>
  <c r="H329" i="38"/>
  <c r="F346" i="38"/>
  <c r="H346" i="38"/>
  <c r="H383" i="38"/>
  <c r="F383" i="38"/>
  <c r="F388" i="38"/>
  <c r="H388" i="38"/>
  <c r="F395" i="38"/>
  <c r="H395" i="38"/>
  <c r="C525" i="38"/>
  <c r="H439" i="38"/>
  <c r="F439" i="38"/>
  <c r="H443" i="38"/>
  <c r="F443" i="38"/>
  <c r="H448" i="38"/>
  <c r="F448" i="38"/>
  <c r="F453" i="38"/>
  <c r="H453" i="38"/>
  <c r="F458" i="38"/>
  <c r="H458" i="38"/>
  <c r="F475" i="38"/>
  <c r="H475" i="38"/>
  <c r="H524" i="38"/>
  <c r="F524" i="38"/>
  <c r="F55" i="38"/>
  <c r="H55" i="38"/>
  <c r="F68" i="38"/>
  <c r="H68" i="38"/>
  <c r="H120" i="38"/>
  <c r="F120" i="38"/>
  <c r="H152" i="38"/>
  <c r="F152" i="38"/>
  <c r="F178" i="38"/>
  <c r="H178" i="38"/>
  <c r="F197" i="38"/>
  <c r="H197" i="38"/>
  <c r="F220" i="38"/>
  <c r="H220" i="38"/>
  <c r="H247" i="38"/>
  <c r="F247" i="38"/>
  <c r="H269" i="38"/>
  <c r="F269" i="38"/>
  <c r="F311" i="38"/>
  <c r="H311" i="38"/>
  <c r="H342" i="38"/>
  <c r="F342" i="38"/>
  <c r="F386" i="38"/>
  <c r="H386" i="38"/>
  <c r="H394" i="38"/>
  <c r="F394" i="38"/>
  <c r="H442" i="38"/>
  <c r="F442" i="38"/>
  <c r="F452" i="38"/>
  <c r="H452" i="38"/>
  <c r="H457" i="38"/>
  <c r="F457" i="38"/>
  <c r="F136" i="38"/>
  <c r="H136" i="38"/>
  <c r="F30" i="38"/>
  <c r="C40" i="38"/>
  <c r="H30" i="38"/>
  <c r="F37" i="38"/>
  <c r="H37" i="38"/>
  <c r="F53" i="38"/>
  <c r="H53" i="38"/>
  <c r="H57" i="38"/>
  <c r="F57" i="38"/>
  <c r="F61" i="38"/>
  <c r="H61" i="38"/>
  <c r="F65" i="38"/>
  <c r="H65" i="38"/>
  <c r="F70" i="38"/>
  <c r="H70" i="38"/>
  <c r="F75" i="38"/>
  <c r="H75" i="38"/>
  <c r="H83" i="38"/>
  <c r="F83" i="38"/>
  <c r="F100" i="38"/>
  <c r="H100" i="38"/>
  <c r="F122" i="38"/>
  <c r="H122" i="38"/>
  <c r="H127" i="38"/>
  <c r="F127" i="38"/>
  <c r="H131" i="38"/>
  <c r="F131" i="38"/>
  <c r="F150" i="38"/>
  <c r="H150" i="38"/>
  <c r="H154" i="38"/>
  <c r="F154" i="38"/>
  <c r="F166" i="38"/>
  <c r="H166" i="38"/>
  <c r="H170" i="38"/>
  <c r="F170" i="38"/>
  <c r="F176" i="38"/>
  <c r="H176" i="38"/>
  <c r="H180" i="38"/>
  <c r="F180" i="38"/>
  <c r="F186" i="38"/>
  <c r="H186" i="38"/>
  <c r="H191" i="38"/>
  <c r="F191" i="38"/>
  <c r="F199" i="38"/>
  <c r="H199" i="38"/>
  <c r="H215" i="38"/>
  <c r="F215" i="38"/>
  <c r="F222" i="38"/>
  <c r="H222" i="38"/>
  <c r="H226" i="38"/>
  <c r="F226" i="38"/>
  <c r="F238" i="38"/>
  <c r="H238" i="38"/>
  <c r="H244" i="38"/>
  <c r="F244" i="38"/>
  <c r="F250" i="38"/>
  <c r="H250" i="38"/>
  <c r="H258" i="38"/>
  <c r="F258" i="38"/>
  <c r="F267" i="38"/>
  <c r="H267" i="38"/>
  <c r="H305" i="38"/>
  <c r="C369" i="38"/>
  <c r="F305" i="38"/>
  <c r="F309" i="38"/>
  <c r="H309" i="38"/>
  <c r="H313" i="38"/>
  <c r="F313" i="38"/>
  <c r="F318" i="38"/>
  <c r="H318" i="38"/>
  <c r="H335" i="38"/>
  <c r="F335" i="38"/>
  <c r="F349" i="38"/>
  <c r="H349" i="38"/>
  <c r="H384" i="38"/>
  <c r="F384" i="38"/>
  <c r="F392" i="38"/>
  <c r="H392" i="38"/>
  <c r="H402" i="38"/>
  <c r="F402" i="38"/>
  <c r="F440" i="38"/>
  <c r="H440" i="38"/>
  <c r="H444" i="38"/>
  <c r="F444" i="38"/>
  <c r="F449" i="38"/>
  <c r="H449" i="38"/>
  <c r="H454" i="38"/>
  <c r="F454" i="38"/>
  <c r="F462" i="38"/>
  <c r="H462" i="38"/>
  <c r="H478" i="38"/>
  <c r="F478" i="38"/>
  <c r="F412" i="38"/>
  <c r="H412" i="38"/>
  <c r="H51" i="38"/>
  <c r="F51" i="38"/>
  <c r="F63" i="38"/>
  <c r="H63" i="38"/>
  <c r="H77" i="38"/>
  <c r="F77" i="38"/>
  <c r="F85" i="38"/>
  <c r="H85" i="38"/>
  <c r="F129" i="38"/>
  <c r="H129" i="38"/>
  <c r="F133" i="38"/>
  <c r="H133" i="38"/>
  <c r="F156" i="38"/>
  <c r="H156" i="38"/>
  <c r="F173" i="38"/>
  <c r="H173" i="38"/>
  <c r="F189" i="38"/>
  <c r="H189" i="38"/>
  <c r="H224" i="38"/>
  <c r="F224" i="38"/>
  <c r="H240" i="38"/>
  <c r="F240" i="38"/>
  <c r="H263" i="38"/>
  <c r="F263" i="38"/>
  <c r="H316" i="38"/>
  <c r="F316" i="38"/>
  <c r="H32" i="38"/>
  <c r="F32" i="38"/>
  <c r="F50" i="38"/>
  <c r="H50" i="38"/>
  <c r="C108" i="38"/>
  <c r="F54" i="38"/>
  <c r="H54" i="38"/>
  <c r="H58" i="38"/>
  <c r="F58" i="38"/>
  <c r="F62" i="38"/>
  <c r="H62" i="38"/>
  <c r="H67" i="38"/>
  <c r="F67" i="38"/>
  <c r="F71" i="38"/>
  <c r="H71" i="38"/>
  <c r="H76" i="38"/>
  <c r="F76" i="38"/>
  <c r="F84" i="38"/>
  <c r="H84" i="38"/>
  <c r="H119" i="38"/>
  <c r="F119" i="38"/>
  <c r="C138" i="38"/>
  <c r="F123" i="38"/>
  <c r="H123" i="38"/>
  <c r="H128" i="38"/>
  <c r="F128" i="38"/>
  <c r="F132" i="38"/>
  <c r="H132" i="38"/>
  <c r="H151" i="38"/>
  <c r="F151" i="38"/>
  <c r="F155" i="38"/>
  <c r="H155" i="38"/>
  <c r="H167" i="38"/>
  <c r="F167" i="38"/>
  <c r="F171" i="38"/>
  <c r="H171" i="38"/>
  <c r="H177" i="38"/>
  <c r="F177" i="38"/>
  <c r="F182" i="38"/>
  <c r="H182" i="38"/>
  <c r="H188" i="38"/>
  <c r="F188" i="38"/>
  <c r="F196" i="38"/>
  <c r="H196" i="38"/>
  <c r="H210" i="38"/>
  <c r="F210" i="38"/>
  <c r="F217" i="38"/>
  <c r="H217" i="38"/>
  <c r="H223" i="38"/>
  <c r="F223" i="38"/>
  <c r="F227" i="38"/>
  <c r="H227" i="38"/>
  <c r="H239" i="38"/>
  <c r="F239" i="38"/>
  <c r="F245" i="38"/>
  <c r="H245" i="38"/>
  <c r="H251" i="38"/>
  <c r="F251" i="38"/>
  <c r="F262" i="38"/>
  <c r="H262" i="38"/>
  <c r="H268" i="38"/>
  <c r="F268" i="38"/>
  <c r="F306" i="38"/>
  <c r="H306" i="38"/>
  <c r="H310" i="38"/>
  <c r="F310" i="38"/>
  <c r="F315" i="38"/>
  <c r="H315" i="38"/>
  <c r="H319" i="38"/>
  <c r="F319" i="38"/>
  <c r="F336" i="38"/>
  <c r="H336" i="38"/>
  <c r="F381" i="38"/>
  <c r="H381" i="38"/>
  <c r="C414" i="38"/>
  <c r="F385" i="38"/>
  <c r="H385" i="38"/>
  <c r="F393" i="38"/>
  <c r="H393" i="38"/>
  <c r="H403" i="38"/>
  <c r="F403" i="38"/>
  <c r="F441" i="38"/>
  <c r="H441" i="38"/>
  <c r="F446" i="38"/>
  <c r="H446" i="38"/>
  <c r="F451" i="38"/>
  <c r="H451" i="38"/>
  <c r="F455" i="38"/>
  <c r="H455" i="38"/>
  <c r="F467" i="38"/>
  <c r="H467" i="38"/>
  <c r="F485" i="38"/>
  <c r="H485" i="38"/>
  <c r="F413" i="38"/>
  <c r="H413" i="38"/>
  <c r="H106" i="38"/>
  <c r="F106" i="38"/>
  <c r="F138" i="38" l="1"/>
  <c r="O15" i="38" s="1"/>
  <c r="O21" i="38"/>
  <c r="N21" i="38" s="1"/>
  <c r="F40" i="38"/>
  <c r="O13" i="38" s="1"/>
  <c r="F414" i="38"/>
  <c r="O18" i="38" s="1"/>
  <c r="H138" i="38"/>
  <c r="S15" i="38" s="1"/>
  <c r="H108" i="38"/>
  <c r="S14" i="38" s="1"/>
  <c r="F369" i="38"/>
  <c r="O17" i="38" s="1"/>
  <c r="H525" i="38"/>
  <c r="S20" i="38" s="1"/>
  <c r="F108" i="38"/>
  <c r="O14" i="38" s="1"/>
  <c r="H40" i="38"/>
  <c r="S13" i="38" s="1"/>
  <c r="F291" i="38"/>
  <c r="O16" i="38" s="1"/>
  <c r="H291" i="38"/>
  <c r="S16" i="38" s="1"/>
  <c r="H414" i="38"/>
  <c r="S18" i="38" s="1"/>
  <c r="S21" i="38"/>
  <c r="R21" i="38" s="1"/>
  <c r="H369" i="38"/>
  <c r="S17" i="38" s="1"/>
  <c r="F525" i="38"/>
  <c r="O20" i="38" s="1"/>
  <c r="O22" i="38" l="1"/>
  <c r="S22" i="38"/>
  <c r="F125" i="13" l="1"/>
  <c r="F23" i="13"/>
  <c r="F126" i="13"/>
  <c r="F22" i="13" l="1"/>
  <c r="C25" i="13"/>
  <c r="J21" i="1" s="1"/>
  <c r="C128" i="13"/>
  <c r="J24" i="1" s="1"/>
  <c r="D11" i="19" l="1"/>
  <c r="C37" i="18" l="1"/>
  <c r="J46" i="1" s="1"/>
  <c r="I35" i="18"/>
  <c r="I37" i="18" s="1"/>
  <c r="F35" i="18"/>
  <c r="F37" i="18" s="1"/>
  <c r="F45" i="18" s="1"/>
  <c r="L46" i="1" s="1"/>
  <c r="C71" i="13"/>
  <c r="J23" i="1" s="1"/>
  <c r="F69" i="13"/>
  <c r="F64" i="14"/>
  <c r="C66" i="14"/>
  <c r="J30" i="1" s="1"/>
  <c r="G24" i="16"/>
  <c r="C26" i="16"/>
  <c r="J33" i="1" s="1"/>
  <c r="C21" i="14"/>
  <c r="J28" i="1" s="1"/>
  <c r="F19" i="14"/>
  <c r="F21" i="2"/>
  <c r="C23" i="2"/>
  <c r="J17" i="1" s="1"/>
  <c r="I21" i="2"/>
  <c r="I37" i="13"/>
  <c r="F37" i="13"/>
  <c r="C39" i="13"/>
  <c r="J22" i="1" s="1"/>
  <c r="D19" i="19" l="1"/>
  <c r="E32" i="19"/>
  <c r="D13" i="19"/>
  <c r="J31" i="1"/>
  <c r="D17" i="19"/>
  <c r="D20" i="19" s="1"/>
  <c r="D12" i="19"/>
  <c r="J25" i="1"/>
  <c r="J18" i="1"/>
  <c r="D8" i="19"/>
  <c r="D22" i="19"/>
  <c r="D32" i="19"/>
  <c r="D14" i="19" l="1"/>
  <c r="D30" i="19"/>
  <c r="D34" i="19" s="1"/>
  <c r="J44" i="1"/>
  <c r="J48" i="1" s="1"/>
  <c r="F48" i="18" l="1"/>
  <c r="J51" i="1" l="1"/>
  <c r="F18" i="18" l="1"/>
  <c r="F17" i="15"/>
  <c r="F19" i="18" l="1"/>
  <c r="F25" i="18" s="1"/>
  <c r="L40" i="1" s="1"/>
  <c r="E26" i="19" s="1"/>
  <c r="D18" i="18"/>
  <c r="D17" i="15"/>
  <c r="F18" i="15"/>
  <c r="F22" i="15" s="1"/>
  <c r="F32" i="15"/>
  <c r="L36" i="1" l="1"/>
  <c r="D32" i="15"/>
  <c r="F33" i="15"/>
  <c r="F37" i="15" s="1"/>
  <c r="L37" i="1" l="1"/>
  <c r="L38" i="1" s="1"/>
  <c r="E24" i="19" s="1"/>
  <c r="G25" i="16" l="1"/>
  <c r="F65" i="14"/>
  <c r="D65" i="14" l="1"/>
  <c r="F66" i="14"/>
  <c r="F75" i="14" s="1"/>
  <c r="E25" i="16"/>
  <c r="G26" i="16"/>
  <c r="G40" i="16" s="1"/>
  <c r="L30" i="1" l="1"/>
  <c r="E19" i="19" s="1"/>
  <c r="L33" i="1"/>
  <c r="E22" i="19" s="1"/>
  <c r="I22" i="19" l="1"/>
  <c r="K22" i="19"/>
  <c r="J42" i="16" s="1"/>
  <c r="F127" i="13" l="1"/>
  <c r="D127" i="13" l="1"/>
  <c r="F128" i="13"/>
  <c r="F136" i="13" s="1"/>
  <c r="F42" i="14"/>
  <c r="D42" i="14" l="1"/>
  <c r="F43" i="14"/>
  <c r="F51" i="14" s="1"/>
  <c r="L24" i="1"/>
  <c r="L29" i="1" l="1"/>
  <c r="E18" i="19" s="1"/>
  <c r="F106" i="13" l="1"/>
  <c r="F107" i="13" s="1"/>
  <c r="F38" i="13" l="1"/>
  <c r="F70" i="13"/>
  <c r="D70" i="13" l="1"/>
  <c r="F71" i="13"/>
  <c r="F79" i="13" s="1"/>
  <c r="L23" i="1" s="1"/>
  <c r="E13" i="19" s="1"/>
  <c r="D38" i="13"/>
  <c r="F39" i="13"/>
  <c r="F47" i="13" s="1"/>
  <c r="L22" i="1" l="1"/>
  <c r="E12" i="19" s="1"/>
  <c r="F24" i="13" l="1"/>
  <c r="F25" i="13" l="1"/>
  <c r="D27" i="13"/>
  <c r="D24" i="13"/>
  <c r="L21" i="1" l="1"/>
  <c r="E11" i="19" l="1"/>
  <c r="L25" i="1"/>
  <c r="E14" i="19" l="1"/>
  <c r="P22" i="38" l="1"/>
  <c r="P15" i="38" l="1"/>
  <c r="P14" i="38"/>
  <c r="P19" i="38"/>
  <c r="P16" i="38"/>
  <c r="P17" i="38"/>
  <c r="P13" i="38"/>
  <c r="P18" i="38"/>
  <c r="P20" i="38"/>
  <c r="F296" i="38" l="1"/>
  <c r="N16" i="38"/>
  <c r="N18" i="38"/>
  <c r="F419" i="38"/>
  <c r="N19" i="38"/>
  <c r="F432" i="38"/>
  <c r="N20" i="38"/>
  <c r="F530" i="38"/>
  <c r="F45" i="38"/>
  <c r="N13" i="38"/>
  <c r="F113" i="38"/>
  <c r="N14" i="38"/>
  <c r="F374" i="38"/>
  <c r="N17" i="38"/>
  <c r="F143" i="38"/>
  <c r="N15" i="38"/>
  <c r="D530" i="38" l="1"/>
  <c r="F531" i="38"/>
  <c r="F20" i="38" s="1"/>
  <c r="D419" i="38"/>
  <c r="F420" i="38"/>
  <c r="F18" i="38" s="1"/>
  <c r="D143" i="38"/>
  <c r="F144" i="38"/>
  <c r="F15" i="38" s="1"/>
  <c r="D113" i="38"/>
  <c r="F114" i="38"/>
  <c r="F14" i="38" s="1"/>
  <c r="N22" i="38"/>
  <c r="F433" i="38"/>
  <c r="F19" i="38" s="1"/>
  <c r="D432" i="38"/>
  <c r="D374" i="38"/>
  <c r="F375" i="38"/>
  <c r="F17" i="38" s="1"/>
  <c r="D45" i="38"/>
  <c r="F46" i="38"/>
  <c r="F13" i="38" s="1"/>
  <c r="D296" i="38"/>
  <c r="F297" i="38"/>
  <c r="F16" i="38" s="1"/>
  <c r="F22" i="38" l="1"/>
  <c r="L42" i="1" l="1"/>
  <c r="E28" i="19"/>
  <c r="F137" i="13" l="1"/>
  <c r="F138" i="13" s="1"/>
  <c r="F52" i="14"/>
  <c r="F53" i="14" s="1"/>
  <c r="F80" i="13"/>
  <c r="F81" i="13" s="1"/>
  <c r="F76" i="14"/>
  <c r="F77" i="14" s="1"/>
  <c r="F48" i="13"/>
  <c r="F49" i="13" s="1"/>
  <c r="F27" i="18"/>
  <c r="F28" i="18" s="1"/>
  <c r="F38" i="15"/>
  <c r="F39" i="15" s="1"/>
  <c r="G42" i="16"/>
  <c r="G43" i="16" s="1"/>
  <c r="F27" i="13" l="1"/>
  <c r="F28" i="13" s="1"/>
  <c r="F23" i="15" l="1"/>
  <c r="F22" i="2" l="1"/>
  <c r="D22" i="2" l="1"/>
  <c r="F23" i="2"/>
  <c r="L17" i="1" s="1"/>
  <c r="E8" i="19" l="1"/>
  <c r="L18" i="1"/>
  <c r="F25" i="2" l="1"/>
  <c r="F26" i="2" s="1"/>
  <c r="F20" i="14" l="1"/>
  <c r="F21" i="14" l="1"/>
  <c r="F29" i="14" s="1"/>
  <c r="L28" i="1" s="1"/>
  <c r="D20" i="14"/>
  <c r="L31" i="1" l="1"/>
  <c r="L44" i="1" s="1"/>
  <c r="L48" i="1" s="1"/>
  <c r="E17" i="19"/>
  <c r="E20" i="19" l="1"/>
  <c r="E30" i="19" s="1"/>
  <c r="E34" i="19" s="1"/>
  <c r="G17" i="19" s="1"/>
  <c r="F30" i="14"/>
  <c r="F31" i="14" s="1"/>
  <c r="G24" i="19" l="1"/>
  <c r="G19" i="19"/>
  <c r="G18" i="19"/>
  <c r="G13" i="19"/>
  <c r="G12" i="19"/>
  <c r="G11" i="19"/>
  <c r="G28" i="19"/>
  <c r="G8" i="19"/>
  <c r="L50" i="1"/>
  <c r="L51" i="1" s="1"/>
  <c r="G34" i="19" l="1"/>
  <c r="I39" i="19"/>
  <c r="F34" i="19" l="1"/>
  <c r="I34" i="19" l="1"/>
  <c r="I37" i="19"/>
  <c r="L28" i="18" l="1"/>
  <c r="L48" i="18"/>
  <c r="I43" i="18" s="1"/>
  <c r="I45" i="18" l="1"/>
  <c r="N46" i="1" s="1"/>
  <c r="J32" i="19"/>
  <c r="G18" i="18"/>
  <c r="I18" i="18" s="1"/>
  <c r="I19" i="18" s="1"/>
  <c r="G14" i="18"/>
  <c r="I14" i="18" l="1"/>
  <c r="I25" i="18" s="1"/>
  <c r="E167" i="30"/>
  <c r="O32" i="19"/>
  <c r="I32" i="19"/>
  <c r="U46" i="1"/>
  <c r="M32" i="19"/>
  <c r="K32" i="19"/>
  <c r="L45" i="18"/>
  <c r="P46" i="1"/>
  <c r="S46" i="1"/>
  <c r="M45" i="18" l="1"/>
  <c r="L46" i="18"/>
  <c r="V46" i="1"/>
  <c r="Q46" i="1"/>
  <c r="E171" i="30"/>
  <c r="F171" i="30" s="1"/>
  <c r="F167" i="30"/>
  <c r="N40" i="1"/>
  <c r="J26" i="19"/>
  <c r="I26" i="19" l="1"/>
  <c r="U40" i="1"/>
  <c r="M26" i="19"/>
  <c r="O26" i="19"/>
  <c r="K26" i="19"/>
  <c r="I38" i="19"/>
  <c r="I40" i="19" s="1"/>
  <c r="P40" i="1"/>
  <c r="S40" i="1"/>
  <c r="I17" i="19" l="1"/>
  <c r="J17" i="19" s="1"/>
  <c r="I28" i="19"/>
  <c r="I12" i="19"/>
  <c r="J12" i="19" s="1"/>
  <c r="I11" i="19"/>
  <c r="J11" i="19" s="1"/>
  <c r="I18" i="19"/>
  <c r="J18" i="19" s="1"/>
  <c r="I19" i="19"/>
  <c r="J19" i="19" s="1"/>
  <c r="I13" i="19"/>
  <c r="J13" i="19" s="1"/>
  <c r="I24" i="19"/>
  <c r="J24" i="19" s="1"/>
  <c r="I8" i="19"/>
  <c r="J8" i="19" s="1"/>
  <c r="Q40" i="1"/>
  <c r="V40" i="1"/>
  <c r="K24" i="19" l="1"/>
  <c r="L37" i="15" s="1"/>
  <c r="M37" i="15" s="1"/>
  <c r="O24" i="19"/>
  <c r="M24" i="19"/>
  <c r="U38" i="1"/>
  <c r="O11" i="19"/>
  <c r="J14" i="19"/>
  <c r="M11" i="19"/>
  <c r="K11" i="19"/>
  <c r="O13" i="19"/>
  <c r="K13" i="19"/>
  <c r="L81" i="13" s="1"/>
  <c r="M13" i="19"/>
  <c r="O12" i="19"/>
  <c r="M12" i="19"/>
  <c r="L50" i="13" s="1"/>
  <c r="K12" i="19"/>
  <c r="L47" i="13" s="1"/>
  <c r="M19" i="19"/>
  <c r="K19" i="19"/>
  <c r="L77" i="14" s="1"/>
  <c r="O24" i="38"/>
  <c r="J28" i="19"/>
  <c r="O8" i="19"/>
  <c r="M8" i="19"/>
  <c r="U18" i="1"/>
  <c r="K8" i="19"/>
  <c r="L23" i="2" s="1"/>
  <c r="M23" i="2" s="1"/>
  <c r="G22" i="2" s="1"/>
  <c r="I22" i="2" s="1"/>
  <c r="I23" i="2" s="1"/>
  <c r="K18" i="19"/>
  <c r="M18" i="19"/>
  <c r="L52" i="14" s="1"/>
  <c r="K17" i="19"/>
  <c r="M17" i="19"/>
  <c r="J20" i="19"/>
  <c r="L31" i="14" l="1"/>
  <c r="K20" i="19"/>
  <c r="H143" i="38"/>
  <c r="H113" i="38"/>
  <c r="H296" i="38"/>
  <c r="H432" i="38"/>
  <c r="P24" i="38"/>
  <c r="P25" i="38" s="1"/>
  <c r="P26" i="38" s="1"/>
  <c r="H45" i="38"/>
  <c r="O25" i="38"/>
  <c r="H419" i="38"/>
  <c r="H530" i="38"/>
  <c r="H374" i="38"/>
  <c r="O20" i="19"/>
  <c r="U31" i="1"/>
  <c r="M20" i="19"/>
  <c r="N17" i="1"/>
  <c r="L24" i="2"/>
  <c r="O28" i="19"/>
  <c r="K28" i="19"/>
  <c r="N10" i="40"/>
  <c r="M28" i="19"/>
  <c r="J30" i="19"/>
  <c r="U42" i="1"/>
  <c r="M47" i="13"/>
  <c r="M81" i="13"/>
  <c r="M14" i="19"/>
  <c r="U25" i="1"/>
  <c r="G35" i="15"/>
  <c r="G17" i="15"/>
  <c r="I17" i="15" s="1"/>
  <c r="K24" i="15"/>
  <c r="K25" i="15" s="1"/>
  <c r="G32" i="15"/>
  <c r="I32" i="15" s="1"/>
  <c r="M77" i="14"/>
  <c r="G65" i="14" s="1"/>
  <c r="I65" i="14" s="1"/>
  <c r="K14" i="19"/>
  <c r="L25" i="13"/>
  <c r="M25" i="13" s="1"/>
  <c r="M52" i="14"/>
  <c r="G42" i="14" s="1"/>
  <c r="I42" i="14" s="1"/>
  <c r="O34" i="19" l="1"/>
  <c r="L40" i="15"/>
  <c r="U44" i="1"/>
  <c r="U48" i="1" s="1"/>
  <c r="I35" i="15"/>
  <c r="L38" i="15" s="1"/>
  <c r="E54" i="16"/>
  <c r="E163" i="30"/>
  <c r="F163" i="30" s="1"/>
  <c r="I138" i="13"/>
  <c r="G31" i="13"/>
  <c r="G38" i="13"/>
  <c r="I38" i="13" s="1"/>
  <c r="L54" i="13" s="1"/>
  <c r="N18" i="1"/>
  <c r="S18" i="1" s="1"/>
  <c r="P17" i="1"/>
  <c r="S17" i="1"/>
  <c r="T17" i="38"/>
  <c r="R17" i="38" s="1"/>
  <c r="H375" i="38"/>
  <c r="H17" i="38" s="1"/>
  <c r="G374" i="38"/>
  <c r="G45" i="38"/>
  <c r="H46" i="38"/>
  <c r="H13" i="38" s="1"/>
  <c r="T13" i="38"/>
  <c r="G113" i="38"/>
  <c r="H114" i="38"/>
  <c r="H14" i="38" s="1"/>
  <c r="T14" i="38"/>
  <c r="R14" i="38" s="1"/>
  <c r="G20" i="13"/>
  <c r="G16" i="13"/>
  <c r="G15" i="13"/>
  <c r="G19" i="13"/>
  <c r="H24" i="38"/>
  <c r="K30" i="19"/>
  <c r="K34" i="19" s="1"/>
  <c r="T15" i="38"/>
  <c r="R15" i="38" s="1"/>
  <c r="H144" i="38"/>
  <c r="H15" i="38" s="1"/>
  <c r="G143" i="38"/>
  <c r="G77" i="13"/>
  <c r="G65" i="13"/>
  <c r="M30" i="19"/>
  <c r="I30" i="19"/>
  <c r="J34" i="19"/>
  <c r="M34" i="19" s="1"/>
  <c r="T18" i="38"/>
  <c r="R18" i="38" s="1"/>
  <c r="H420" i="38"/>
  <c r="H18" i="38" s="1"/>
  <c r="G419" i="38"/>
  <c r="T19" i="38"/>
  <c r="R19" i="38" s="1"/>
  <c r="H433" i="38"/>
  <c r="H19" i="38" s="1"/>
  <c r="G432" i="38"/>
  <c r="G530" i="38"/>
  <c r="T20" i="38"/>
  <c r="R20" i="38" s="1"/>
  <c r="H531" i="38"/>
  <c r="H20" i="38" s="1"/>
  <c r="O26" i="38"/>
  <c r="N26" i="38" s="1"/>
  <c r="N25" i="38"/>
  <c r="T16" i="38"/>
  <c r="R16" i="38" s="1"/>
  <c r="H297" i="38"/>
  <c r="H16" i="38" s="1"/>
  <c r="G296" i="38"/>
  <c r="M31" i="14"/>
  <c r="L41" i="15" l="1"/>
  <c r="M41" i="15" s="1"/>
  <c r="G31" i="15" s="1"/>
  <c r="I31" i="15" s="1"/>
  <c r="I33" i="15" s="1"/>
  <c r="I37" i="15" s="1"/>
  <c r="G68" i="14"/>
  <c r="G15" i="14"/>
  <c r="G27" i="14"/>
  <c r="G17" i="14"/>
  <c r="G20" i="14"/>
  <c r="I20" i="14" s="1"/>
  <c r="G73" i="14"/>
  <c r="G23" i="14"/>
  <c r="G24" i="14"/>
  <c r="I16" i="13"/>
  <c r="E16" i="30"/>
  <c r="F16" i="30" s="1"/>
  <c r="P18" i="1"/>
  <c r="Q17" i="1"/>
  <c r="G121" i="13"/>
  <c r="G131" i="13"/>
  <c r="G123" i="13"/>
  <c r="G120" i="13"/>
  <c r="G134" i="13"/>
  <c r="G117" i="13"/>
  <c r="G130" i="13"/>
  <c r="G127" i="13"/>
  <c r="I127" i="13" s="1"/>
  <c r="G116" i="13"/>
  <c r="G122" i="13"/>
  <c r="E19" i="30"/>
  <c r="F19" i="30" s="1"/>
  <c r="G23" i="13"/>
  <c r="I23" i="13" s="1"/>
  <c r="I20" i="13"/>
  <c r="R13" i="38"/>
  <c r="R22" i="38" s="1"/>
  <c r="T22" i="38"/>
  <c r="E35" i="30"/>
  <c r="F35" i="30" s="1"/>
  <c r="G85" i="13"/>
  <c r="I85" i="13" s="1"/>
  <c r="I65" i="13"/>
  <c r="H16" i="16"/>
  <c r="I19" i="13"/>
  <c r="G22" i="13"/>
  <c r="I22" i="13" s="1"/>
  <c r="E18" i="30"/>
  <c r="F18" i="30" s="1"/>
  <c r="H22" i="38"/>
  <c r="N42" i="1" s="1"/>
  <c r="G54" i="16"/>
  <c r="E116" i="30" s="1"/>
  <c r="F116" i="30" s="1"/>
  <c r="E55" i="16"/>
  <c r="G55" i="16" s="1"/>
  <c r="H30" i="16" s="1"/>
  <c r="E56" i="16"/>
  <c r="G56" i="16" s="1"/>
  <c r="H29" i="16" s="1"/>
  <c r="E42" i="30"/>
  <c r="G101" i="13"/>
  <c r="I101" i="13" s="1"/>
  <c r="H34" i="16"/>
  <c r="M111" i="13"/>
  <c r="G102" i="13" s="1"/>
  <c r="I102" i="13" s="1"/>
  <c r="I77" i="13"/>
  <c r="I15" i="13"/>
  <c r="E15" i="30"/>
  <c r="F15" i="30" s="1"/>
  <c r="E22" i="30"/>
  <c r="F22" i="30" s="1"/>
  <c r="I31" i="13"/>
  <c r="L53" i="13" s="1"/>
  <c r="H15" i="16"/>
  <c r="E161" i="30" l="1"/>
  <c r="F161" i="30" s="1"/>
  <c r="E58" i="16"/>
  <c r="G59" i="16" s="1"/>
  <c r="H22" i="16" s="1"/>
  <c r="G16" i="15"/>
  <c r="E153" i="30" s="1"/>
  <c r="F153" i="30" s="1"/>
  <c r="I17" i="13"/>
  <c r="I21" i="13"/>
  <c r="P42" i="1"/>
  <c r="S42" i="1"/>
  <c r="E64" i="30"/>
  <c r="F64" i="30" s="1"/>
  <c r="I130" i="13"/>
  <c r="Q18" i="1"/>
  <c r="V18" i="1"/>
  <c r="E103" i="30"/>
  <c r="F103" i="30" s="1"/>
  <c r="J15" i="16"/>
  <c r="G60" i="16"/>
  <c r="H21" i="16" s="1"/>
  <c r="G58" i="16"/>
  <c r="F42" i="30"/>
  <c r="E52" i="30"/>
  <c r="F52" i="30" s="1"/>
  <c r="I120" i="13"/>
  <c r="E58" i="30"/>
  <c r="F58" i="30" s="1"/>
  <c r="G74" i="13"/>
  <c r="I24" i="14"/>
  <c r="E75" i="30"/>
  <c r="F75" i="30" s="1"/>
  <c r="I17" i="14"/>
  <c r="I18" i="14" s="1"/>
  <c r="G67" i="13"/>
  <c r="G19" i="14"/>
  <c r="I19" i="14" s="1"/>
  <c r="E72" i="30"/>
  <c r="F72" i="30" s="1"/>
  <c r="H25" i="38"/>
  <c r="N12" i="40" s="1"/>
  <c r="E104" i="30"/>
  <c r="F104" i="30" s="1"/>
  <c r="J16" i="16"/>
  <c r="G126" i="13"/>
  <c r="I126" i="13" s="1"/>
  <c r="I123" i="13"/>
  <c r="E61" i="30"/>
  <c r="F61" i="30" s="1"/>
  <c r="G73" i="13"/>
  <c r="G71" i="14"/>
  <c r="E74" i="30"/>
  <c r="F74" i="30" s="1"/>
  <c r="I23" i="14"/>
  <c r="E77" i="30"/>
  <c r="F77" i="30" s="1"/>
  <c r="I27" i="14"/>
  <c r="H35" i="16"/>
  <c r="N37" i="1"/>
  <c r="E119" i="30"/>
  <c r="F119" i="30" s="1"/>
  <c r="J34" i="16"/>
  <c r="R71" i="16"/>
  <c r="D68" i="16"/>
  <c r="P68" i="16" s="1"/>
  <c r="R72" i="16"/>
  <c r="E114" i="30"/>
  <c r="F114" i="30" s="1"/>
  <c r="D65" i="16"/>
  <c r="P65" i="16" s="1"/>
  <c r="D75" i="16"/>
  <c r="P75" i="16" s="1"/>
  <c r="D73" i="16"/>
  <c r="P73" i="16" s="1"/>
  <c r="R73" i="16"/>
  <c r="R75" i="16"/>
  <c r="R69" i="16"/>
  <c r="R70" i="16"/>
  <c r="D67" i="16"/>
  <c r="P67" i="16" s="1"/>
  <c r="D72" i="16"/>
  <c r="P72" i="16" s="1"/>
  <c r="D66" i="16"/>
  <c r="P66" i="16" s="1"/>
  <c r="D69" i="16"/>
  <c r="P69" i="16" s="1"/>
  <c r="J29" i="16"/>
  <c r="R66" i="16"/>
  <c r="R65" i="16"/>
  <c r="R68" i="16"/>
  <c r="D71" i="16"/>
  <c r="P71" i="16" s="1"/>
  <c r="R67" i="16"/>
  <c r="D70" i="16"/>
  <c r="P70" i="16" s="1"/>
  <c r="R74" i="16"/>
  <c r="D74" i="16"/>
  <c r="P74" i="16" s="1"/>
  <c r="I122" i="13"/>
  <c r="E60" i="30"/>
  <c r="F60" i="30" s="1"/>
  <c r="E56" i="30"/>
  <c r="F56" i="30" s="1"/>
  <c r="I117" i="13"/>
  <c r="I131" i="13"/>
  <c r="E65" i="30"/>
  <c r="F65" i="30" s="1"/>
  <c r="E98" i="30"/>
  <c r="F98" i="30" s="1"/>
  <c r="I73" i="14"/>
  <c r="H17" i="16"/>
  <c r="I15" i="14"/>
  <c r="L108" i="13"/>
  <c r="G86" i="13" s="1"/>
  <c r="G37" i="14"/>
  <c r="E70" i="30"/>
  <c r="F70" i="30" s="1"/>
  <c r="G60" i="14"/>
  <c r="I103" i="13"/>
  <c r="C69" i="16"/>
  <c r="O69" i="16" s="1"/>
  <c r="J30" i="16"/>
  <c r="Q74" i="16"/>
  <c r="C75" i="16"/>
  <c r="O75" i="16" s="1"/>
  <c r="Q69" i="16"/>
  <c r="E115" i="30"/>
  <c r="F115" i="30" s="1"/>
  <c r="C67" i="16"/>
  <c r="O67" i="16" s="1"/>
  <c r="Q67" i="16"/>
  <c r="C70" i="16"/>
  <c r="O70" i="16" s="1"/>
  <c r="Q72" i="16"/>
  <c r="Q66" i="16"/>
  <c r="C74" i="16"/>
  <c r="O74" i="16" s="1"/>
  <c r="C66" i="16"/>
  <c r="O66" i="16" s="1"/>
  <c r="C65" i="16"/>
  <c r="O65" i="16" s="1"/>
  <c r="C68" i="16"/>
  <c r="O68" i="16" s="1"/>
  <c r="Q73" i="16"/>
  <c r="Q68" i="16"/>
  <c r="Q70" i="16"/>
  <c r="C73" i="16"/>
  <c r="O73" i="16" s="1"/>
  <c r="Q71" i="16"/>
  <c r="C71" i="16"/>
  <c r="O71" i="16" s="1"/>
  <c r="Q65" i="16"/>
  <c r="C72" i="16"/>
  <c r="O72" i="16" s="1"/>
  <c r="Q75" i="16"/>
  <c r="I116" i="13"/>
  <c r="I118" i="13" s="1"/>
  <c r="E55" i="30"/>
  <c r="F55" i="30" s="1"/>
  <c r="I134" i="13"/>
  <c r="E67" i="30"/>
  <c r="F67" i="30" s="1"/>
  <c r="E59" i="30"/>
  <c r="F59" i="30" s="1"/>
  <c r="I121" i="13"/>
  <c r="G125" i="13"/>
  <c r="I125" i="13" s="1"/>
  <c r="I68" i="14"/>
  <c r="I69" i="14" s="1"/>
  <c r="E94" i="30"/>
  <c r="F94" i="30" s="1"/>
  <c r="G24" i="15" l="1"/>
  <c r="E158" i="30" s="1"/>
  <c r="F158" i="30" s="1"/>
  <c r="S72" i="16"/>
  <c r="F145" i="30" s="1"/>
  <c r="I16" i="15"/>
  <c r="I18" i="15" s="1"/>
  <c r="I22" i="15" s="1"/>
  <c r="L42" i="15" s="1"/>
  <c r="M44" i="15" s="1"/>
  <c r="T71" i="16"/>
  <c r="G144" i="30" s="1"/>
  <c r="S66" i="16"/>
  <c r="F139" i="30" s="1"/>
  <c r="S71" i="16"/>
  <c r="F144" i="30" s="1"/>
  <c r="S70" i="16"/>
  <c r="F143" i="30" s="1"/>
  <c r="G142" i="13"/>
  <c r="T69" i="16"/>
  <c r="G142" i="30" s="1"/>
  <c r="T73" i="16"/>
  <c r="G146" i="30" s="1"/>
  <c r="S69" i="16"/>
  <c r="F142" i="30" s="1"/>
  <c r="S74" i="16"/>
  <c r="F147" i="30" s="1"/>
  <c r="I25" i="14"/>
  <c r="G31" i="14" s="1"/>
  <c r="G24" i="13"/>
  <c r="I24" i="13" s="1"/>
  <c r="I71" i="14"/>
  <c r="E96" i="30"/>
  <c r="F96" i="30" s="1"/>
  <c r="S73" i="16"/>
  <c r="F146" i="30" s="1"/>
  <c r="S65" i="16"/>
  <c r="F138" i="30" s="1"/>
  <c r="I86" i="13"/>
  <c r="I87" i="13" s="1"/>
  <c r="E45" i="30"/>
  <c r="T74" i="16"/>
  <c r="G147" i="30" s="1"/>
  <c r="J31" i="16"/>
  <c r="T67" i="16"/>
  <c r="G140" i="30" s="1"/>
  <c r="J35" i="16"/>
  <c r="J36" i="16" s="1"/>
  <c r="E120" i="30"/>
  <c r="F120" i="30" s="1"/>
  <c r="I21" i="14"/>
  <c r="I132" i="13"/>
  <c r="G143" i="13" s="1"/>
  <c r="V42" i="1"/>
  <c r="Q42" i="1"/>
  <c r="I124" i="13"/>
  <c r="I128" i="13" s="1"/>
  <c r="G141" i="13"/>
  <c r="J44" i="16"/>
  <c r="E111" i="30"/>
  <c r="F111" i="30" s="1"/>
  <c r="S75" i="16"/>
  <c r="F148" i="30" s="1"/>
  <c r="J17" i="16"/>
  <c r="J18" i="16" s="1"/>
  <c r="E105" i="30"/>
  <c r="F105" i="30" s="1"/>
  <c r="T70" i="16"/>
  <c r="G143" i="30" s="1"/>
  <c r="T66" i="16"/>
  <c r="G139" i="30" s="1"/>
  <c r="T75" i="16"/>
  <c r="G148" i="30" s="1"/>
  <c r="T68" i="16"/>
  <c r="G141" i="30" s="1"/>
  <c r="I73" i="13"/>
  <c r="E39" i="30"/>
  <c r="F39" i="30" s="1"/>
  <c r="G96" i="13"/>
  <c r="I96" i="13" s="1"/>
  <c r="H24" i="16"/>
  <c r="J24" i="16" s="1"/>
  <c r="E108" i="30"/>
  <c r="J21" i="16"/>
  <c r="N36" i="1"/>
  <c r="I60" i="14"/>
  <c r="G62" i="14" s="1"/>
  <c r="E90" i="30"/>
  <c r="F90" i="30" s="1"/>
  <c r="S68" i="16"/>
  <c r="F141" i="30" s="1"/>
  <c r="S67" i="16"/>
  <c r="F140" i="30" s="1"/>
  <c r="I37" i="14"/>
  <c r="L53" i="14" s="1"/>
  <c r="L54" i="14" s="1"/>
  <c r="M54" i="14" s="1"/>
  <c r="E80" i="30"/>
  <c r="F80" i="30" s="1"/>
  <c r="T72" i="16"/>
  <c r="G145" i="30" s="1"/>
  <c r="T65" i="16"/>
  <c r="G138" i="30" s="1"/>
  <c r="P37" i="1"/>
  <c r="Q37" i="1" s="1"/>
  <c r="S37" i="1"/>
  <c r="E37" i="30"/>
  <c r="M110" i="13"/>
  <c r="G90" i="13" s="1"/>
  <c r="I90" i="13" s="1"/>
  <c r="I67" i="13"/>
  <c r="I68" i="13" s="1"/>
  <c r="G69" i="13"/>
  <c r="I69" i="13" s="1"/>
  <c r="G89" i="13"/>
  <c r="I89" i="13" s="1"/>
  <c r="E40" i="30"/>
  <c r="F40" i="30" s="1"/>
  <c r="G97" i="13"/>
  <c r="I97" i="13" s="1"/>
  <c r="I74" i="13"/>
  <c r="E110" i="30"/>
  <c r="F110" i="30" s="1"/>
  <c r="J22" i="16"/>
  <c r="K26" i="15" l="1"/>
  <c r="I136" i="13"/>
  <c r="L51" i="13" s="1"/>
  <c r="L52" i="13" s="1"/>
  <c r="L55" i="13" s="1"/>
  <c r="L57" i="13" s="1"/>
  <c r="I29" i="14"/>
  <c r="N28" i="1" s="1"/>
  <c r="I25" i="13"/>
  <c r="G27" i="13"/>
  <c r="I91" i="13"/>
  <c r="J23" i="16"/>
  <c r="H25" i="16" s="1"/>
  <c r="J25" i="16" s="1"/>
  <c r="J26" i="16" s="1"/>
  <c r="J40" i="16" s="1"/>
  <c r="I75" i="13"/>
  <c r="G70" i="13" s="1"/>
  <c r="I70" i="13" s="1"/>
  <c r="I71" i="13" s="1"/>
  <c r="I79" i="13" s="1"/>
  <c r="N38" i="1"/>
  <c r="P36" i="1"/>
  <c r="S36" i="1"/>
  <c r="E51" i="30"/>
  <c r="F51" i="30" s="1"/>
  <c r="F37" i="30"/>
  <c r="E48" i="30"/>
  <c r="F48" i="30" s="1"/>
  <c r="F45" i="30"/>
  <c r="G64" i="14"/>
  <c r="I64" i="14" s="1"/>
  <c r="E92" i="30"/>
  <c r="F92" i="30" s="1"/>
  <c r="I62" i="14"/>
  <c r="I63" i="14" s="1"/>
  <c r="E109" i="30"/>
  <c r="F109" i="30" s="1"/>
  <c r="F108" i="30"/>
  <c r="G49" i="14"/>
  <c r="G46" i="14"/>
  <c r="G39" i="14"/>
  <c r="G45" i="14"/>
  <c r="N24" i="1" l="1"/>
  <c r="S24" i="1" s="1"/>
  <c r="L32" i="14"/>
  <c r="M33" i="14" s="1"/>
  <c r="L26" i="13"/>
  <c r="M27" i="13" s="1"/>
  <c r="N21" i="1"/>
  <c r="I49" i="14"/>
  <c r="E87" i="30"/>
  <c r="F87" i="30" s="1"/>
  <c r="S38" i="1"/>
  <c r="P24" i="1"/>
  <c r="Q24" i="1" s="1"/>
  <c r="I45" i="14"/>
  <c r="E84" i="30"/>
  <c r="F84" i="30" s="1"/>
  <c r="N33" i="1"/>
  <c r="J43" i="16"/>
  <c r="M109" i="13"/>
  <c r="G98" i="13" s="1"/>
  <c r="G81" i="13"/>
  <c r="P28" i="1"/>
  <c r="S28" i="1"/>
  <c r="E82" i="30"/>
  <c r="F82" i="30" s="1"/>
  <c r="I39" i="14"/>
  <c r="I40" i="14" s="1"/>
  <c r="G41" i="14"/>
  <c r="I41" i="14" s="1"/>
  <c r="I66" i="14"/>
  <c r="I75" i="14" s="1"/>
  <c r="E85" i="30"/>
  <c r="F85" i="30" s="1"/>
  <c r="I46" i="14"/>
  <c r="Q36" i="1"/>
  <c r="P38" i="1"/>
  <c r="G34" i="13"/>
  <c r="G41" i="13"/>
  <c r="G33" i="13"/>
  <c r="G45" i="13"/>
  <c r="G42" i="13"/>
  <c r="I43" i="14" l="1"/>
  <c r="S21" i="1"/>
  <c r="P21" i="1"/>
  <c r="Q21" i="1" s="1"/>
  <c r="E29" i="30"/>
  <c r="F29" i="30" s="1"/>
  <c r="I41" i="13"/>
  <c r="Q28" i="1"/>
  <c r="I47" i="14"/>
  <c r="E30" i="30"/>
  <c r="F30" i="30" s="1"/>
  <c r="I42" i="13"/>
  <c r="I45" i="13"/>
  <c r="E32" i="30"/>
  <c r="F32" i="30" s="1"/>
  <c r="V38" i="1"/>
  <c r="Q38" i="1"/>
  <c r="N30" i="1"/>
  <c r="L78" i="14"/>
  <c r="I98" i="13"/>
  <c r="I99" i="13" s="1"/>
  <c r="G93" i="13" s="1"/>
  <c r="I93" i="13" s="1"/>
  <c r="I94" i="13" s="1"/>
  <c r="I105" i="13" s="1"/>
  <c r="E46" i="30"/>
  <c r="G51" i="13"/>
  <c r="I33" i="13"/>
  <c r="E24" i="30"/>
  <c r="F24" i="30" s="1"/>
  <c r="S33" i="1"/>
  <c r="P33" i="1"/>
  <c r="G52" i="13"/>
  <c r="I34" i="13"/>
  <c r="E25" i="30"/>
  <c r="F25" i="30" s="1"/>
  <c r="I51" i="14" l="1"/>
  <c r="N29" i="1" s="1"/>
  <c r="G55" i="13"/>
  <c r="I43" i="13"/>
  <c r="G56" i="13" s="1"/>
  <c r="G57" i="13" s="1"/>
  <c r="N23" i="1"/>
  <c r="L82" i="13"/>
  <c r="M83" i="13" s="1"/>
  <c r="I36" i="13"/>
  <c r="I39" i="13" s="1"/>
  <c r="G59" i="13"/>
  <c r="V33" i="1"/>
  <c r="Q33" i="1"/>
  <c r="P30" i="1"/>
  <c r="Q30" i="1" s="1"/>
  <c r="S30" i="1"/>
  <c r="E49" i="30"/>
  <c r="F49" i="30" s="1"/>
  <c r="E50" i="30"/>
  <c r="F50" i="30" s="1"/>
  <c r="F46" i="30"/>
  <c r="L55" i="14" l="1"/>
  <c r="M56" i="14" s="1"/>
  <c r="I47" i="13"/>
  <c r="L48" i="13" s="1"/>
  <c r="M49" i="13" s="1"/>
  <c r="G60" i="13"/>
  <c r="P29" i="1"/>
  <c r="S29" i="1"/>
  <c r="N31" i="1"/>
  <c r="P23" i="1"/>
  <c r="Q23" i="1" s="1"/>
  <c r="S23" i="1"/>
  <c r="N22" i="1" l="1"/>
  <c r="S22" i="1" s="1"/>
  <c r="Q29" i="1"/>
  <c r="P31" i="1"/>
  <c r="S31" i="1"/>
  <c r="N25" i="1" l="1"/>
  <c r="S25" i="1" s="1"/>
  <c r="P22" i="1"/>
  <c r="Q31" i="1"/>
  <c r="V31" i="1"/>
  <c r="Q22" i="1"/>
  <c r="P25" i="1"/>
  <c r="N44" i="1" l="1"/>
  <c r="S44" i="1" s="1"/>
  <c r="Q25" i="1"/>
  <c r="V25" i="1"/>
  <c r="V44" i="1" s="1"/>
  <c r="V48" i="1" s="1"/>
  <c r="P44" i="1"/>
  <c r="N48" i="1" l="1"/>
  <c r="S48" i="1" s="1"/>
  <c r="Q44" i="1"/>
  <c r="P48" i="1"/>
  <c r="Q48" i="1" s="1"/>
</calcChain>
</file>

<file path=xl/comments1.xml><?xml version="1.0" encoding="utf-8"?>
<comments xmlns="http://schemas.openxmlformats.org/spreadsheetml/2006/main">
  <authors>
    <author>prasan</author>
  </authors>
  <commentList>
    <comment ref="O26" author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<sst xmlns="http://schemas.openxmlformats.org/spreadsheetml/2006/main" count="2008" uniqueCount="1033">
  <si>
    <t xml:space="preserve"> </t>
  </si>
  <si>
    <t>TABLE A. PRESENT AND PROPOSED RATES</t>
  </si>
  <si>
    <t>Present</t>
  </si>
  <si>
    <t>Proposed</t>
  </si>
  <si>
    <t>Base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</si>
  <si>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</si>
  <si>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</si>
  <si>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</si>
  <si>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</si>
  <si>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</si>
  <si>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</si>
  <si>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</si>
  <si>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</si>
  <si>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</si>
  <si>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</si>
  <si>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</si>
  <si>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</si>
  <si>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</si>
  <si>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</si>
  <si>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</si>
  <si>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</si>
  <si>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</si>
  <si>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</si>
  <si>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</si>
  <si>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</si>
  <si>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</si>
  <si>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</si>
  <si>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</si>
  <si>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</si>
  <si>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</si>
  <si>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</si>
  <si>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</si>
  <si>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</si>
  <si>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</si>
  <si>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</si>
  <si>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</si>
  <si>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</si>
  <si>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</si>
  <si>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</si>
  <si>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</si>
  <si>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</si>
  <si>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</si>
  <si>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</si>
  <si>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</si>
  <si>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</si>
  <si>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</si>
  <si>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40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</si>
  <si>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</si>
  <si>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</si>
  <si>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</si>
  <si>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</si>
  <si>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</si>
  <si>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</si>
  <si>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</si>
  <si>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</si>
  <si>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</si>
  <si>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</si>
  <si>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</si>
  <si>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</si>
  <si>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</si>
  <si>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</si>
  <si>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Campus Rate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</si>
  <si>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</si>
  <si>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</si>
  <si>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</si>
  <si>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</si>
  <si>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</si>
  <si>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</si>
  <si>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</si>
  <si>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</si>
  <si>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</si>
  <si>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</si>
  <si>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</si>
  <si>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</si>
  <si>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</si>
  <si>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Retail Wheeling Transporation Service</t>
  </si>
  <si>
    <t>449, 459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</si>
  <si>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</si>
  <si>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</si>
  <si>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</si>
  <si>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</si>
  <si>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</si>
  <si>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</si>
  <si>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</si>
  <si>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</si>
  <si>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Average Increase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</si>
  <si>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</si>
  <si>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</si>
  <si>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</si>
  <si>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</si>
  <si>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</si>
  <si>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</si>
  <si>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</si>
  <si>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</si>
  <si>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</si>
  <si>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</si>
  <si>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</si>
  <si>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</si>
  <si>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</si>
  <si>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</si>
  <si>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</si>
  <si>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</si>
  <si>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</si>
  <si>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</si>
  <si>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</si>
  <si>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</si>
  <si>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</si>
  <si>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</si>
  <si>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</si>
  <si>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</si>
  <si>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</si>
  <si>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</si>
  <si>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</si>
  <si>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</si>
  <si>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</si>
  <si>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</si>
  <si>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</si>
  <si>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</si>
  <si>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</si>
  <si>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</si>
  <si>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</si>
  <si>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</si>
  <si>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</si>
  <si>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</si>
  <si>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</si>
  <si>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</si>
  <si>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</si>
  <si>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</si>
  <si>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</si>
  <si>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</si>
  <si>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</si>
  <si>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</si>
  <si>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</si>
  <si>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</si>
  <si>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</si>
  <si>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</si>
  <si>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</si>
  <si>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</si>
  <si>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</si>
  <si>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</si>
  <si>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Campus Rate Design</t>
  </si>
  <si>
    <t>Campus Service Demand &gt; 3aMW</t>
  </si>
  <si>
    <t>Basic Charges</t>
  </si>
  <si>
    <t>Secondary Voltage Demand &lt;= 350 kW</t>
  </si>
  <si>
    <t>Secondary Voltage Demand &gt; 350 kW</t>
  </si>
  <si>
    <t>Primary Voltage</t>
  </si>
  <si>
    <t xml:space="preserve"> = Sch 25</t>
  </si>
  <si>
    <t xml:space="preserve"> = Sch 26</t>
  </si>
  <si>
    <t xml:space="preserve"> = Sch 31</t>
  </si>
  <si>
    <t>Secondary Voltage</t>
  </si>
  <si>
    <t xml:space="preserve"> = Sch 49 Adjusted for Losses</t>
  </si>
  <si>
    <t>Secondary Voltage (Coincident)</t>
  </si>
  <si>
    <t>Primary Voltage (Coincident)</t>
  </si>
  <si>
    <t>Distribution Demand Charge</t>
  </si>
  <si>
    <t>Reactive Power Charge</t>
  </si>
  <si>
    <t>Target Dollars Sch 40</t>
  </si>
  <si>
    <t>Demand and Energy Rate Calculation:</t>
  </si>
  <si>
    <t>Power Factor Calculation:</t>
  </si>
  <si>
    <t>HV Power Factor</t>
  </si>
  <si>
    <t>HV Demand</t>
  </si>
  <si>
    <t>PV Demand</t>
  </si>
  <si>
    <t>SV Demand</t>
  </si>
  <si>
    <t>$/kVa</t>
  </si>
  <si>
    <t>Load Research Loss Factors:</t>
  </si>
  <si>
    <t>Schedule 49</t>
  </si>
  <si>
    <t>Schedule 31</t>
  </si>
  <si>
    <t>Schedule 26</t>
  </si>
  <si>
    <t>Proposed Sch 49</t>
  </si>
  <si>
    <t>Proposed Sch 40</t>
  </si>
  <si>
    <t>Demand Charge Calculation</t>
  </si>
  <si>
    <t>Energy Charge Calculation</t>
  </si>
  <si>
    <t xml:space="preserve"> = Sch 49 Adjusted for Losses &amp; Power Factor</t>
  </si>
  <si>
    <t>Average Class Increase</t>
  </si>
  <si>
    <t>Present Sch 40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</si>
  <si>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</si>
  <si>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</si>
  <si>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</si>
  <si>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</si>
  <si>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</si>
  <si>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</si>
  <si>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</si>
  <si>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</si>
  <si>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</si>
  <si>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</si>
  <si>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</si>
  <si>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</si>
  <si>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</si>
  <si>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</si>
  <si>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</si>
  <si>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OATT Charges</t>
  </si>
  <si>
    <t>Current</t>
  </si>
  <si>
    <t>Transportation &amp; Wholesale for Resale</t>
  </si>
  <si>
    <t>SCHEDULE 005</t>
  </si>
  <si>
    <t>Demand Charge</t>
  </si>
  <si>
    <t>Revenue Deficiency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</si>
  <si>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</si>
  <si>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</si>
  <si>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</si>
  <si>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</si>
  <si>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</si>
  <si>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</si>
  <si>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</si>
  <si>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</si>
  <si>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</si>
  <si>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</si>
  <si>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</si>
  <si>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</si>
  <si>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</si>
  <si>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</si>
  <si>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</si>
  <si>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</si>
  <si>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</si>
  <si>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</si>
  <si>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</si>
  <si>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</si>
  <si>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</si>
  <si>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</si>
  <si>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</si>
  <si>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</si>
  <si>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</si>
  <si>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</si>
  <si>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</si>
  <si>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</si>
  <si>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</si>
  <si>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</si>
  <si>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</si>
  <si>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</si>
  <si>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</si>
  <si>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</si>
  <si>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</si>
  <si>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</si>
  <si>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</si>
  <si>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</si>
  <si>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</si>
  <si>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</si>
  <si>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</si>
  <si>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</si>
  <si>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</si>
  <si>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</si>
  <si>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</si>
  <si>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</si>
  <si>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</si>
  <si>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</si>
  <si>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MWh</t>
  </si>
  <si>
    <t>Percent of Total w/o Schedule 40, 449 &amp; Firm Resale</t>
  </si>
  <si>
    <t>Proposed
Revenue
($000)</t>
  </si>
  <si>
    <t>Proposed
Revenue
Increase
($000)</t>
  </si>
  <si>
    <t>Proposed
Increase
($)</t>
  </si>
  <si>
    <t>Rate Spread Increase</t>
  </si>
  <si>
    <t>Over 600 kWh</t>
  </si>
  <si>
    <t>Tariffed Rate Components</t>
  </si>
  <si>
    <t>Tariff
Rate
Schedule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</si>
  <si>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</si>
  <si>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</si>
  <si>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</si>
  <si>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</si>
  <si>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</si>
  <si>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</si>
  <si>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</si>
  <si>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</si>
  <si>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</si>
  <si>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</si>
  <si>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</si>
  <si>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</si>
  <si>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</si>
  <si>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</si>
  <si>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</si>
  <si>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</si>
  <si>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</si>
  <si>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</si>
  <si>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</si>
  <si>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</si>
  <si>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</si>
  <si>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</si>
  <si>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</si>
  <si>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</si>
  <si>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</si>
  <si>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</si>
  <si>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</si>
  <si>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</si>
  <si>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</si>
  <si>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</si>
  <si>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</si>
  <si>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</si>
  <si>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</si>
  <si>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</si>
  <si>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</si>
  <si>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</si>
  <si>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</si>
  <si>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</si>
  <si>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</si>
  <si>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</si>
  <si>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</si>
  <si>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</si>
  <si>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- Medium Demand</t>
  </si>
  <si>
    <t>Secondary Voltage - Large Demand</t>
  </si>
  <si>
    <t>Prod/Trans Energy Charge ($ / kWh) - All kWh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</si>
  <si>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</si>
  <si>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</si>
  <si>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</si>
  <si>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</si>
  <si>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</si>
  <si>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</si>
  <si>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</si>
  <si>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</si>
  <si>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</si>
  <si>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</si>
  <si>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</si>
  <si>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</si>
  <si>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</si>
  <si>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</si>
  <si>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</si>
  <si>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</si>
  <si>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</si>
  <si>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</si>
  <si>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</si>
  <si>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</si>
  <si>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</si>
  <si>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</si>
  <si>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</si>
  <si>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</si>
  <si>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</si>
  <si>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</si>
  <si>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>Prod/Trans Non Coincident Demand Charge ($ / kW)  - All kW (Billed Charge to be Adjusted for Coincident Factor on Customer Bill)</t>
  </si>
  <si>
    <t>Total Non-Coincident 
Distribution Charge</t>
  </si>
  <si>
    <t>Non-Coincident Transformer
Charge</t>
  </si>
  <si>
    <t>Non-Coincident Feeder
Charge</t>
  </si>
  <si>
    <t>Non-Coincident Substation
Charge</t>
  </si>
  <si>
    <t xml:space="preserve">SCHEDULE 7 </t>
  </si>
  <si>
    <t>Retain Block 1/ Block 2 Relationship</t>
  </si>
  <si>
    <t>Rate Schedule</t>
  </si>
  <si>
    <t>Tariff</t>
  </si>
  <si>
    <t>Lamp Charge</t>
  </si>
  <si>
    <t>Class average increase</t>
  </si>
  <si>
    <t>na</t>
  </si>
  <si>
    <t>Remaining class average increase,
1st Block adjusted for residual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</si>
  <si>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</si>
  <si>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</si>
  <si>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</si>
  <si>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</si>
  <si>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</si>
  <si>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</si>
  <si>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</si>
  <si>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</si>
  <si>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</si>
  <si>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</si>
  <si>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</si>
  <si>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</si>
  <si>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</si>
  <si>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</si>
  <si>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</si>
  <si>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</si>
  <si>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</si>
  <si>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</si>
  <si>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</si>
  <si>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</si>
  <si>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448/449</t>
  </si>
  <si>
    <t>Class Average Increase, All Blocks</t>
  </si>
  <si>
    <t>Difference (Set to zero in goal seek for rate spread)</t>
  </si>
  <si>
    <t>Adjust for residual</t>
  </si>
  <si>
    <t>General Service</t>
  </si>
  <si>
    <t>Irrigation</t>
  </si>
  <si>
    <t>10 / 31</t>
  </si>
  <si>
    <t>Same as Tail Block</t>
  </si>
  <si>
    <t>No Increase</t>
  </si>
  <si>
    <t>Increase Demand portion of energy by demand increase over tail block</t>
  </si>
  <si>
    <t>First Energy Block Rounding Adjustment =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</si>
  <si>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</si>
  <si>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</si>
  <si>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</si>
  <si>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</si>
  <si>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</si>
  <si>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</si>
  <si>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</si>
  <si>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</si>
  <si>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</si>
  <si>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</si>
  <si>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</si>
  <si>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</si>
  <si>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</si>
  <si>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</si>
  <si>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</si>
  <si>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</si>
  <si>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</si>
  <si>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</si>
  <si>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</si>
  <si>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</si>
  <si>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</si>
  <si>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</si>
  <si>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</si>
  <si>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</si>
  <si>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</si>
  <si>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</si>
  <si>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Note:  Distribution Charge FCR at 7.60% ROR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</si>
  <si>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</si>
  <si>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</si>
  <si>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</si>
  <si>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</si>
  <si>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</si>
  <si>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</si>
  <si>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</si>
  <si>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</si>
  <si>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</si>
  <si>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</si>
  <si>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</si>
  <si>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</si>
  <si>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</si>
  <si>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</si>
  <si>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</si>
  <si>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</si>
  <si>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</si>
  <si>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</si>
  <si>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Company Owned LED - 30-35 Watts</t>
  </si>
  <si>
    <t>Company Owned LED - 35.01-40 Watts</t>
  </si>
  <si>
    <t>Company Owned LED - 40.01-45 Watts</t>
  </si>
  <si>
    <t>Company Owned LED - 45.01-50 Watts</t>
  </si>
  <si>
    <t>Company Owned LED - 50.01-55 Watts</t>
  </si>
  <si>
    <t>Company Owned LED - 55.01-60 Watts</t>
  </si>
  <si>
    <t>Company Owned LED - 60.01-65 Watts</t>
  </si>
  <si>
    <t>Company Owned LED - 65.01-70 Watts</t>
  </si>
  <si>
    <t>Company Owned LED - 70.01-75 Watts</t>
  </si>
  <si>
    <t>Company Owned LED - 75.01-80 Watts</t>
  </si>
  <si>
    <t>Company Owned LED - 80.01-85 Watts</t>
  </si>
  <si>
    <t>Company Owned LED - 85.01-90 Watts</t>
  </si>
  <si>
    <t>Company Owned LED - 90.01-95 Watts</t>
  </si>
  <si>
    <t>Company Owned LED - 95.01-100 Watts</t>
  </si>
  <si>
    <t>Company Owned LED - 100.01-105 Watts</t>
  </si>
  <si>
    <t>Company Owned LED - 105.01-110 Watts</t>
  </si>
  <si>
    <t>Company Owned LED - 110.01-115 Watts</t>
  </si>
  <si>
    <t>Company Owned LED - 115.01-120 Watts</t>
  </si>
  <si>
    <t>Company Owned LED - 120.01-125 Watts</t>
  </si>
  <si>
    <t>Company Owned LED - 125.01-130 Watts</t>
  </si>
  <si>
    <t>Company Owned LED - 130.01-135 Watts</t>
  </si>
  <si>
    <t>Company Owned LED - 135.01-140 Watts</t>
  </si>
  <si>
    <t>Company Owned LED - 140.01-145 Watts</t>
  </si>
  <si>
    <t>Company Owned LED - 145.01-150 Watts</t>
  </si>
  <si>
    <t>Company Owned LED - 150.01-155 Watts</t>
  </si>
  <si>
    <t>Company Owned LED - 155.01-160 Watts</t>
  </si>
  <si>
    <t>Company Owned LED - 160.01-165 Watts</t>
  </si>
  <si>
    <t>Company Owned LED - 165.01-170 Watts</t>
  </si>
  <si>
    <t>Company Owned LED - 170.01-175 Watts</t>
  </si>
  <si>
    <t>Company Owned LED - 175.01-180 Watts</t>
  </si>
  <si>
    <t>Company Owned LED - 180.01-185 Watts</t>
  </si>
  <si>
    <t>Company Owned LED - 185.01-190 Watts</t>
  </si>
  <si>
    <t>Company Owned LED - 190.01-195 Watts</t>
  </si>
  <si>
    <t>Company Owned LED - 195.01-200 Watts</t>
  </si>
  <si>
    <t>Company Owned LED - 200.01-205 Watts</t>
  </si>
  <si>
    <t>Company Owned LED - 201.05-210 Watts</t>
  </si>
  <si>
    <t>Company Owned LED - 210.01-215 Watts</t>
  </si>
  <si>
    <t>Company Owned LED - 215.01-220 Watts</t>
  </si>
  <si>
    <t>Company Owned LED - 220.01-225 Watts</t>
  </si>
  <si>
    <t>Company Owned LED - 225.01-230 Watts</t>
  </si>
  <si>
    <t>Company Owned LED - 230.01-235 Watts</t>
  </si>
  <si>
    <t>Company Owned LED - 235.01-240 Watts</t>
  </si>
  <si>
    <t>Company Owned LED - 240.01-245 Watts</t>
  </si>
  <si>
    <t>Company Owned LED - 245.01-250 Watts</t>
  </si>
  <si>
    <t>Company Owned LED - 250.01-255 Watts</t>
  </si>
  <si>
    <t>Company Owned LED - 255.01-260 Watts</t>
  </si>
  <si>
    <t>Company Owned LED - 260.01-265 Watts</t>
  </si>
  <si>
    <t>Company Owned LED - 265.01-270 Watts</t>
  </si>
  <si>
    <t>Company Owned LED - 270.01-275 Watts</t>
  </si>
  <si>
    <t>Company Owned LED - 275.01-280 Watts</t>
  </si>
  <si>
    <t>Company Owned LED - 280.01-285 Watts</t>
  </si>
  <si>
    <t>Company Owned LED - 285.01-290 Watts</t>
  </si>
  <si>
    <t>Company Owned LED - 290.01-295 Watts</t>
  </si>
  <si>
    <t>Company Owned LED - 295.01-300 Watts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</si>
  <si>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</si>
  <si>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</si>
  <si>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</si>
  <si>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</si>
  <si>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</si>
  <si>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</si>
  <si>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</si>
  <si>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</si>
  <si>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</si>
  <si>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</si>
  <si>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</si>
  <si>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</si>
  <si>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</si>
  <si>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</si>
  <si>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</si>
  <si>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</si>
  <si>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</si>
  <si>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</si>
  <si>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</si>
  <si>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</si>
  <si>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</si>
  <si>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</si>
  <si>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</si>
  <si>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</si>
  <si>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</si>
  <si>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</si>
  <si>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</si>
  <si>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</si>
  <si>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</si>
  <si>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</si>
  <si>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</si>
  <si>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</si>
  <si>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</si>
  <si>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Company Owned LED - 30-35 Watt</t>
  </si>
  <si>
    <t>Company Owned LED - 35.01-40 Watt</t>
  </si>
  <si>
    <t>Company Owned LED - 40.01-45 Watt</t>
  </si>
  <si>
    <t>Company Owned LED - 45.01-50 Watt</t>
  </si>
  <si>
    <t>Company Owned LED - 50.01-55 Watt</t>
  </si>
  <si>
    <t>Company Owned LED - 55.01-60 Watt</t>
  </si>
  <si>
    <t>Company Owned LED - 60.01-65 Watt</t>
  </si>
  <si>
    <t>Company Owned LED - 65.01-70 Watt</t>
  </si>
  <si>
    <t>Company Owned LED - 70.01-75 Watt</t>
  </si>
  <si>
    <t>Company Owned LED - 75.01-80 Watt</t>
  </si>
  <si>
    <t>Company Owned LED - 80.01-85 Watt</t>
  </si>
  <si>
    <t>Company Owned LED - 85.01-90 Watt</t>
  </si>
  <si>
    <t>Company Owned LED - 90.01-95 Watt</t>
  </si>
  <si>
    <t>Company Owned LED - 95.01-100 Watt</t>
  </si>
  <si>
    <t>Company Owned LED - 100.01-105 Watt</t>
  </si>
  <si>
    <t>Company Owned LED - 105.01-110 Watt</t>
  </si>
  <si>
    <t>Company Owned LED - 110.1-115 Watt</t>
  </si>
  <si>
    <t>Company Owned LED - 115.01-120 Watt</t>
  </si>
  <si>
    <t>Company Owned LED - 120.01-125 Watt</t>
  </si>
  <si>
    <t>Company Owned LED - 125.01-130 Watt</t>
  </si>
  <si>
    <t>Company Owned LED - 130.01-135 Watt</t>
  </si>
  <si>
    <t>Company Owned LED - 135.01-140 Watt</t>
  </si>
  <si>
    <t>Company Owned LED - 140.01-145 Watt</t>
  </si>
  <si>
    <t>Company Owned LED - 145.01-150 Watt</t>
  </si>
  <si>
    <t>Company Owned LED - 150.01-155 Watt</t>
  </si>
  <si>
    <t>Company Owned LED - 155.01-160 Watt</t>
  </si>
  <si>
    <t>Company Owned LED - 160.01-165 Watt</t>
  </si>
  <si>
    <t>Company Owned LED - 165.01-170 Watt</t>
  </si>
  <si>
    <t>Company Owned LED - 170.01-175 Watt</t>
  </si>
  <si>
    <t>Company Owned LED - 175.01-180 Watt</t>
  </si>
  <si>
    <t>Company Owned LED - 180.01-185 Watt</t>
  </si>
  <si>
    <t>Company Owned LED - 185.01-190 Watt</t>
  </si>
  <si>
    <t>Company Owned LED - 190.01-195 Watt</t>
  </si>
  <si>
    <t>Company Owned LED - 195.01-200 Watt</t>
  </si>
  <si>
    <t>Company Owned LED - 200.01-205 Watt</t>
  </si>
  <si>
    <t>Company Owned LED - 201.05-210 Watt</t>
  </si>
  <si>
    <t>Company Owned LED - 210.01-215 Watt</t>
  </si>
  <si>
    <t>Company Owned LED - 215.01-220 Watt</t>
  </si>
  <si>
    <t>Company Owned LED - 220.01-225 Watt</t>
  </si>
  <si>
    <t>Company Owned LED - 225.01-230 Watt</t>
  </si>
  <si>
    <t>Company Owned LED - 230.01-235 Watt</t>
  </si>
  <si>
    <t>Company Owned LED - 235.01-240 Watt</t>
  </si>
  <si>
    <t>Company Owned LED - 240.01-245 Watt</t>
  </si>
  <si>
    <t>Company Owned LED - 245.01-250 Watt</t>
  </si>
  <si>
    <t>Company Owned LED - 250.01-255 Watt</t>
  </si>
  <si>
    <t>Company Owned LED - 255.01-260 Watt</t>
  </si>
  <si>
    <t>Company Owned LED - 260.01-265 Watt</t>
  </si>
  <si>
    <t>Company Owned LED - 265.01-270 Watt</t>
  </si>
  <si>
    <t>Company Owned LED - 270.01-275 Watt</t>
  </si>
  <si>
    <t>Company Owned LED - 275.01-280 Watt</t>
  </si>
  <si>
    <t>Company Owned LED - 280.01-285 Watt</t>
  </si>
  <si>
    <t>Company Owned LED - 285.01-290 Watt</t>
  </si>
  <si>
    <t>Company Owned LED - 290.01-295 Watt</t>
  </si>
  <si>
    <t>Company Owned LED - 295.01-300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</si>
  <si>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</si>
  <si>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</si>
  <si>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</si>
  <si>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</si>
  <si>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</si>
  <si>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</si>
  <si>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</si>
  <si>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</si>
  <si>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</si>
  <si>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</si>
  <si>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</si>
  <si>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</si>
  <si>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</si>
  <si>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</si>
  <si>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</si>
  <si>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LED - 30-35 Watt</t>
  </si>
  <si>
    <t>Customer Owned LED - 35.01-40 Watt</t>
  </si>
  <si>
    <t>Customer Owned LED - 40.01-45 Watt</t>
  </si>
  <si>
    <t>Customer Owned LED - 45.01-50 Watt</t>
  </si>
  <si>
    <t>Customer Owned LED - 50.01-55 Watt</t>
  </si>
  <si>
    <t>Customer Owned LED - 55.01-60 Watt</t>
  </si>
  <si>
    <t>Customer Owned LED - 60.01-65 Watt</t>
  </si>
  <si>
    <t>Customer Owned LED - 65.01-70 Watt</t>
  </si>
  <si>
    <t>Customer Owned LED - 70.01-75 Watt</t>
  </si>
  <si>
    <t>Customer Owned LED - 75.01-80 Watt</t>
  </si>
  <si>
    <t>Customer Owned LED - 80.01-85 Watt</t>
  </si>
  <si>
    <t>Customer Owned LED - 85.01-90 Watt</t>
  </si>
  <si>
    <t>Customer Owned LED - 90.01-95 Watt</t>
  </si>
  <si>
    <t>Customer Owned LED - 95.01-100 Watt</t>
  </si>
  <si>
    <t>Customer Owned LED - 100.01-105 Watt</t>
  </si>
  <si>
    <t>Customer Owned LED - 105.01-110 Watt</t>
  </si>
  <si>
    <t>Customer Owned LED - 110.1-115 Watt</t>
  </si>
  <si>
    <t>Customer Owned LED - 115.01-120 Watt</t>
  </si>
  <si>
    <t>Customer Owned LED - 120.01-125 Watt</t>
  </si>
  <si>
    <t>Customer Owned LED - 125.01-130 Watt</t>
  </si>
  <si>
    <t>Customer Owned LED - 130.01-135 Watt</t>
  </si>
  <si>
    <t>Customer Owned LED - 135.01-140 Watt</t>
  </si>
  <si>
    <t>Customer Owned LED - 140.01-145 Watt</t>
  </si>
  <si>
    <t>Customer Owned LED - 145.01-150 Watt</t>
  </si>
  <si>
    <t>Customer Owned LED - 150.01-155 Watt</t>
  </si>
  <si>
    <t>Customer Owned LED - 155.01-160 Watt</t>
  </si>
  <si>
    <t>Customer Owned LED - 160.01-165 Watt</t>
  </si>
  <si>
    <t>Customer Owned LED - 165.01-170 Watt</t>
  </si>
  <si>
    <t>Customer Owned LED - 170.01-175 Watt</t>
  </si>
  <si>
    <t>Customer Owned LED - 175.01-180 Watt</t>
  </si>
  <si>
    <t>Customer Owned LED - 180.01-185 Watt</t>
  </si>
  <si>
    <t>Customer Owned LED - 185.01-190 Watt</t>
  </si>
  <si>
    <t>Customer Owned LED - 190.01-195 Watt</t>
  </si>
  <si>
    <t>Customer Owned LED - 195.01-200 Watt</t>
  </si>
  <si>
    <t>Customer Owned LED - 200.01-205 Watt</t>
  </si>
  <si>
    <t>Customer Owned LED - 201.05-210 Watt</t>
  </si>
  <si>
    <t>Customer Owned LED - 210.01-215 Watt</t>
  </si>
  <si>
    <t>Customer Owned LED - 215.01-220 Watt</t>
  </si>
  <si>
    <t>Customer Owned LED - 220.01-225 Watt</t>
  </si>
  <si>
    <t>Customer Owned LED - 225.01-230 Watt</t>
  </si>
  <si>
    <t>Customer Owned LED - 230.01-235 Watt</t>
  </si>
  <si>
    <t>Customer Owned LED - 235.01-240 Watt</t>
  </si>
  <si>
    <t>Customer Owned LED - 240.01-245 Watt</t>
  </si>
  <si>
    <t>Customer Owned LED - 245.01-250 Watt</t>
  </si>
  <si>
    <t>Customer Owned LED - 250.01-255 Watt</t>
  </si>
  <si>
    <t>Customer Owned LED - 255.01-260 Watt</t>
  </si>
  <si>
    <t>Customer Owned LED - 260.01-265 Watt</t>
  </si>
  <si>
    <t>Customer Owned LED - 265.01-270 Watt</t>
  </si>
  <si>
    <t>Customer Owned LED - 270.01-275 Watt</t>
  </si>
  <si>
    <t>Customer Owned LED - 275.01-280 Watt</t>
  </si>
  <si>
    <t>Customer Owned LED - 280.01-285 Watt</t>
  </si>
  <si>
    <t>Customer Owned LED - 285.01-290 Watt</t>
  </si>
  <si>
    <t>Customer Owned LED - 290.01-295 Watt</t>
  </si>
  <si>
    <t>Customer Owned LED - 295.01-300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</si>
  <si>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</si>
  <si>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</si>
  <si>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</si>
  <si>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</si>
  <si>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</si>
  <si>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</si>
  <si>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</si>
  <si>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</si>
  <si>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</si>
  <si>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</si>
  <si>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30-35 - Watt</t>
  </si>
  <si>
    <t>Customer Owned Energy Only LED 35.01-40 - Watt</t>
  </si>
  <si>
    <t>Customer Owned Energy Only LED 40.01-45 - Watt</t>
  </si>
  <si>
    <t>Customer Owned Energy Only LED 45.01-50 - Watt</t>
  </si>
  <si>
    <t>Customer Owned Energy Only LED 50.01-55 - Watt</t>
  </si>
  <si>
    <t>Customer Owned Energy Only LED 55.01-60 - Watt</t>
  </si>
  <si>
    <t>Customer Owned Energy Only LED 60.01-65 - Watt</t>
  </si>
  <si>
    <t>Customer Owned Energy Only LED 65.01-70 - Watt</t>
  </si>
  <si>
    <t>Customer Owned Energy Only LED 70.01-75 - Watt</t>
  </si>
  <si>
    <t>Customer Owned Energy Only LED 75.01-80 - Watt</t>
  </si>
  <si>
    <t>Customer Owned Energy Only LED 80.01-85 - Watt</t>
  </si>
  <si>
    <t>Customer Owned Energy Only LED 85.01-90 - Watt</t>
  </si>
  <si>
    <t>Customer Owned Energy Only LED 90.01-95 - Watt</t>
  </si>
  <si>
    <t>Customer Owned Energy Only LED 95.01-100 - Watt</t>
  </si>
  <si>
    <t>Customer Owned Energy Only LED 100.01-105 - Watt</t>
  </si>
  <si>
    <t>Customer Owned Energy Only LED 105.01-110 - Watt</t>
  </si>
  <si>
    <t>Customer Owned Energy Only LED 110.1-115 - Watt</t>
  </si>
  <si>
    <t>Customer Owned Energy Only LED 115.01-120 - Watt</t>
  </si>
  <si>
    <t>Customer Owned Energy Only LED 120.01-125 - Watt</t>
  </si>
  <si>
    <t>Customer Owned Energy Only LED 125.01-130 - Watt</t>
  </si>
  <si>
    <t>Customer Owned Energy Only LED 130.01-135 - Watt</t>
  </si>
  <si>
    <t>Customer Owned Energy Only LED 135.01-140 - Watt</t>
  </si>
  <si>
    <t>Customer Owned Energy Only LED 140.01-145 - Watt</t>
  </si>
  <si>
    <t>Customer Owned Energy Only LED 145.01-150 - Watt</t>
  </si>
  <si>
    <t>Customer Owned Energy Only LED 150.01-155 - Watt</t>
  </si>
  <si>
    <t>Customer Owned Energy Only LED 155.01-160 - Watt</t>
  </si>
  <si>
    <t>Customer Owned Energy Only LED 160.01-165 - Watt</t>
  </si>
  <si>
    <t>Customer Owned Energy Only LED 165.01-170 - Watt</t>
  </si>
  <si>
    <t>Customer Owned Energy Only LED 170.01-175 - Watt</t>
  </si>
  <si>
    <t>Customer Owned Energy Only LED 175.01-180 - Watt</t>
  </si>
  <si>
    <t>Customer Owned Energy Only LED 180.01-185 - Watt</t>
  </si>
  <si>
    <t>Customer Owned Energy Only LED 185.01-190 - Watt</t>
  </si>
  <si>
    <t>Customer Owned Energy Only LED 190.01-195 - Watt</t>
  </si>
  <si>
    <t>Customer Owned Energy Only LED 195.01-200 - Watt</t>
  </si>
  <si>
    <t>Customer Owned Energy Only LED 200.01-205 - Watt</t>
  </si>
  <si>
    <t>Customer Owned Energy Only LED 201.05-210 - Watt</t>
  </si>
  <si>
    <t>Customer Owned Energy Only LED 210.01-215 - Watt</t>
  </si>
  <si>
    <t>Customer Owned Energy Only LED 215.01-220 - Watt</t>
  </si>
  <si>
    <t>Customer Owned Energy Only LED 220.01-225 - Watt</t>
  </si>
  <si>
    <t>Customer Owned Energy Only LED 225.01-230 - Watt</t>
  </si>
  <si>
    <t>Customer Owned Energy Only LED 230.01-235 - Watt</t>
  </si>
  <si>
    <t>Customer Owned Energy Only LED 235.01-240 - Watt</t>
  </si>
  <si>
    <t>Customer Owned Energy Only LED 240.01-245 - Watt</t>
  </si>
  <si>
    <t>Customer Owned Energy Only LED 245.01-250 - Watt</t>
  </si>
  <si>
    <t>Customer Owned Energy Only LED 250.01-255 - Watt</t>
  </si>
  <si>
    <t>Customer Owned Energy Only LED 255.01-260 - Watt</t>
  </si>
  <si>
    <t>Customer Owned Energy Only LED 260.01-265 - Watt</t>
  </si>
  <si>
    <t>Customer Owned Energy Only LED 265.01-270 - Watt</t>
  </si>
  <si>
    <t>Customer Owned Energy Only LED 270.01-275 - Watt</t>
  </si>
  <si>
    <t>Customer Owned Energy Only LED 275.01-280 - Watt</t>
  </si>
  <si>
    <t>Customer Owned Energy Only LED 280.01-285 - Watt</t>
  </si>
  <si>
    <t>Customer Owned Energy Only LED 285.01-290 - Watt</t>
  </si>
  <si>
    <t>Customer Owned Energy Only LED 290.01-295 - Watt</t>
  </si>
  <si>
    <t>Customer Owned Energy Only LED 295.01-300 -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</si>
  <si>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</si>
  <si>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</si>
  <si>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</si>
  <si>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</si>
  <si>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</si>
  <si>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</si>
  <si>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</si>
  <si>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</si>
  <si>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Lighting - Area Lighting 30-35 Watts</t>
  </si>
  <si>
    <t>Company Owned LED Lighting - Area Lighting 35.01-40 Watts</t>
  </si>
  <si>
    <t>Company Owned LED Lighting - Area Lighting 40.01-45 Watts</t>
  </si>
  <si>
    <t>Company Owned LED Lighting - Area Lighting 45.01-50 Watts</t>
  </si>
  <si>
    <t>Company Owned LED Lighting - Area Lighting 50.01-55 Watts</t>
  </si>
  <si>
    <t>Company Owned LED Lighting - Area Lighting 55.01-60 Watts</t>
  </si>
  <si>
    <t>Company Owned LED Lighting - Area Lighting 60.01-65 Watts</t>
  </si>
  <si>
    <t>Company Owned LED Lighting - Area Lighting 65.01-70 Watts</t>
  </si>
  <si>
    <t>Company Owned LED Lighting - Area Lighting 70.01-75 Watts</t>
  </si>
  <si>
    <t>Company Owned LED Lighting - Area Lighting 75.01-80 Watts</t>
  </si>
  <si>
    <t>Company Owned LED Lighting - Area Lighting 80.01-85 Watts</t>
  </si>
  <si>
    <t>Company Owned LED Lighting - Area Lighting 85.01-90 Watts</t>
  </si>
  <si>
    <t>Company Owned LED Lighting - Area Lighting 90.01-95 Watts</t>
  </si>
  <si>
    <t>Company Owned LED Lighting - Area Lighting 95.01-100 Watts</t>
  </si>
  <si>
    <t>Company Owned LED Lighting - Area Lighting 100.01-120 Watts</t>
  </si>
  <si>
    <t>Company Owned LED Lighting - Area Lighting 120.01-150 Watts</t>
  </si>
  <si>
    <t>Company Owned LED Lighting - Area Lighting 150.01-180 Watts</t>
  </si>
  <si>
    <t>Company Owned LED Lighting - Area Lighting 180.01-210 Watts</t>
  </si>
  <si>
    <t>Company Owned LED Lighting - Area Lighting 210.01-240 Watts</t>
  </si>
  <si>
    <t>Company Owned LED Lighting - Area Lighting 240.01-270 Watts</t>
  </si>
  <si>
    <t>Company Owned LED Lighting - Area Lighting 270.01-300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</si>
  <si>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</si>
  <si>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</si>
  <si>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</si>
  <si>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</si>
  <si>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</si>
  <si>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</si>
  <si>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</si>
  <si>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</si>
  <si>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</si>
  <si>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</si>
  <si>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</si>
  <si>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</si>
  <si>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</si>
  <si>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</si>
  <si>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</si>
  <si>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</si>
  <si>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</si>
  <si>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</si>
  <si>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</si>
  <si>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</si>
  <si>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</si>
  <si>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</si>
  <si>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50.01-55 Watts</t>
  </si>
  <si>
    <t>Company Owned LED Flood Lighting 55.01-60 Watts</t>
  </si>
  <si>
    <t>Company Owned LED Flood Lighting 60.01-65 Watts</t>
  </si>
  <si>
    <t>Company Owned LED Flood Lighting 65.01-70 Watts</t>
  </si>
  <si>
    <t>Company Owned LED Flood Lighting 70.01-75 Watts</t>
  </si>
  <si>
    <t>Company Owned LED Flood Lighting 75.01-80 Watts</t>
  </si>
  <si>
    <t>Company Owned LED Flood Lighting 80.01-85 Watts</t>
  </si>
  <si>
    <t>Company Owned LED Flood Lighting 100.01-105 Watts</t>
  </si>
  <si>
    <t>Company Owned LED Flood Lighting 105.01-110 Watts</t>
  </si>
  <si>
    <t>Company Owned LED Flood Lighting 110.1-115 Watts</t>
  </si>
  <si>
    <t>Company Owned LED Flood Lighting 115.01-120 Watts</t>
  </si>
  <si>
    <t>Company Owned LED Flood Lighting 120.01-125 Watts</t>
  </si>
  <si>
    <t>Company Owned LED Flood Lighting 125.01-130 Watts</t>
  </si>
  <si>
    <t>Company Owned LED Flood Lighting 195.01-200 Watts</t>
  </si>
  <si>
    <t>Company Owned LED Flood Lighting 200.01-205 Watts</t>
  </si>
  <si>
    <t>Company Owned LED Flood Lighting 205.01-210 Watts</t>
  </si>
  <si>
    <t>Company Owned LED Flood Lighting 210.01-215 Watts</t>
  </si>
  <si>
    <t>Company Owned LED Flood Lighting 215.01-220 Watts</t>
  </si>
  <si>
    <t>Company Owned LED Flood Lighting 245.01-250 Watts</t>
  </si>
  <si>
    <t>Company Owned LED Flood Lighting 250.01-255 Watts</t>
  </si>
  <si>
    <t>Company Owned LED Flood Lighting 255.01-260 Watts</t>
  </si>
  <si>
    <t>Company Owned LED Flood Lighting 260.01-265 Watts</t>
  </si>
  <si>
    <t>Company Owned LED Flood Lighting 265.01-270 Watts</t>
  </si>
  <si>
    <t>Company Owned LED Flood Lighting 300.01-305 Watts</t>
  </si>
  <si>
    <t>Company Owned LED Flood Lighting 305.01-310 Watts</t>
  </si>
  <si>
    <t>Company Owned LED Flood Lighting 310.01-315 Watts</t>
  </si>
  <si>
    <t>Company Owned LED Flood Lighting 315.01-320 Watts</t>
  </si>
  <si>
    <t>Company Owned LED Flood Lighting 320.01-325 Watts</t>
  </si>
  <si>
    <t>Company Owned LED Flood Lighting 500.01-505 Watts</t>
  </si>
  <si>
    <t>Company Owned LED Flood Lighting 505.01-510 Watts</t>
  </si>
  <si>
    <t>Company Owned LED Flood Lighting 510.01-515 Watts</t>
  </si>
  <si>
    <t>Company Owned LED Flood Lighting 515.01-520 Watts</t>
  </si>
  <si>
    <t>Company Owned LED Flood Lighting 520.01-525 Watts</t>
  </si>
  <si>
    <t>Company Owned LED Flood Lighting 525.01-530 Watts</t>
  </si>
  <si>
    <t>Company Owned LED Flood Lighting 835.01-840 Watts</t>
  </si>
  <si>
    <t>Company Owned LED Flood Lighting 840.01-845 Watts</t>
  </si>
  <si>
    <t>Company Owned LED Flood Lighting 845.01-850 Watts</t>
  </si>
  <si>
    <t>Company Owned LED Flood Lighting 850.01-855 Watts</t>
  </si>
  <si>
    <t>Company Owned LED Flood Lighting 855.01-860 Watts</t>
  </si>
  <si>
    <t>Company Owned LED Flood Lighting 860.01-865 Watts</t>
  </si>
  <si>
    <t>Company Owned LED Flood Lighting 865.01-870 Watts</t>
  </si>
  <si>
    <t>Company Owned LED Flood Lighting 870.01-875 Watts</t>
  </si>
  <si>
    <t>Company Owned LED Flood Lighting 875.01-880 Watts</t>
  </si>
  <si>
    <t>Company Owned Flood Lighing Pole Charge (Post 10-28-99)</t>
  </si>
  <si>
    <t>Avg Demand</t>
  </si>
  <si>
    <t>Avg Energy Block 1</t>
  </si>
  <si>
    <t>Avg Energy Block 2</t>
  </si>
  <si>
    <t>Remaining Difference</t>
  </si>
  <si>
    <t>Target $ Average Increase</t>
  </si>
  <si>
    <t>Target $ - Proposed Sch 46</t>
  </si>
  <si>
    <t>Rounding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</si>
  <si>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</si>
  <si>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</si>
  <si>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</si>
  <si>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</si>
  <si>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</si>
  <si>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</si>
  <si>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</si>
  <si>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</si>
  <si>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</si>
  <si>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</si>
  <si>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</si>
  <si>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</si>
  <si>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</si>
  <si>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</si>
  <si>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</si>
  <si>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</si>
  <si>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</si>
  <si>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</si>
  <si>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</si>
  <si>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</si>
  <si>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</si>
  <si>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</si>
  <si>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</si>
  <si>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</si>
  <si>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</si>
  <si>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</si>
  <si>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</si>
  <si>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</si>
  <si>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</si>
  <si>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</si>
  <si>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</si>
  <si>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</si>
  <si>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</si>
  <si>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</si>
  <si>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</si>
  <si>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</si>
  <si>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</si>
  <si>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</si>
  <si>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</si>
  <si>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</si>
  <si>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</si>
  <si>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</si>
  <si>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</si>
  <si>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</si>
  <si>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</si>
  <si>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</si>
  <si>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</si>
  <si>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</si>
  <si>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</si>
  <si>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</si>
  <si>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</si>
  <si>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</si>
  <si>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</si>
  <si>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</si>
  <si>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</si>
  <si>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</si>
  <si>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</si>
  <si>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Company Owned LED Flood Lighting 30.01-50 Watts</t>
  </si>
  <si>
    <t>Company Owned LED Flood Lighting 85.01-90 Watts</t>
  </si>
  <si>
    <t>Company Owned LED Flood Lighting 90.01-100 Watts</t>
  </si>
  <si>
    <t>Company Owned LED Flood Lighting 130.01-150 Watts</t>
  </si>
  <si>
    <t>Company Owned LED Flood Lighting 150.01-155 Watts</t>
  </si>
  <si>
    <t>Company Owned LED Flood Lighting 155.01-160 Watts</t>
  </si>
  <si>
    <t>Company Owned LED Flood Lighting 160.01-180 Watts</t>
  </si>
  <si>
    <t>Company Owned LED Flood Lighting 180.01-190 Watts</t>
  </si>
  <si>
    <t>Company Owned LED Flood Lighting 190.01-195 Watts</t>
  </si>
  <si>
    <t>Company Owned LED Flood Lighting 220.01-240 Watts</t>
  </si>
  <si>
    <t>Company Owned LED Flood Lighting 240.01-245 Watts</t>
  </si>
  <si>
    <t>Company Owned LED Flood Lighting 270.01-300 Watts</t>
  </si>
  <si>
    <t>Company Owned LED Flood Lighting 325.01-400 Watts</t>
  </si>
  <si>
    <t>Company Owned LED Flood Lighting 400.01-500 Watts</t>
  </si>
  <si>
    <t>Company Owned LED Flood Lighting 530.01-600 Watts</t>
  </si>
  <si>
    <t>Company Owned LED Flood Lighting 600.01-700 Watts</t>
  </si>
  <si>
    <t>Company Owned LED Flood Lighting 700.01-800 Watts</t>
  </si>
  <si>
    <t>Company Owned LED Flood Lighting 800.01-830 Watts</t>
  </si>
  <si>
    <t>Company Owned LED Flood Lighting 830.01-835 Watts</t>
  </si>
  <si>
    <t>Company Owned LED Flood Lighting 880.01-900 Watts</t>
  </si>
  <si>
    <t>First block adjusted for demand and residual,
No change to Tailblock</t>
  </si>
  <si>
    <t>Demand Rates to recover residual increase</t>
  </si>
  <si>
    <t>No increase</t>
  </si>
  <si>
    <t>Customer 1</t>
  </si>
  <si>
    <t>Customer 2</t>
  </si>
  <si>
    <t>Customer 3</t>
  </si>
  <si>
    <t>Customer 4</t>
  </si>
  <si>
    <t>Customer 5</t>
  </si>
  <si>
    <t>Customer 6</t>
  </si>
  <si>
    <t>Customer 8</t>
  </si>
  <si>
    <t>Customer 9</t>
  </si>
  <si>
    <t>Customer 10</t>
  </si>
  <si>
    <t>Customer 11</t>
  </si>
  <si>
    <t>Customer 12</t>
  </si>
  <si>
    <t xml:space="preserve">Billed Demand Charge per Registered kW </t>
  </si>
  <si>
    <t>Subtotal Prod, Trans &amp; Dist Sec Voltage kW Charge</t>
  </si>
  <si>
    <t>Subtotal Prod, Trans &amp; Dist Pri Voltage kW Charge</t>
  </si>
  <si>
    <t>Billed Non-Coincident Primary Demand</t>
  </si>
  <si>
    <t>Billed Non-Coincident Secondary Demand</t>
  </si>
  <si>
    <t>Billed Distribution Demand (if Primary)</t>
  </si>
  <si>
    <t>Billed Distribution Demand (if Secondary)</t>
  </si>
  <si>
    <t>Pri Volt</t>
  </si>
  <si>
    <t>Sec Volt</t>
  </si>
  <si>
    <t>Customer Coincident Distribution Charge - (Billed Charge))</t>
  </si>
  <si>
    <t>Prop Rates Eff 5/18</t>
  </si>
  <si>
    <t>HV Energy</t>
  </si>
  <si>
    <t>PV Energy</t>
  </si>
  <si>
    <t>SV Energy</t>
  </si>
  <si>
    <t>Twelve Months ended June 2018</t>
  </si>
  <si>
    <t>12 MONTHS ENDED JUNE 2018</t>
  </si>
  <si>
    <t xml:space="preserve">ESTIMATED EFFECT OF PROPOSED EXPEDITED RATE FILING (ERF) INCREASE </t>
  </si>
  <si>
    <t>D = C - B</t>
  </si>
  <si>
    <t>Present Base
Effective May 1, 2018</t>
  </si>
  <si>
    <t>kVa Demand</t>
  </si>
  <si>
    <t>Present Base
Effective June 1, 2018</t>
  </si>
  <si>
    <t>Customers / Inventory</t>
  </si>
  <si>
    <t>Summary of Allocated Costs</t>
  </si>
  <si>
    <t>Test Year Ending September 30, 2016</t>
  </si>
  <si>
    <t>Lamp Type</t>
  </si>
  <si>
    <t>Wattage (W)</t>
  </si>
  <si>
    <t>Capital</t>
  </si>
  <si>
    <t>O&amp;M</t>
  </si>
  <si>
    <t>Customer</t>
  </si>
  <si>
    <t>Demand-Related</t>
  </si>
  <si>
    <t>Energy-Related</t>
  </si>
  <si>
    <t>(a)</t>
  </si>
  <si>
    <t>(b)</t>
  </si>
  <si>
    <t>(c)</t>
  </si>
  <si>
    <t>(d)</t>
  </si>
  <si>
    <t xml:space="preserve">(e) </t>
  </si>
  <si>
    <t>(f)</t>
  </si>
  <si>
    <t>(g)</t>
  </si>
  <si>
    <t>(h)</t>
  </si>
  <si>
    <t>(i)</t>
  </si>
  <si>
    <t>= (d) + (e) + (f) + (g) + (h)</t>
  </si>
  <si>
    <t>Sch 50E</t>
  </si>
  <si>
    <t>003</t>
  </si>
  <si>
    <t>Compact Flourescent</t>
  </si>
  <si>
    <t>50E-A</t>
  </si>
  <si>
    <t>Mercury Vapor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</si>
  <si>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</si>
  <si>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</si>
  <si>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</si>
  <si>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</si>
  <si>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</si>
  <si>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</si>
  <si>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</si>
  <si>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</si>
  <si>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</si>
  <si>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</si>
  <si>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</si>
  <si>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</si>
  <si>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</si>
  <si>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</si>
  <si>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</si>
  <si>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Sodium Vapor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</si>
  <si>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</si>
  <si>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</si>
  <si>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</si>
  <si>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</si>
  <si>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</si>
  <si>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</si>
  <si>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</si>
  <si>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</si>
  <si>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</si>
  <si>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</si>
  <si>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</si>
  <si>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</si>
  <si>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</si>
  <si>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</si>
  <si>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</si>
  <si>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</si>
  <si>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</si>
  <si>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</si>
  <si>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</si>
  <si>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</si>
  <si>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</si>
  <si>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</si>
  <si>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</si>
  <si>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</si>
  <si>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</si>
  <si>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</si>
  <si>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Subtotal Non Generation Charge</t>
  </si>
  <si>
    <t>(j)</t>
  </si>
  <si>
    <t>Inventory YE 9-30-2016</t>
  </si>
  <si>
    <t>ERF + Base</t>
  </si>
  <si>
    <t>ERF Revenue Increase</t>
  </si>
  <si>
    <t>Rounding Difference</t>
  </si>
  <si>
    <t>Goal Seek</t>
  </si>
  <si>
    <t>% Change to Non-Generation Lamp Revenue</t>
  </si>
  <si>
    <t>Total Light Schedule Revenue Eff 6-1-18</t>
  </si>
  <si>
    <t>Schedule 141 ERF Charge</t>
  </si>
  <si>
    <t>(k)</t>
  </si>
  <si>
    <t>(l)</t>
  </si>
  <si>
    <t>(m)</t>
  </si>
  <si>
    <t>(n)</t>
  </si>
  <si>
    <t>(o)</t>
  </si>
  <si>
    <t>= (i) * (j)</t>
  </si>
  <si>
    <t>= (d) + (e) + (f)</t>
  </si>
  <si>
    <t>= (j) * (l)</t>
  </si>
  <si>
    <t>AA</t>
  </si>
  <si>
    <t>= (l) * AA</t>
  </si>
  <si>
    <t>= (i) + (n)</t>
  </si>
  <si>
    <t>Target Proposed Revenue</t>
  </si>
  <si>
    <t>Facility Charge</t>
  </si>
  <si>
    <t>Sch 51 Option A</t>
  </si>
  <si>
    <t>Sch 51 Option B</t>
  </si>
  <si>
    <t>Sch 52 Option A</t>
  </si>
  <si>
    <t>Sch 52 Option B</t>
  </si>
  <si>
    <t>Prop Rates Eff 2/19</t>
  </si>
  <si>
    <t>Primary &amp; High Voltage</t>
  </si>
  <si>
    <t>Base Charges Effective 
May 1, 2018</t>
  </si>
  <si>
    <t>Base Charges 
+ ERF 
(Schedule 141)</t>
  </si>
  <si>
    <t>Base Charges Effective 
June 1, 2018</t>
  </si>
  <si>
    <t>30-60 Watts</t>
  </si>
  <si>
    <t>60.01-90 Watts</t>
  </si>
  <si>
    <t>90.01-120 Watts</t>
  </si>
  <si>
    <t>800.01-900 Watts</t>
  </si>
  <si>
    <t>500.01-600 Watts</t>
  </si>
  <si>
    <t>300.01-400 Watts</t>
  </si>
  <si>
    <t>Increase Non Generation cost by average Increase</t>
  </si>
  <si>
    <t>kW - Cust 1</t>
  </si>
  <si>
    <t>kW - Cust 2</t>
  </si>
  <si>
    <t>kW - Cust 3</t>
  </si>
  <si>
    <t>kW - Cust 4</t>
  </si>
  <si>
    <t>kW - Cust 5</t>
  </si>
  <si>
    <t>kW - Cust 8</t>
  </si>
  <si>
    <t>kW - Cust 9</t>
  </si>
  <si>
    <t>kW - Cust 10</t>
  </si>
  <si>
    <t>kW - Cust 11</t>
  </si>
  <si>
    <t>kW - Cust 12</t>
  </si>
  <si>
    <t>7/17 to 6/18</t>
  </si>
  <si>
    <t>kW - Cust 6</t>
  </si>
  <si>
    <t>No change From UE-180282 Distribution Charges</t>
  </si>
  <si>
    <t>Summary of Rate Design</t>
  </si>
  <si>
    <t>C = B - A</t>
  </si>
  <si>
    <t>Summary - ERF Rate Spread</t>
  </si>
  <si>
    <t>Annual Bill Determinants</t>
  </si>
  <si>
    <t>Annual Average Customer Count</t>
  </si>
  <si>
    <t>Effective March 2019</t>
  </si>
  <si>
    <t>Schedule 141 ERF 
Effective March 2019</t>
  </si>
  <si>
    <t>Annualized
Revenue
($000)</t>
  </si>
  <si>
    <t>Basic Charge (in addition to Secondary Voltage Rate)</t>
  </si>
  <si>
    <t>Proposed
Revenue
Increase
($x1M)</t>
  </si>
  <si>
    <t>Proposed Base 
+ ERF (Schedule 141)
Effective March 2019</t>
  </si>
  <si>
    <t>UE-180382 Filing Revenue</t>
  </si>
  <si>
    <t>UE-180382 Filing Non-Generation Revenue</t>
  </si>
  <si>
    <t>UE-180282  &amp; UE-180382 Tax Reform Tariff Revision Effective 5-1-2018 &amp; 6-1-2018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</si>
</sst>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  <numFmt numFmtId="181" formatCode="&quot;$&quot;#,##0.00"/>
    <numFmt numFmtId="182" formatCode="&quot;$&quot;#,##0.000000"/>
    <numFmt numFmtId="183" formatCode="#,##0.000000"/>
    <numFmt numFmtId="184" formatCode="#,##0.00000"/>
    <numFmt numFmtId="185" formatCode="0.0000000%"/>
    <numFmt numFmtId="186" formatCode="_(&quot;$&quot;* #,##0.0_);_(&quot;$&quot;* \(#,##0.0\);_(&quot;$&quot;* &quot;-&quot;??_);_(@_)"/>
  </numFmts>
  <fonts count="34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56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1"/>
      <color indexed="8"/>
      <name val="TimesNewRomanPS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2"/>
      <color rgb="FF00B05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u val="singleAccounting"/>
      <sz val="1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7">
    <xf numFmtId="0" fontId="0" fillId="0" borderId="0"/>
    <xf numFmtId="4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55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quotePrefix="1" applyFont="1" applyFill="1" applyAlignment="1"/>
    <xf numFmtId="0" fontId="5" fillId="0" borderId="0" xfId="0" applyFont="1" applyFill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0" fontId="7" fillId="0" borderId="0" xfId="0" applyFont="1" applyFill="1"/>
    <xf numFmtId="0" fontId="4" fillId="0" borderId="0" xfId="0" quotePrefix="1" applyFont="1" applyFill="1" applyAlignment="1">
      <alignment horizontal="center"/>
    </xf>
    <xf numFmtId="10" fontId="4" fillId="0" borderId="0" xfId="0" applyNumberFormat="1" applyFont="1" applyFill="1" applyProtection="1">
      <protection locked="0"/>
    </xf>
    <xf numFmtId="164" fontId="1" fillId="0" borderId="0" xfId="0" applyNumberFormat="1" applyFont="1" applyFill="1" applyProtection="1"/>
    <xf numFmtId="10" fontId="4" fillId="0" borderId="0" xfId="0" applyNumberFormat="1" applyFont="1" applyFill="1" applyBorder="1" applyProtection="1">
      <protection locked="0"/>
    </xf>
    <xf numFmtId="0" fontId="0" fillId="0" borderId="0" xfId="0" applyFill="1" applyBorder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37" fontId="1" fillId="0" borderId="8" xfId="0" applyNumberFormat="1" applyFont="1" applyFill="1" applyBorder="1"/>
    <xf numFmtId="165" fontId="0" fillId="0" borderId="8" xfId="0" applyNumberFormat="1" applyFill="1" applyBorder="1" applyProtection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66" fontId="4" fillId="0" borderId="0" xfId="0" applyNumberFormat="1" applyFont="1" applyFill="1" applyBorder="1" applyProtection="1">
      <protection locked="0"/>
    </xf>
    <xf numFmtId="167" fontId="12" fillId="0" borderId="0" xfId="0" applyNumberFormat="1" applyFont="1" applyFill="1"/>
    <xf numFmtId="166" fontId="12" fillId="0" borderId="0" xfId="0" applyNumberFormat="1" applyFont="1" applyFill="1" applyBorder="1" applyProtection="1">
      <protection locked="0"/>
    </xf>
    <xf numFmtId="1" fontId="1" fillId="0" borderId="0" xfId="0" applyNumberFormat="1" applyFont="1" applyFill="1"/>
    <xf numFmtId="166" fontId="1" fillId="0" borderId="0" xfId="0" applyNumberFormat="1" applyFont="1" applyFill="1" applyBorder="1"/>
    <xf numFmtId="1" fontId="12" fillId="0" borderId="0" xfId="0" applyNumberFormat="1" applyFont="1" applyFill="1"/>
    <xf numFmtId="166" fontId="12" fillId="0" borderId="0" xfId="0" applyNumberFormat="1" applyFont="1" applyFill="1"/>
    <xf numFmtId="168" fontId="1" fillId="0" borderId="0" xfId="0" applyNumberFormat="1" applyFont="1" applyFill="1"/>
    <xf numFmtId="166" fontId="1" fillId="0" borderId="0" xfId="0" applyNumberFormat="1" applyFont="1" applyFill="1"/>
    <xf numFmtId="166" fontId="13" fillId="0" borderId="0" xfId="0" applyNumberFormat="1" applyFont="1" applyFill="1"/>
    <xf numFmtId="0" fontId="14" fillId="0" borderId="0" xfId="0" applyFont="1" applyFill="1" applyAlignment="1"/>
    <xf numFmtId="3" fontId="0" fillId="0" borderId="0" xfId="0" applyNumberFormat="1" applyFill="1" applyBorder="1"/>
    <xf numFmtId="0" fontId="0" fillId="0" borderId="0" xfId="0" applyFill="1"/>
    <xf numFmtId="0" fontId="15" fillId="0" borderId="0" xfId="0" quotePrefix="1" applyNumberFormat="1" applyFont="1" applyFill="1" applyAlignment="1"/>
    <xf numFmtId="0" fontId="11" fillId="0" borderId="0" xfId="0" quotePrefix="1" applyFont="1" applyFill="1" applyAlignment="1" applyProtection="1"/>
    <xf numFmtId="0" fontId="11" fillId="0" borderId="0" xfId="0" quotePrefix="1" applyFont="1" applyFill="1" applyAlignment="1" applyProtection="1">
      <alignment horizontal="centerContinuous"/>
    </xf>
    <xf numFmtId="0" fontId="15" fillId="0" borderId="0" xfId="0" applyFont="1" applyFill="1" applyAlignment="1" applyProtection="1">
      <alignment horizontal="centerContinuous"/>
    </xf>
    <xf numFmtId="37" fontId="15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5" fillId="0" borderId="0" xfId="0" applyFont="1" applyFill="1" applyProtection="1"/>
    <xf numFmtId="37" fontId="11" fillId="0" borderId="0" xfId="0" applyNumberFormat="1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horizontal="center"/>
    </xf>
    <xf numFmtId="37" fontId="11" fillId="0" borderId="7" xfId="0" applyNumberFormat="1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/>
    <xf numFmtId="5" fontId="0" fillId="0" borderId="0" xfId="0" applyNumberFormat="1" applyFill="1"/>
    <xf numFmtId="5" fontId="4" fillId="0" borderId="0" xfId="0" applyNumberFormat="1" applyFont="1" applyFill="1" applyBorder="1" applyProtection="1"/>
    <xf numFmtId="0" fontId="0" fillId="0" borderId="0" xfId="0" applyFill="1" applyProtection="1"/>
    <xf numFmtId="5" fontId="4" fillId="0" borderId="12" xfId="0" applyNumberFormat="1" applyFont="1" applyFill="1" applyBorder="1" applyProtection="1"/>
    <xf numFmtId="0" fontId="0" fillId="0" borderId="1" xfId="0" applyFill="1" applyBorder="1"/>
    <xf numFmtId="5" fontId="0" fillId="0" borderId="2" xfId="0" applyNumberFormat="1" applyFill="1" applyBorder="1"/>
    <xf numFmtId="10" fontId="0" fillId="0" borderId="3" xfId="0" applyNumberFormat="1" applyFont="1" applyFill="1" applyBorder="1"/>
    <xf numFmtId="37" fontId="0" fillId="0" borderId="0" xfId="0" applyNumberFormat="1" applyFont="1" applyFill="1" applyBorder="1" applyProtection="1"/>
    <xf numFmtId="37" fontId="0" fillId="0" borderId="0" xfId="0" applyNumberFormat="1" applyFill="1" applyProtection="1"/>
    <xf numFmtId="0" fontId="4" fillId="0" borderId="0" xfId="0" applyFont="1" applyFill="1" applyProtection="1"/>
    <xf numFmtId="0" fontId="0" fillId="0" borderId="4" xfId="0" applyFill="1" applyBorder="1"/>
    <xf numFmtId="5" fontId="0" fillId="0" borderId="5" xfId="0" applyNumberFormat="1" applyFill="1" applyBorder="1"/>
    <xf numFmtId="0" fontId="0" fillId="0" borderId="6" xfId="0" applyFill="1" applyBorder="1"/>
    <xf numFmtId="7" fontId="17" fillId="0" borderId="0" xfId="0" applyNumberFormat="1" applyFont="1" applyFill="1" applyBorder="1"/>
    <xf numFmtId="10" fontId="18" fillId="0" borderId="0" xfId="0" applyNumberFormat="1" applyFont="1" applyFill="1" applyBorder="1"/>
    <xf numFmtId="37" fontId="4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7" fontId="13" fillId="0" borderId="0" xfId="0" applyNumberFormat="1" applyFont="1" applyFill="1" applyProtection="1">
      <protection locked="0"/>
    </xf>
    <xf numFmtId="7" fontId="4" fillId="0" borderId="0" xfId="0" applyNumberFormat="1" applyFont="1" applyFill="1" applyProtection="1">
      <protection locked="0"/>
    </xf>
    <xf numFmtId="5" fontId="4" fillId="0" borderId="0" xfId="0" applyNumberFormat="1" applyFont="1" applyFill="1" applyProtection="1">
      <protection locked="0"/>
    </xf>
    <xf numFmtId="169" fontId="4" fillId="0" borderId="0" xfId="0" applyNumberFormat="1" applyFont="1" applyFill="1" applyProtection="1"/>
    <xf numFmtId="170" fontId="4" fillId="0" borderId="0" xfId="0" applyNumberFormat="1" applyFont="1" applyFill="1" applyProtection="1"/>
    <xf numFmtId="167" fontId="4" fillId="0" borderId="0" xfId="0" applyNumberFormat="1" applyFont="1" applyFill="1" applyProtection="1"/>
    <xf numFmtId="37" fontId="0" fillId="0" borderId="0" xfId="0" applyNumberFormat="1" applyFont="1" applyFill="1" applyProtection="1"/>
    <xf numFmtId="10" fontId="0" fillId="0" borderId="0" xfId="0" applyNumberFormat="1" applyFill="1"/>
    <xf numFmtId="0" fontId="0" fillId="0" borderId="0" xfId="0" applyFont="1" applyFill="1" applyProtection="1"/>
    <xf numFmtId="5" fontId="0" fillId="0" borderId="0" xfId="0" applyNumberFormat="1" applyFont="1" applyFill="1" applyBorder="1" applyProtection="1"/>
    <xf numFmtId="0" fontId="13" fillId="0" borderId="0" xfId="0" applyFont="1" applyFill="1" applyProtection="1">
      <protection locked="0"/>
    </xf>
    <xf numFmtId="172" fontId="13" fillId="0" borderId="0" xfId="0" applyNumberFormat="1" applyFont="1" applyFill="1" applyProtection="1">
      <protection locked="0"/>
    </xf>
    <xf numFmtId="5" fontId="0" fillId="0" borderId="0" xfId="0" applyNumberFormat="1" applyFont="1" applyFill="1" applyProtection="1"/>
    <xf numFmtId="7" fontId="13" fillId="0" borderId="0" xfId="0" applyNumberFormat="1" applyFont="1" applyFill="1" applyProtection="1"/>
    <xf numFmtId="37" fontId="0" fillId="0" borderId="5" xfId="0" applyNumberFormat="1" applyFont="1" applyFill="1" applyBorder="1" applyProtection="1"/>
    <xf numFmtId="5" fontId="0" fillId="0" borderId="12" xfId="0" applyNumberFormat="1" applyFont="1" applyFill="1" applyBorder="1" applyProtection="1"/>
    <xf numFmtId="10" fontId="1" fillId="0" borderId="0" xfId="0" applyNumberFormat="1" applyFont="1" applyFill="1" applyBorder="1"/>
    <xf numFmtId="169" fontId="0" fillId="0" borderId="0" xfId="0" applyNumberFormat="1" applyFont="1" applyFill="1" applyBorder="1" applyProtection="1"/>
    <xf numFmtId="0" fontId="4" fillId="0" borderId="0" xfId="0" applyFont="1" applyFill="1" applyBorder="1" applyProtection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37" fontId="13" fillId="0" borderId="0" xfId="0" applyNumberFormat="1" applyFont="1" applyFill="1" applyProtection="1"/>
    <xf numFmtId="7" fontId="16" fillId="0" borderId="0" xfId="0" applyNumberFormat="1" applyFont="1" applyFill="1" applyProtection="1"/>
    <xf numFmtId="174" fontId="0" fillId="0" borderId="0" xfId="0" applyNumberFormat="1" applyFont="1" applyFill="1" applyProtection="1"/>
    <xf numFmtId="37" fontId="4" fillId="0" borderId="0" xfId="0" applyNumberFormat="1" applyFont="1" applyFill="1" applyBorder="1" applyProtection="1"/>
    <xf numFmtId="171" fontId="1" fillId="0" borderId="6" xfId="0" applyNumberFormat="1" applyFont="1" applyFill="1" applyBorder="1"/>
    <xf numFmtId="5" fontId="4" fillId="0" borderId="5" xfId="0" applyNumberFormat="1" applyFont="1" applyFill="1" applyBorder="1" applyProtection="1"/>
    <xf numFmtId="5" fontId="4" fillId="0" borderId="14" xfId="0" applyNumberFormat="1" applyFont="1" applyFill="1" applyBorder="1" applyProtection="1"/>
    <xf numFmtId="5" fontId="4" fillId="0" borderId="10" xfId="0" applyNumberFormat="1" applyFont="1" applyFill="1" applyBorder="1" applyProtection="1"/>
    <xf numFmtId="0" fontId="4" fillId="0" borderId="0" xfId="0" quotePrefix="1" applyFont="1" applyFill="1" applyAlignment="1">
      <alignment horizontal="left"/>
    </xf>
    <xf numFmtId="164" fontId="1" fillId="0" borderId="10" xfId="0" applyNumberFormat="1" applyFont="1" applyFill="1" applyBorder="1" applyProtection="1"/>
    <xf numFmtId="0" fontId="7" fillId="0" borderId="0" xfId="0" quotePrefix="1" applyFont="1" applyFill="1" applyAlignment="1">
      <alignment horizontal="left" indent="1"/>
    </xf>
    <xf numFmtId="0" fontId="10" fillId="0" borderId="0" xfId="0" quotePrefix="1" applyFont="1" applyFill="1" applyAlignment="1">
      <alignment horizontal="left"/>
    </xf>
    <xf numFmtId="0" fontId="21" fillId="0" borderId="0" xfId="0" quotePrefix="1" applyFont="1" applyFill="1" applyAlignment="1">
      <alignment horizontal="left"/>
    </xf>
    <xf numFmtId="0" fontId="16" fillId="0" borderId="0" xfId="0" quotePrefix="1" applyFont="1" applyFill="1" applyAlignment="1" applyProtection="1">
      <alignment horizontal="left"/>
    </xf>
    <xf numFmtId="0" fontId="4" fillId="0" borderId="0" xfId="0" quotePrefix="1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 indent="1"/>
    </xf>
    <xf numFmtId="0" fontId="4" fillId="0" borderId="0" xfId="0" quotePrefix="1" applyFont="1" applyFill="1" applyAlignment="1" applyProtection="1">
      <alignment horizontal="left" indent="1"/>
    </xf>
    <xf numFmtId="0" fontId="4" fillId="0" borderId="0" xfId="0" applyFont="1" applyFill="1" applyAlignment="1" applyProtection="1">
      <alignment horizontal="left" indent="2"/>
    </xf>
    <xf numFmtId="44" fontId="13" fillId="0" borderId="0" xfId="0" applyNumberFormat="1" applyFont="1" applyFill="1" applyProtection="1">
      <protection locked="0"/>
    </xf>
    <xf numFmtId="175" fontId="13" fillId="0" borderId="0" xfId="0" applyNumberFormat="1" applyFont="1" applyFill="1" applyProtection="1">
      <protection locked="0"/>
    </xf>
    <xf numFmtId="37" fontId="4" fillId="0" borderId="10" xfId="0" applyNumberFormat="1" applyFont="1" applyFill="1" applyBorder="1" applyProtection="1"/>
    <xf numFmtId="37" fontId="4" fillId="0" borderId="14" xfId="0" applyNumberFormat="1" applyFont="1" applyFill="1" applyBorder="1" applyProtection="1"/>
    <xf numFmtId="44" fontId="4" fillId="0" borderId="0" xfId="0" applyNumberFormat="1" applyFont="1" applyFill="1" applyProtection="1">
      <protection locked="0"/>
    </xf>
    <xf numFmtId="37" fontId="0" fillId="0" borderId="10" xfId="0" applyNumberFormat="1" applyFont="1" applyFill="1" applyBorder="1" applyProtection="1"/>
    <xf numFmtId="5" fontId="0" fillId="0" borderId="10" xfId="0" applyNumberFormat="1" applyFont="1" applyFill="1" applyBorder="1" applyProtection="1"/>
    <xf numFmtId="0" fontId="22" fillId="0" borderId="0" xfId="0" quotePrefix="1" applyFont="1" applyFill="1" applyAlignment="1">
      <alignment horizontal="left"/>
    </xf>
    <xf numFmtId="0" fontId="0" fillId="0" borderId="1" xfId="0" quotePrefix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8" fillId="0" borderId="0" xfId="0" applyFont="1" applyFill="1"/>
    <xf numFmtId="0" fontId="4" fillId="0" borderId="0" xfId="0" quotePrefix="1" applyFont="1" applyFill="1" applyAlignment="1" applyProtection="1">
      <alignment horizontal="left" indent="2"/>
    </xf>
    <xf numFmtId="0" fontId="4" fillId="0" borderId="0" xfId="0" quotePrefix="1" applyFont="1" applyFill="1" applyAlignment="1" applyProtection="1">
      <alignment horizontal="left" indent="3"/>
    </xf>
    <xf numFmtId="10" fontId="0" fillId="0" borderId="0" xfId="0" applyNumberFormat="1" applyFont="1" applyFill="1" applyProtection="1"/>
    <xf numFmtId="0" fontId="4" fillId="0" borderId="0" xfId="0" quotePrefix="1" applyFont="1" applyFill="1" applyAlignment="1" applyProtection="1">
      <alignment horizontal="left" indent="4"/>
    </xf>
    <xf numFmtId="37" fontId="0" fillId="0" borderId="0" xfId="0" quotePrefix="1" applyNumberFormat="1" applyFont="1" applyFill="1" applyAlignment="1" applyProtection="1">
      <alignment horizontal="center"/>
    </xf>
    <xf numFmtId="44" fontId="0" fillId="0" borderId="0" xfId="0" applyNumberFormat="1" applyFill="1"/>
    <xf numFmtId="10" fontId="8" fillId="0" borderId="0" xfId="0" applyNumberFormat="1" applyFont="1" applyFill="1"/>
    <xf numFmtId="0" fontId="8" fillId="0" borderId="0" xfId="0" quotePrefix="1" applyFont="1" applyFill="1" applyBorder="1" applyAlignment="1">
      <alignment horizontal="left" indent="1"/>
    </xf>
    <xf numFmtId="175" fontId="0" fillId="0" borderId="0" xfId="0" applyNumberFormat="1" applyFont="1" applyFill="1"/>
    <xf numFmtId="37" fontId="20" fillId="0" borderId="0" xfId="0" quotePrefix="1" applyNumberFormat="1" applyFont="1" applyFill="1" applyAlignment="1" applyProtection="1">
      <alignment horizontal="center"/>
    </xf>
    <xf numFmtId="0" fontId="20" fillId="0" borderId="0" xfId="0" applyFont="1" applyFill="1"/>
    <xf numFmtId="0" fontId="20" fillId="0" borderId="0" xfId="0" quotePrefix="1" applyFont="1" applyFill="1" applyAlignment="1">
      <alignment horizontal="left"/>
    </xf>
    <xf numFmtId="0" fontId="0" fillId="0" borderId="17" xfId="0" applyFill="1" applyBorder="1"/>
    <xf numFmtId="3" fontId="0" fillId="0" borderId="18" xfId="0" applyNumberFormat="1" applyFill="1" applyBorder="1"/>
    <xf numFmtId="0" fontId="0" fillId="0" borderId="22" xfId="0" applyFill="1" applyBorder="1"/>
    <xf numFmtId="3" fontId="0" fillId="0" borderId="20" xfId="0" applyNumberFormat="1" applyFill="1" applyBorder="1"/>
    <xf numFmtId="9" fontId="8" fillId="0" borderId="0" xfId="0" applyNumberFormat="1" applyFont="1" applyFill="1"/>
    <xf numFmtId="175" fontId="8" fillId="0" borderId="0" xfId="0" applyNumberFormat="1" applyFont="1" applyFill="1"/>
    <xf numFmtId="176" fontId="13" fillId="0" borderId="0" xfId="0" applyNumberFormat="1" applyFont="1" applyFill="1" applyProtection="1">
      <protection locked="0"/>
    </xf>
    <xf numFmtId="177" fontId="13" fillId="0" borderId="0" xfId="0" applyNumberFormat="1" applyFont="1" applyFill="1" applyProtection="1">
      <protection locked="0"/>
    </xf>
    <xf numFmtId="178" fontId="1" fillId="0" borderId="8" xfId="0" applyNumberFormat="1" applyFont="1" applyFill="1" applyBorder="1"/>
    <xf numFmtId="178" fontId="0" fillId="0" borderId="2" xfId="0" applyNumberFormat="1" applyFill="1" applyBorder="1"/>
    <xf numFmtId="169" fontId="4" fillId="0" borderId="14" xfId="0" applyNumberFormat="1" applyFont="1" applyFill="1" applyBorder="1" applyProtection="1"/>
    <xf numFmtId="167" fontId="1" fillId="0" borderId="0" xfId="0" applyNumberFormat="1" applyFont="1" applyFill="1" applyAlignment="1">
      <alignment horizontal="right"/>
    </xf>
    <xf numFmtId="0" fontId="19" fillId="0" borderId="0" xfId="0" quotePrefix="1" applyFont="1" applyFill="1" applyBorder="1" applyAlignment="1">
      <alignment horizontal="left"/>
    </xf>
    <xf numFmtId="178" fontId="4" fillId="0" borderId="0" xfId="0" applyNumberFormat="1" applyFont="1" applyFill="1" applyProtection="1">
      <protection locked="0"/>
    </xf>
    <xf numFmtId="178" fontId="4" fillId="0" borderId="10" xfId="0" applyNumberFormat="1" applyFont="1" applyFill="1" applyBorder="1" applyProtection="1">
      <protection locked="0"/>
    </xf>
    <xf numFmtId="178" fontId="1" fillId="0" borderId="0" xfId="0" applyNumberFormat="1" applyFont="1" applyFill="1"/>
    <xf numFmtId="178" fontId="4" fillId="0" borderId="0" xfId="0" applyNumberFormat="1" applyFont="1" applyFill="1" applyBorder="1" applyProtection="1">
      <protection locked="0"/>
    </xf>
    <xf numFmtId="178" fontId="1" fillId="0" borderId="0" xfId="0" applyNumberFormat="1" applyFont="1" applyFill="1" applyBorder="1"/>
    <xf numFmtId="0" fontId="25" fillId="0" borderId="0" xfId="0" applyFont="1" applyFill="1"/>
    <xf numFmtId="0" fontId="25" fillId="0" borderId="0" xfId="0" applyFont="1" applyFill="1" applyAlignment="1">
      <alignment horizontal="centerContinuous"/>
    </xf>
    <xf numFmtId="0" fontId="25" fillId="0" borderId="5" xfId="0" applyFont="1" applyFill="1" applyBorder="1" applyAlignment="1">
      <alignment horizontal="center" wrapText="1"/>
    </xf>
    <xf numFmtId="0" fontId="25" fillId="0" borderId="5" xfId="0" quotePrefix="1" applyFont="1" applyFill="1" applyBorder="1" applyAlignment="1">
      <alignment horizontal="center" wrapText="1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0" fontId="25" fillId="0" borderId="0" xfId="0" quotePrefix="1" applyFont="1" applyFill="1" applyAlignment="1">
      <alignment horizontal="center" vertical="top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left"/>
    </xf>
    <xf numFmtId="169" fontId="25" fillId="0" borderId="10" xfId="0" applyNumberFormat="1" applyFont="1" applyFill="1" applyBorder="1"/>
    <xf numFmtId="167" fontId="25" fillId="0" borderId="10" xfId="0" applyNumberFormat="1" applyFont="1" applyFill="1" applyBorder="1"/>
    <xf numFmtId="9" fontId="25" fillId="0" borderId="0" xfId="0" applyNumberFormat="1" applyFont="1" applyFill="1"/>
    <xf numFmtId="169" fontId="25" fillId="0" borderId="0" xfId="0" applyNumberFormat="1" applyFont="1" applyFill="1" applyBorder="1"/>
    <xf numFmtId="167" fontId="25" fillId="0" borderId="0" xfId="0" applyNumberFormat="1" applyFont="1" applyFill="1" applyBorder="1"/>
    <xf numFmtId="0" fontId="25" fillId="0" borderId="0" xfId="0" quotePrefix="1" applyFont="1" applyFill="1" applyAlignment="1">
      <alignment horizontal="left" indent="1"/>
    </xf>
    <xf numFmtId="0" fontId="25" fillId="0" borderId="0" xfId="0" quotePrefix="1" applyFont="1" applyFill="1" applyAlignment="1">
      <alignment horizontal="left"/>
    </xf>
    <xf numFmtId="3" fontId="25" fillId="0" borderId="0" xfId="0" applyNumberFormat="1" applyFont="1" applyFill="1" applyBorder="1"/>
    <xf numFmtId="0" fontId="25" fillId="0" borderId="0" xfId="0" applyFont="1" applyFill="1" applyAlignment="1">
      <alignment horizontal="left" indent="1"/>
    </xf>
    <xf numFmtId="3" fontId="25" fillId="0" borderId="0" xfId="0" applyNumberFormat="1" applyFont="1" applyFill="1"/>
    <xf numFmtId="10" fontId="25" fillId="0" borderId="0" xfId="0" applyNumberFormat="1" applyFont="1" applyFill="1"/>
    <xf numFmtId="3" fontId="25" fillId="0" borderId="10" xfId="0" applyNumberFormat="1" applyFont="1" applyFill="1" applyBorder="1"/>
    <xf numFmtId="0" fontId="25" fillId="0" borderId="0" xfId="0" applyFont="1" applyFill="1" applyBorder="1"/>
    <xf numFmtId="169" fontId="25" fillId="0" borderId="0" xfId="0" applyNumberFormat="1" applyFont="1" applyFill="1"/>
    <xf numFmtId="169" fontId="25" fillId="0" borderId="14" xfId="0" applyNumberFormat="1" applyFont="1" applyFill="1" applyBorder="1"/>
    <xf numFmtId="167" fontId="25" fillId="0" borderId="14" xfId="0" applyNumberFormat="1" applyFont="1" applyFill="1" applyBorder="1"/>
    <xf numFmtId="10" fontId="25" fillId="0" borderId="14" xfId="0" applyNumberFormat="1" applyFont="1" applyFill="1" applyBorder="1"/>
    <xf numFmtId="10" fontId="25" fillId="0" borderId="0" xfId="0" applyNumberFormat="1" applyFont="1" applyFill="1" applyBorder="1"/>
    <xf numFmtId="44" fontId="25" fillId="0" borderId="0" xfId="0" applyNumberFormat="1" applyFont="1" applyFill="1" applyBorder="1"/>
    <xf numFmtId="167" fontId="25" fillId="0" borderId="0" xfId="0" applyNumberFormat="1" applyFont="1" applyFill="1"/>
    <xf numFmtId="9" fontId="26" fillId="0" borderId="21" xfId="0" applyNumberFormat="1" applyFont="1" applyFill="1" applyBorder="1"/>
    <xf numFmtId="0" fontId="25" fillId="0" borderId="21" xfId="0" applyFont="1" applyFill="1" applyBorder="1"/>
    <xf numFmtId="0" fontId="25" fillId="0" borderId="18" xfId="0" applyFont="1" applyFill="1" applyBorder="1"/>
    <xf numFmtId="0" fontId="25" fillId="0" borderId="22" xfId="0" applyFont="1" applyFill="1" applyBorder="1"/>
    <xf numFmtId="0" fontId="26" fillId="0" borderId="0" xfId="0" quotePrefix="1" applyFont="1" applyFill="1" applyAlignment="1">
      <alignment wrapText="1"/>
    </xf>
    <xf numFmtId="178" fontId="0" fillId="0" borderId="5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11" fillId="0" borderId="0" xfId="0" quotePrefix="1" applyNumberFormat="1" applyFont="1" applyFill="1" applyAlignment="1"/>
    <xf numFmtId="0" fontId="11" fillId="0" borderId="0" xfId="0" applyFont="1" applyFill="1" applyAlignment="1" applyProtection="1">
      <alignment horizontal="centerContinuous"/>
    </xf>
    <xf numFmtId="37" fontId="11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24" fillId="0" borderId="0" xfId="0" quotePrefix="1" applyFont="1" applyFill="1" applyAlignment="1">
      <alignment horizontal="left"/>
    </xf>
    <xf numFmtId="10" fontId="12" fillId="0" borderId="0" xfId="0" applyNumberFormat="1" applyFont="1" applyFill="1" applyBorder="1"/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9" fillId="0" borderId="0" xfId="0" applyNumberFormat="1" applyFont="1" applyFill="1" applyBorder="1"/>
    <xf numFmtId="0" fontId="9" fillId="0" borderId="17" xfId="0" quotePrefix="1" applyFont="1" applyFill="1" applyBorder="1" applyAlignment="1">
      <alignment horizontal="left"/>
    </xf>
    <xf numFmtId="44" fontId="9" fillId="0" borderId="0" xfId="0" applyNumberFormat="1" applyFont="1" applyFill="1" applyBorder="1"/>
    <xf numFmtId="0" fontId="9" fillId="0" borderId="18" xfId="0" applyFont="1" applyFill="1" applyBorder="1"/>
    <xf numFmtId="44" fontId="9" fillId="0" borderId="18" xfId="0" applyNumberFormat="1" applyFont="1" applyFill="1" applyBorder="1"/>
    <xf numFmtId="175" fontId="9" fillId="0" borderId="18" xfId="0" applyNumberFormat="1" applyFont="1" applyFill="1" applyBorder="1"/>
    <xf numFmtId="0" fontId="9" fillId="0" borderId="19" xfId="0" quotePrefix="1" applyFont="1" applyFill="1" applyBorder="1" applyAlignment="1">
      <alignment horizontal="left"/>
    </xf>
    <xf numFmtId="176" fontId="9" fillId="0" borderId="20" xfId="0" applyNumberFormat="1" applyFont="1" applyFill="1" applyBorder="1"/>
    <xf numFmtId="10" fontId="25" fillId="0" borderId="16" xfId="0" applyNumberFormat="1" applyFont="1" applyFill="1" applyBorder="1"/>
    <xf numFmtId="10" fontId="25" fillId="0" borderId="18" xfId="0" applyNumberFormat="1" applyFont="1" applyFill="1" applyBorder="1"/>
    <xf numFmtId="10" fontId="26" fillId="0" borderId="20" xfId="0" applyNumberFormat="1" applyFont="1" applyFill="1" applyBorder="1"/>
    <xf numFmtId="0" fontId="19" fillId="0" borderId="0" xfId="0" applyFont="1" applyFill="1" applyAlignment="1">
      <alignment horizontal="centerContinuous"/>
    </xf>
    <xf numFmtId="0" fontId="19" fillId="0" borderId="5" xfId="0" quotePrefix="1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 wrapText="1"/>
    </xf>
    <xf numFmtId="0" fontId="19" fillId="0" borderId="0" xfId="0" quotePrefix="1" applyFont="1" applyFill="1" applyAlignment="1">
      <alignment horizontal="left" indent="1"/>
    </xf>
    <xf numFmtId="44" fontId="19" fillId="0" borderId="0" xfId="0" applyNumberFormat="1" applyFont="1" applyFill="1"/>
    <xf numFmtId="175" fontId="19" fillId="0" borderId="0" xfId="0" applyNumberFormat="1" applyFont="1" applyFill="1"/>
    <xf numFmtId="0" fontId="19" fillId="0" borderId="0" xfId="0" quotePrefix="1" applyFont="1" applyFill="1" applyAlignment="1">
      <alignment horizontal="left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left" indent="2"/>
    </xf>
    <xf numFmtId="176" fontId="19" fillId="0" borderId="0" xfId="0" applyNumberFormat="1" applyFont="1" applyFill="1"/>
    <xf numFmtId="0" fontId="19" fillId="0" borderId="0" xfId="0" applyFont="1" applyFill="1" applyAlignment="1">
      <alignment horizontal="left" indent="1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quotePrefix="1" applyFont="1" applyFill="1" applyBorder="1" applyAlignment="1">
      <alignment horizontal="left" indent="1"/>
    </xf>
    <xf numFmtId="44" fontId="19" fillId="0" borderId="0" xfId="0" applyNumberFormat="1" applyFont="1" applyFill="1" applyBorder="1"/>
    <xf numFmtId="176" fontId="19" fillId="0" borderId="0" xfId="0" applyNumberFormat="1" applyFont="1" applyFill="1" applyBorder="1"/>
    <xf numFmtId="171" fontId="19" fillId="0" borderId="0" xfId="0" applyNumberFormat="1" applyFont="1" applyFill="1" applyBorder="1"/>
    <xf numFmtId="10" fontId="19" fillId="0" borderId="0" xfId="0" applyNumberFormat="1" applyFont="1" applyFill="1" applyBorder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44" fontId="0" fillId="0" borderId="0" xfId="0" applyNumberFormat="1" applyFont="1" applyFill="1" applyBorder="1" applyProtection="1"/>
    <xf numFmtId="0" fontId="19" fillId="0" borderId="0" xfId="0" applyFont="1" applyFill="1" applyBorder="1" applyAlignment="1">
      <alignment horizontal="left" indent="2"/>
    </xf>
    <xf numFmtId="0" fontId="19" fillId="0" borderId="0" xfId="0" quotePrefix="1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indent="1"/>
    </xf>
    <xf numFmtId="10" fontId="19" fillId="0" borderId="0" xfId="0" applyNumberFormat="1" applyFont="1" applyFill="1"/>
    <xf numFmtId="169" fontId="0" fillId="0" borderId="0" xfId="0" applyNumberFormat="1" applyFont="1" applyFill="1"/>
    <xf numFmtId="169" fontId="0" fillId="0" borderId="0" xfId="0" applyNumberFormat="1" applyFont="1" applyFill="1" applyBorder="1"/>
    <xf numFmtId="175" fontId="0" fillId="0" borderId="0" xfId="0" applyNumberFormat="1" applyFill="1"/>
    <xf numFmtId="9" fontId="0" fillId="0" borderId="0" xfId="0" applyNumberFormat="1" applyFont="1" applyFill="1" applyProtection="1"/>
    <xf numFmtId="0" fontId="11" fillId="0" borderId="0" xfId="0" applyFont="1" applyFill="1" applyBorder="1" applyAlignment="1" applyProtection="1">
      <alignment wrapText="1"/>
    </xf>
    <xf numFmtId="175" fontId="27" fillId="0" borderId="0" xfId="0" applyNumberFormat="1" applyFont="1" applyFill="1" applyProtection="1">
      <protection locked="0"/>
    </xf>
    <xf numFmtId="9" fontId="19" fillId="0" borderId="0" xfId="0" applyNumberFormat="1" applyFont="1" applyFill="1" applyBorder="1"/>
    <xf numFmtId="0" fontId="19" fillId="0" borderId="0" xfId="0" applyFont="1" applyFill="1"/>
    <xf numFmtId="0" fontId="19" fillId="0" borderId="26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center" wrapText="1"/>
    </xf>
    <xf numFmtId="0" fontId="19" fillId="0" borderId="28" xfId="0" applyFont="1" applyFill="1" applyBorder="1" applyAlignment="1">
      <alignment horizont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0" xfId="0" quotePrefix="1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1" xfId="0" quotePrefix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left" vertical="center" wrapText="1"/>
    </xf>
    <xf numFmtId="6" fontId="19" fillId="0" borderId="31" xfId="0" quotePrefix="1" applyNumberFormat="1" applyFont="1" applyFill="1" applyBorder="1" applyAlignment="1">
      <alignment horizontal="center" vertical="center" wrapText="1"/>
    </xf>
    <xf numFmtId="6" fontId="19" fillId="0" borderId="31" xfId="0" applyNumberFormat="1" applyFont="1" applyFill="1" applyBorder="1" applyAlignment="1">
      <alignment horizontal="center" vertical="center" wrapText="1"/>
    </xf>
    <xf numFmtId="0" fontId="0" fillId="0" borderId="0" xfId="0" quotePrefix="1" applyFill="1" applyAlignment="1">
      <alignment wrapText="1"/>
    </xf>
    <xf numFmtId="0" fontId="0" fillId="0" borderId="19" xfId="0" quotePrefix="1" applyFill="1" applyBorder="1" applyAlignment="1">
      <alignment horizontal="left"/>
    </xf>
    <xf numFmtId="5" fontId="0" fillId="0" borderId="1" xfId="0" applyNumberFormat="1" applyFill="1" applyBorder="1"/>
    <xf numFmtId="0" fontId="0" fillId="0" borderId="2" xfId="0" applyFill="1" applyBorder="1"/>
    <xf numFmtId="5" fontId="0" fillId="0" borderId="13" xfId="0" applyNumberFormat="1" applyFill="1" applyBorder="1"/>
    <xf numFmtId="10" fontId="0" fillId="0" borderId="4" xfId="0" applyNumberFormat="1" applyFont="1" applyFill="1" applyBorder="1"/>
    <xf numFmtId="0" fontId="0" fillId="0" borderId="5" xfId="0" quotePrefix="1" applyFill="1" applyBorder="1" applyAlignment="1">
      <alignment horizontal="left" wrapText="1"/>
    </xf>
    <xf numFmtId="3" fontId="0" fillId="0" borderId="5" xfId="0" applyNumberFormat="1" applyFill="1" applyBorder="1"/>
    <xf numFmtId="10" fontId="0" fillId="0" borderId="0" xfId="0" applyNumberFormat="1" applyFont="1" applyFill="1" applyBorder="1"/>
    <xf numFmtId="166" fontId="4" fillId="0" borderId="0" xfId="0" applyNumberFormat="1" applyFont="1" applyFill="1" applyProtection="1">
      <protection locked="0"/>
    </xf>
    <xf numFmtId="166" fontId="4" fillId="0" borderId="10" xfId="0" applyNumberFormat="1" applyFont="1" applyFill="1" applyBorder="1" applyProtection="1">
      <protection locked="0"/>
    </xf>
    <xf numFmtId="166" fontId="4" fillId="0" borderId="8" xfId="0" applyNumberFormat="1" applyFont="1" applyFill="1" applyBorder="1" applyProtection="1">
      <protection locked="0"/>
    </xf>
    <xf numFmtId="167" fontId="4" fillId="0" borderId="10" xfId="0" applyNumberFormat="1" applyFont="1" applyFill="1" applyBorder="1" applyProtection="1">
      <protection locked="0"/>
    </xf>
    <xf numFmtId="175" fontId="28" fillId="0" borderId="0" xfId="0" applyNumberFormat="1" applyFont="1" applyFill="1" applyProtection="1">
      <protection locked="0"/>
    </xf>
    <xf numFmtId="0" fontId="28" fillId="0" borderId="0" xfId="0" applyFont="1" applyFill="1"/>
    <xf numFmtId="3" fontId="28" fillId="0" borderId="0" xfId="0" applyNumberFormat="1" applyFont="1" applyFill="1"/>
    <xf numFmtId="167" fontId="28" fillId="0" borderId="0" xfId="0" applyNumberFormat="1" applyFont="1" applyFill="1"/>
    <xf numFmtId="9" fontId="28" fillId="0" borderId="0" xfId="0" applyNumberFormat="1" applyFont="1" applyFill="1"/>
    <xf numFmtId="3" fontId="28" fillId="0" borderId="0" xfId="0" applyNumberFormat="1" applyFont="1" applyFill="1" applyBorder="1"/>
    <xf numFmtId="0" fontId="28" fillId="0" borderId="0" xfId="0" applyFont="1" applyFill="1" applyBorder="1"/>
    <xf numFmtId="175" fontId="28" fillId="0" borderId="0" xfId="0" applyNumberFormat="1" applyFont="1" applyFill="1" applyBorder="1"/>
    <xf numFmtId="167" fontId="28" fillId="0" borderId="0" xfId="0" applyNumberFormat="1" applyFont="1" applyFill="1" applyBorder="1"/>
    <xf numFmtId="3" fontId="1" fillId="0" borderId="0" xfId="0" quotePrefix="1" applyNumberFormat="1" applyFont="1" applyFill="1" applyBorder="1" applyAlignment="1">
      <alignment horizontal="left"/>
    </xf>
    <xf numFmtId="176" fontId="4" fillId="0" borderId="0" xfId="0" applyNumberFormat="1" applyFont="1" applyFill="1" applyProtection="1">
      <protection locked="0"/>
    </xf>
    <xf numFmtId="175" fontId="4" fillId="0" borderId="0" xfId="0" applyNumberFormat="1" applyFont="1" applyFill="1" applyProtection="1">
      <protection locked="0"/>
    </xf>
    <xf numFmtId="166" fontId="28" fillId="0" borderId="0" xfId="0" applyNumberFormat="1" applyFont="1" applyFill="1"/>
    <xf numFmtId="3" fontId="29" fillId="0" borderId="5" xfId="0" quotePrefix="1" applyNumberFormat="1" applyFont="1" applyFill="1" applyBorder="1" applyAlignment="1"/>
    <xf numFmtId="3" fontId="29" fillId="0" borderId="5" xfId="0" applyNumberFormat="1" applyFont="1" applyFill="1" applyBorder="1" applyAlignment="1"/>
    <xf numFmtId="0" fontId="0" fillId="0" borderId="4" xfId="0" quotePrefix="1" applyFill="1" applyBorder="1" applyAlignment="1">
      <alignment horizontal="left"/>
    </xf>
    <xf numFmtId="0" fontId="0" fillId="0" borderId="13" xfId="0" applyFill="1" applyBorder="1"/>
    <xf numFmtId="5" fontId="0" fillId="0" borderId="0" xfId="0" applyNumberFormat="1" applyFill="1" applyBorder="1"/>
    <xf numFmtId="0" fontId="0" fillId="0" borderId="35" xfId="0" applyFill="1" applyBorder="1"/>
    <xf numFmtId="10" fontId="0" fillId="0" borderId="35" xfId="0" applyNumberFormat="1" applyFont="1" applyFill="1" applyBorder="1"/>
    <xf numFmtId="0" fontId="0" fillId="0" borderId="13" xfId="0" quotePrefix="1" applyFill="1" applyBorder="1" applyAlignment="1">
      <alignment horizontal="left"/>
    </xf>
    <xf numFmtId="175" fontId="13" fillId="0" borderId="0" xfId="0" quotePrefix="1" applyNumberFormat="1" applyFont="1" applyFill="1" applyAlignment="1" applyProtection="1">
      <alignment horizontal="left"/>
      <protection locked="0"/>
    </xf>
    <xf numFmtId="3" fontId="0" fillId="0" borderId="35" xfId="0" applyNumberFormat="1" applyFill="1" applyBorder="1"/>
    <xf numFmtId="44" fontId="0" fillId="0" borderId="0" xfId="0" applyNumberFormat="1" applyFont="1" applyFill="1"/>
    <xf numFmtId="167" fontId="1" fillId="0" borderId="0" xfId="0" applyNumberFormat="1" applyFont="1" applyFill="1"/>
    <xf numFmtId="42" fontId="4" fillId="0" borderId="14" xfId="0" applyNumberFormat="1" applyFont="1" applyFill="1" applyBorder="1" applyProtection="1"/>
    <xf numFmtId="42" fontId="0" fillId="0" borderId="0" xfId="0" applyNumberFormat="1" applyFill="1"/>
    <xf numFmtId="0" fontId="0" fillId="0" borderId="0" xfId="0" quotePrefix="1" applyFill="1" applyAlignment="1">
      <alignment horizontal="left" indent="1"/>
    </xf>
    <xf numFmtId="44" fontId="13" fillId="0" borderId="0" xfId="0" applyNumberFormat="1" applyFont="1" applyFill="1"/>
    <xf numFmtId="0" fontId="0" fillId="0" borderId="0" xfId="0" applyFill="1" applyAlignment="1">
      <alignment horizontal="left" indent="1"/>
    </xf>
    <xf numFmtId="7" fontId="13" fillId="0" borderId="0" xfId="0" applyNumberFormat="1" applyFont="1" applyFill="1"/>
    <xf numFmtId="0" fontId="0" fillId="0" borderId="0" xfId="0" quotePrefix="1" applyFill="1" applyAlignment="1">
      <alignment horizontal="left" indent="2"/>
    </xf>
    <xf numFmtId="169" fontId="0" fillId="0" borderId="2" xfId="0" applyNumberFormat="1" applyFont="1" applyFill="1" applyBorder="1"/>
    <xf numFmtId="44" fontId="8" fillId="0" borderId="0" xfId="0" applyNumberFormat="1" applyFont="1" applyFill="1"/>
    <xf numFmtId="169" fontId="0" fillId="0" borderId="0" xfId="0" applyNumberFormat="1" applyFont="1" applyFill="1" applyProtection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4" fillId="0" borderId="0" xfId="0" applyNumberFormat="1" applyFont="1" applyFill="1" applyProtection="1"/>
    <xf numFmtId="5" fontId="1" fillId="0" borderId="0" xfId="0" applyNumberFormat="1" applyFont="1" applyFill="1" applyProtection="1"/>
    <xf numFmtId="5" fontId="1" fillId="0" borderId="0" xfId="0" applyNumberFormat="1" applyFont="1" applyFill="1"/>
    <xf numFmtId="179" fontId="13" fillId="0" borderId="0" xfId="0" applyNumberFormat="1" applyFont="1" applyFill="1" applyBorder="1"/>
    <xf numFmtId="44" fontId="17" fillId="0" borderId="0" xfId="0" applyNumberFormat="1" applyFont="1" applyFill="1" applyBorder="1"/>
    <xf numFmtId="169" fontId="0" fillId="0" borderId="36" xfId="0" applyNumberFormat="1" applyFont="1" applyFill="1" applyBorder="1" applyProtection="1"/>
    <xf numFmtId="5" fontId="4" fillId="0" borderId="36" xfId="0" applyNumberFormat="1" applyFont="1" applyFill="1" applyBorder="1" applyProtection="1"/>
    <xf numFmtId="0" fontId="0" fillId="0" borderId="0" xfId="0" quotePrefix="1" applyFont="1" applyFill="1"/>
    <xf numFmtId="180" fontId="13" fillId="0" borderId="0" xfId="0" applyNumberFormat="1" applyFont="1" applyFill="1" applyProtection="1"/>
    <xf numFmtId="173" fontId="13" fillId="0" borderId="0" xfId="0" applyNumberFormat="1" applyFont="1" applyFill="1"/>
    <xf numFmtId="173" fontId="8" fillId="0" borderId="0" xfId="0" applyNumberFormat="1" applyFont="1" applyFill="1"/>
    <xf numFmtId="37" fontId="0" fillId="0" borderId="2" xfId="0" applyNumberFormat="1" applyFill="1" applyBorder="1"/>
    <xf numFmtId="5" fontId="4" fillId="0" borderId="2" xfId="0" applyNumberFormat="1" applyFont="1" applyFill="1" applyBorder="1" applyProtection="1"/>
    <xf numFmtId="37" fontId="1" fillId="0" borderId="0" xfId="0" applyNumberFormat="1" applyFont="1" applyFill="1"/>
    <xf numFmtId="37" fontId="0" fillId="0" borderId="36" xfId="0" applyNumberFormat="1" applyFont="1" applyFill="1" applyBorder="1" applyProtection="1"/>
    <xf numFmtId="165" fontId="4" fillId="0" borderId="0" xfId="0" applyNumberFormat="1" applyFont="1" applyFill="1" applyProtection="1"/>
    <xf numFmtId="37" fontId="0" fillId="0" borderId="0" xfId="0" applyNumberFormat="1" applyFill="1" applyBorder="1"/>
    <xf numFmtId="178" fontId="0" fillId="0" borderId="0" xfId="0" applyNumberFormat="1" applyFill="1" applyBorder="1"/>
    <xf numFmtId="5" fontId="0" fillId="0" borderId="0" xfId="0" applyNumberFormat="1" applyFill="1" applyBorder="1" applyProtection="1"/>
    <xf numFmtId="0" fontId="4" fillId="0" borderId="0" xfId="0" quotePrefix="1" applyFont="1" applyFill="1" applyProtection="1"/>
    <xf numFmtId="165" fontId="4" fillId="0" borderId="0" xfId="0" applyNumberFormat="1" applyFont="1" applyFill="1" applyBorder="1" applyProtection="1"/>
    <xf numFmtId="176" fontId="1" fillId="0" borderId="0" xfId="0" applyNumberFormat="1" applyFont="1" applyFill="1"/>
    <xf numFmtId="176" fontId="13" fillId="0" borderId="0" xfId="0" applyNumberFormat="1" applyFont="1" applyFill="1"/>
    <xf numFmtId="175" fontId="1" fillId="0" borderId="0" xfId="0" applyNumberFormat="1" applyFont="1" applyFill="1" applyProtection="1"/>
    <xf numFmtId="44" fontId="28" fillId="0" borderId="0" xfId="0" applyNumberFormat="1" applyFont="1" applyFill="1" applyBorder="1"/>
    <xf numFmtId="44" fontId="27" fillId="0" borderId="0" xfId="0" applyNumberFormat="1" applyFont="1" applyFill="1" applyProtection="1">
      <protection locked="0"/>
    </xf>
    <xf numFmtId="167" fontId="0" fillId="0" borderId="1" xfId="0" applyNumberFormat="1" applyFont="1" applyFill="1" applyBorder="1"/>
    <xf numFmtId="167" fontId="0" fillId="0" borderId="13" xfId="0" applyNumberFormat="1" applyFont="1" applyFill="1" applyBorder="1"/>
    <xf numFmtId="167" fontId="0" fillId="0" borderId="4" xfId="0" applyNumberFormat="1" applyFill="1" applyBorder="1"/>
    <xf numFmtId="173" fontId="19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44" fontId="13" fillId="0" borderId="0" xfId="0" applyNumberFormat="1" applyFont="1" applyFill="1" applyAlignment="1">
      <alignment horizontal="right"/>
    </xf>
    <xf numFmtId="167" fontId="4" fillId="0" borderId="0" xfId="0" applyNumberFormat="1" applyFont="1" applyFill="1" applyProtection="1">
      <protection locked="0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0" fontId="0" fillId="0" borderId="0" xfId="0" applyFill="1" applyAlignment="1"/>
    <xf numFmtId="44" fontId="0" fillId="0" borderId="0" xfId="0" applyNumberFormat="1" applyFill="1" applyBorder="1"/>
    <xf numFmtId="9" fontId="0" fillId="0" borderId="0" xfId="0" applyNumberFormat="1" applyFont="1" applyFill="1" applyBorder="1" applyProtection="1"/>
    <xf numFmtId="0" fontId="0" fillId="0" borderId="15" xfId="0" applyFill="1" applyBorder="1"/>
    <xf numFmtId="0" fontId="0" fillId="0" borderId="21" xfId="0" applyFill="1" applyBorder="1"/>
    <xf numFmtId="44" fontId="0" fillId="0" borderId="21" xfId="0" applyNumberFormat="1" applyFill="1" applyBorder="1"/>
    <xf numFmtId="9" fontId="0" fillId="0" borderId="21" xfId="0" applyNumberFormat="1" applyFont="1" applyFill="1" applyBorder="1" applyProtection="1"/>
    <xf numFmtId="44" fontId="0" fillId="0" borderId="16" xfId="0" applyNumberFormat="1" applyFill="1" applyBorder="1"/>
    <xf numFmtId="44" fontId="0" fillId="0" borderId="18" xfId="0" applyNumberFormat="1" applyFill="1" applyBorder="1"/>
    <xf numFmtId="0" fontId="0" fillId="0" borderId="17" xfId="0" quotePrefix="1" applyFill="1" applyBorder="1" applyAlignment="1">
      <alignment horizontal="left"/>
    </xf>
    <xf numFmtId="44" fontId="0" fillId="0" borderId="17" xfId="0" applyNumberFormat="1" applyFont="1" applyFill="1" applyBorder="1"/>
    <xf numFmtId="0" fontId="0" fillId="0" borderId="18" xfId="0" applyFill="1" applyBorder="1"/>
    <xf numFmtId="3" fontId="0" fillId="0" borderId="17" xfId="0" applyNumberFormat="1" applyFill="1" applyBorder="1"/>
    <xf numFmtId="3" fontId="0" fillId="0" borderId="19" xfId="0" applyNumberFormat="1" applyFill="1" applyBorder="1"/>
    <xf numFmtId="0" fontId="0" fillId="0" borderId="20" xfId="0" applyFill="1" applyBorder="1"/>
    <xf numFmtId="0" fontId="19" fillId="0" borderId="0" xfId="0" quotePrefix="1" applyFont="1" applyFill="1" applyBorder="1" applyAlignment="1">
      <alignment vertical="top"/>
    </xf>
    <xf numFmtId="176" fontId="31" fillId="0" borderId="0" xfId="0" applyNumberFormat="1" applyFont="1" applyFill="1" applyBorder="1" applyAlignment="1"/>
    <xf numFmtId="167" fontId="0" fillId="0" borderId="0" xfId="1" applyNumberFormat="1" applyFont="1" applyFill="1"/>
    <xf numFmtId="167" fontId="4" fillId="0" borderId="0" xfId="1" applyNumberFormat="1" applyFont="1" applyFill="1" applyProtection="1"/>
    <xf numFmtId="167" fontId="0" fillId="0" borderId="0" xfId="0" applyNumberFormat="1" applyFill="1"/>
    <xf numFmtId="169" fontId="0" fillId="0" borderId="0" xfId="2" applyNumberFormat="1" applyFont="1" applyFill="1"/>
    <xf numFmtId="0" fontId="19" fillId="0" borderId="0" xfId="0" applyFont="1" applyFill="1" applyBorder="1" applyAlignment="1">
      <alignment horizontal="center" wrapText="1"/>
    </xf>
    <xf numFmtId="0" fontId="19" fillId="0" borderId="6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/>
    </xf>
    <xf numFmtId="0" fontId="19" fillId="0" borderId="3" xfId="0" quotePrefix="1" applyFont="1" applyFill="1" applyBorder="1" applyAlignment="1">
      <alignment horizontal="center"/>
    </xf>
    <xf numFmtId="0" fontId="19" fillId="0" borderId="0" xfId="0" quotePrefix="1" applyFont="1" applyFill="1" applyBorder="1" applyAlignment="1">
      <alignment horizontal="center" wrapText="1"/>
    </xf>
    <xf numFmtId="0" fontId="19" fillId="0" borderId="35" xfId="0" quotePrefix="1" applyFont="1" applyFill="1" applyBorder="1" applyAlignment="1">
      <alignment horizontal="center"/>
    </xf>
    <xf numFmtId="0" fontId="19" fillId="0" borderId="35" xfId="0" applyFont="1" applyFill="1" applyBorder="1"/>
    <xf numFmtId="0" fontId="33" fillId="0" borderId="0" xfId="0" applyFont="1" applyFill="1"/>
    <xf numFmtId="0" fontId="19" fillId="0" borderId="35" xfId="0" quotePrefix="1" applyFont="1" applyFill="1" applyBorder="1" applyAlignment="1">
      <alignment horizontal="right" wrapText="1"/>
    </xf>
    <xf numFmtId="181" fontId="19" fillId="0" borderId="0" xfId="0" applyNumberFormat="1" applyFont="1" applyFill="1" applyBorder="1" applyAlignment="1">
      <alignment horizontal="center"/>
    </xf>
    <xf numFmtId="181" fontId="33" fillId="0" borderId="0" xfId="0" applyNumberFormat="1" applyFont="1" applyFill="1"/>
    <xf numFmtId="0" fontId="19" fillId="0" borderId="0" xfId="0" quotePrefix="1" applyFont="1" applyFill="1" applyBorder="1" applyAlignment="1">
      <alignment horizontal="center"/>
    </xf>
    <xf numFmtId="0" fontId="19" fillId="0" borderId="35" xfId="0" quotePrefix="1" applyFont="1" applyFill="1" applyBorder="1" applyAlignment="1">
      <alignment horizontal="center" wrapText="1"/>
    </xf>
    <xf numFmtId="169" fontId="19" fillId="0" borderId="0" xfId="4" applyNumberFormat="1" applyFont="1" applyFill="1" applyBorder="1" applyAlignment="1"/>
    <xf numFmtId="169" fontId="19" fillId="0" borderId="35" xfId="4" applyNumberFormat="1" applyFont="1" applyFill="1" applyBorder="1" applyAlignment="1">
      <alignment horizontal="center"/>
    </xf>
    <xf numFmtId="0" fontId="19" fillId="0" borderId="0" xfId="0" applyNumberFormat="1" applyFont="1" applyFill="1" applyBorder="1"/>
    <xf numFmtId="0" fontId="19" fillId="0" borderId="0" xfId="0" applyFont="1" applyFill="1" applyBorder="1" applyAlignment="1"/>
    <xf numFmtId="169" fontId="19" fillId="0" borderId="0" xfId="5" applyNumberFormat="1" applyFont="1" applyFill="1" applyBorder="1" applyAlignment="1"/>
    <xf numFmtId="169" fontId="19" fillId="0" borderId="35" xfId="5" applyNumberFormat="1" applyFont="1" applyFill="1" applyBorder="1" applyAlignment="1">
      <alignment horizontal="center"/>
    </xf>
    <xf numFmtId="169" fontId="19" fillId="0" borderId="0" xfId="4" applyNumberFormat="1" applyFont="1" applyFill="1" applyBorder="1"/>
    <xf numFmtId="169" fontId="19" fillId="0" borderId="35" xfId="4" applyNumberFormat="1" applyFont="1" applyFill="1" applyBorder="1"/>
    <xf numFmtId="169" fontId="19" fillId="0" borderId="0" xfId="5" applyNumberFormat="1" applyFont="1" applyFill="1" applyBorder="1"/>
    <xf numFmtId="169" fontId="25" fillId="0" borderId="35" xfId="4" applyNumberFormat="1" applyFont="1" applyFill="1" applyBorder="1"/>
    <xf numFmtId="182" fontId="33" fillId="0" borderId="0" xfId="0" applyNumberFormat="1" applyFont="1" applyFill="1"/>
    <xf numFmtId="183" fontId="33" fillId="0" borderId="0" xfId="0" applyNumberFormat="1" applyFont="1" applyFill="1"/>
    <xf numFmtId="0" fontId="33" fillId="0" borderId="0" xfId="0" quotePrefix="1" applyFont="1" applyFill="1" applyAlignment="1">
      <alignment horizontal="center"/>
    </xf>
    <xf numFmtId="169" fontId="33" fillId="0" borderId="0" xfId="2" applyNumberFormat="1" applyFont="1" applyFill="1"/>
    <xf numFmtId="167" fontId="33" fillId="0" borderId="0" xfId="1" applyNumberFormat="1" applyFont="1" applyFill="1"/>
    <xf numFmtId="167" fontId="19" fillId="0" borderId="0" xfId="0" quotePrefix="1" applyNumberFormat="1" applyFont="1" applyFill="1" applyBorder="1" applyAlignment="1">
      <alignment horizontal="center" wrapText="1"/>
    </xf>
    <xf numFmtId="184" fontId="33" fillId="0" borderId="0" xfId="0" applyNumberFormat="1" applyFont="1" applyFill="1"/>
    <xf numFmtId="0" fontId="19" fillId="0" borderId="0" xfId="0" quotePrefix="1" applyFont="1" applyFill="1" applyBorder="1" applyAlignment="1"/>
    <xf numFmtId="0" fontId="19" fillId="0" borderId="0" xfId="0" applyFont="1" applyFill="1" applyBorder="1" applyAlignment="1">
      <alignment horizontal="center" vertical="top"/>
    </xf>
    <xf numFmtId="0" fontId="19" fillId="0" borderId="35" xfId="0" quotePrefix="1" applyFont="1" applyFill="1" applyBorder="1" applyAlignment="1">
      <alignment horizontal="center" vertical="top"/>
    </xf>
    <xf numFmtId="0" fontId="19" fillId="0" borderId="0" xfId="0" quotePrefix="1" applyFont="1" applyFill="1" applyBorder="1" applyAlignment="1">
      <alignment horizontal="center" vertical="top" wrapText="1"/>
    </xf>
    <xf numFmtId="0" fontId="24" fillId="0" borderId="25" xfId="0" quotePrefix="1" applyFont="1" applyFill="1" applyBorder="1" applyAlignment="1">
      <alignment horizontal="center" wrapText="1"/>
    </xf>
    <xf numFmtId="173" fontId="33" fillId="0" borderId="0" xfId="6" applyNumberFormat="1" applyFont="1" applyFill="1"/>
    <xf numFmtId="185" fontId="33" fillId="0" borderId="0" xfId="6" applyNumberFormat="1" applyFont="1" applyFill="1"/>
    <xf numFmtId="0" fontId="11" fillId="0" borderId="0" xfId="0" applyFont="1" applyFill="1" applyBorder="1" applyAlignment="1" applyProtection="1">
      <alignment horizontal="center" wrapText="1"/>
    </xf>
    <xf numFmtId="0" fontId="19" fillId="0" borderId="34" xfId="0" quotePrefix="1" applyFont="1" applyFill="1" applyBorder="1" applyAlignment="1">
      <alignment horizontal="center" vertical="center" wrapText="1"/>
    </xf>
    <xf numFmtId="175" fontId="0" fillId="0" borderId="0" xfId="1" applyNumberFormat="1" applyFont="1" applyFill="1" applyBorder="1"/>
    <xf numFmtId="166" fontId="1" fillId="0" borderId="0" xfId="6" applyNumberFormat="1" applyFont="1" applyFill="1"/>
    <xf numFmtId="10" fontId="0" fillId="0" borderId="0" xfId="6" applyNumberFormat="1" applyFont="1" applyFill="1"/>
    <xf numFmtId="175" fontId="13" fillId="0" borderId="0" xfId="1" applyNumberFormat="1" applyFont="1" applyFill="1" applyProtection="1">
      <protection locked="0"/>
    </xf>
    <xf numFmtId="0" fontId="19" fillId="0" borderId="0" xfId="0" applyFont="1" applyFill="1" applyAlignment="1">
      <alignment horizontal="center"/>
    </xf>
    <xf numFmtId="176" fontId="31" fillId="0" borderId="0" xfId="0" applyNumberFormat="1" applyFont="1" applyFill="1" applyBorder="1" applyAlignment="1">
      <alignment horizontal="center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quotePrefix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19" fillId="0" borderId="0" xfId="3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7" fontId="0" fillId="0" borderId="0" xfId="0" applyNumberFormat="1" applyFill="1"/>
    <xf numFmtId="10" fontId="29" fillId="0" borderId="23" xfId="6" applyNumberFormat="1" applyFont="1" applyFill="1" applyBorder="1"/>
    <xf numFmtId="173" fontId="13" fillId="0" borderId="0" xfId="6" applyNumberFormat="1" applyFont="1" applyFill="1"/>
    <xf numFmtId="0" fontId="19" fillId="0" borderId="0" xfId="0" quotePrefix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10" fontId="9" fillId="0" borderId="0" xfId="0" applyNumberFormat="1" applyFont="1" applyFill="1" applyBorder="1"/>
    <xf numFmtId="10" fontId="9" fillId="0" borderId="22" xfId="0" applyNumberFormat="1" applyFont="1" applyFill="1" applyBorder="1"/>
    <xf numFmtId="173" fontId="19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37" fontId="11" fillId="0" borderId="15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37" fontId="11" fillId="0" borderId="21" xfId="0" applyNumberFormat="1" applyFont="1" applyFill="1" applyBorder="1" applyAlignment="1" applyProtection="1">
      <alignment horizontal="center" vertical="center" wrapText="1"/>
    </xf>
    <xf numFmtId="37" fontId="11" fillId="0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vertical="center" wrapText="1"/>
    </xf>
    <xf numFmtId="37" fontId="11" fillId="0" borderId="16" xfId="0" quotePrefix="1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ill="1" applyAlignment="1">
      <alignment vertical="center" wrapText="1"/>
    </xf>
    <xf numFmtId="37" fontId="11" fillId="0" borderId="23" xfId="0" applyNumberFormat="1" applyFont="1" applyFill="1" applyBorder="1" applyAlignment="1" applyProtection="1">
      <alignment horizontal="center" vertical="center" wrapText="1"/>
    </xf>
    <xf numFmtId="37" fontId="11" fillId="0" borderId="24" xfId="0" applyNumberFormat="1" applyFont="1" applyFill="1" applyBorder="1" applyAlignment="1" applyProtection="1">
      <alignment horizontal="center" vertical="center" wrapText="1"/>
    </xf>
    <xf numFmtId="37" fontId="11" fillId="0" borderId="2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0" fontId="15" fillId="0" borderId="5" xfId="0" applyFont="1" applyFill="1" applyBorder="1" applyProtection="1"/>
    <xf numFmtId="37" fontId="11" fillId="0" borderId="5" xfId="0" applyNumberFormat="1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vertical="center"/>
    </xf>
    <xf numFmtId="37" fontId="11" fillId="0" borderId="0" xfId="0" quotePrefix="1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186" fontId="25" fillId="0" borderId="0" xfId="1" applyNumberFormat="1" applyFont="1" applyFill="1"/>
    <xf numFmtId="0" fontId="19" fillId="0" borderId="0" xfId="0" applyFont="1" applyFill="1" applyAlignment="1">
      <alignment horizontal="center"/>
    </xf>
    <xf numFmtId="0" fontId="19" fillId="0" borderId="0" xfId="0" quotePrefix="1" applyFont="1" applyFill="1" applyAlignment="1">
      <alignment horizontal="left" indent="2"/>
    </xf>
    <xf numFmtId="0" fontId="19" fillId="0" borderId="0" xfId="0" applyFont="1" applyFill="1" applyAlignment="1">
      <alignment horizontal="left" indent="3"/>
    </xf>
    <xf numFmtId="0" fontId="19" fillId="0" borderId="0" xfId="0" quotePrefix="1" applyFont="1" applyFill="1" applyAlignment="1">
      <alignment horizontal="left" indent="3"/>
    </xf>
    <xf numFmtId="44" fontId="1" fillId="0" borderId="0" xfId="1" applyFont="1" applyFill="1"/>
    <xf numFmtId="0" fontId="19" fillId="0" borderId="0" xfId="0" applyFont="1" applyFill="1" applyAlignment="1">
      <alignment horizontal="center"/>
    </xf>
    <xf numFmtId="176" fontId="31" fillId="0" borderId="0" xfId="0" applyNumberFormat="1" applyFont="1" applyFill="1" applyBorder="1" applyAlignment="1">
      <alignment horizontal="center"/>
    </xf>
    <xf numFmtId="0" fontId="25" fillId="0" borderId="19" xfId="0" quotePrefix="1" applyFont="1" applyFill="1" applyBorder="1" applyAlignment="1">
      <alignment horizontal="left"/>
    </xf>
    <xf numFmtId="0" fontId="25" fillId="0" borderId="22" xfId="0" quotePrefix="1" applyFont="1" applyFill="1" applyBorder="1" applyAlignment="1">
      <alignment horizontal="left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15" xfId="0" quotePrefix="1" applyFont="1" applyFill="1" applyBorder="1" applyAlignment="1">
      <alignment horizontal="left"/>
    </xf>
    <xf numFmtId="0" fontId="25" fillId="0" borderId="21" xfId="0" quotePrefix="1" applyFont="1" applyFill="1" applyBorder="1" applyAlignment="1">
      <alignment horizontal="left"/>
    </xf>
    <xf numFmtId="0" fontId="25" fillId="0" borderId="17" xfId="0" quotePrefix="1" applyFont="1" applyFill="1" applyBorder="1" applyAlignment="1">
      <alignment horizontal="left"/>
    </xf>
    <xf numFmtId="0" fontId="25" fillId="0" borderId="0" xfId="0" quotePrefix="1" applyFont="1" applyFill="1" applyBorder="1" applyAlignment="1">
      <alignment horizontal="left"/>
    </xf>
    <xf numFmtId="0" fontId="25" fillId="0" borderId="17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" fillId="0" borderId="0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14" fillId="0" borderId="0" xfId="0" applyFont="1" applyFill="1" applyAlignment="1">
      <alignment horizontal="center"/>
    </xf>
    <xf numFmtId="0" fontId="15" fillId="0" borderId="0" xfId="0" quotePrefix="1" applyNumberFormat="1" applyFont="1" applyFill="1" applyAlignment="1">
      <alignment horizontal="center"/>
    </xf>
    <xf numFmtId="0" fontId="11" fillId="0" borderId="0" xfId="0" quotePrefix="1" applyFont="1" applyFill="1" applyAlignment="1" applyProtection="1">
      <alignment horizontal="center"/>
    </xf>
    <xf numFmtId="0" fontId="11" fillId="0" borderId="9" xfId="0" quotePrefix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28" fillId="0" borderId="0" xfId="0" applyFont="1" applyFill="1" applyAlignment="1">
      <alignment horizontal="left"/>
    </xf>
    <xf numFmtId="0" fontId="28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37" fontId="11" fillId="0" borderId="23" xfId="0" quotePrefix="1" applyNumberFormat="1" applyFont="1" applyFill="1" applyBorder="1" applyAlignment="1" applyProtection="1">
      <alignment horizontal="center" wrapText="1"/>
    </xf>
    <xf numFmtId="37" fontId="11" fillId="0" borderId="24" xfId="0" quotePrefix="1" applyNumberFormat="1" applyFont="1" applyFill="1" applyBorder="1" applyAlignment="1" applyProtection="1">
      <alignment horizontal="center" wrapText="1"/>
    </xf>
    <xf numFmtId="37" fontId="11" fillId="0" borderId="25" xfId="0" quotePrefix="1" applyNumberFormat="1" applyFont="1" applyFill="1" applyBorder="1" applyAlignment="1" applyProtection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quotePrefix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35" xfId="0" applyFill="1" applyBorder="1" applyAlignment="1">
      <alignment horizontal="left" wrapText="1"/>
    </xf>
    <xf numFmtId="3" fontId="0" fillId="0" borderId="2" xfId="0" quotePrefix="1" applyNumberFormat="1" applyFill="1" applyBorder="1" applyAlignment="1">
      <alignment horizontal="left"/>
    </xf>
    <xf numFmtId="3" fontId="0" fillId="0" borderId="3" xfId="0" quotePrefix="1" applyNumberFormat="1" applyFill="1" applyBorder="1" applyAlignment="1">
      <alignment horizontal="left"/>
    </xf>
    <xf numFmtId="3" fontId="0" fillId="0" borderId="0" xfId="0" quotePrefix="1" applyNumberFormat="1" applyFill="1" applyBorder="1" applyAlignment="1">
      <alignment horizontal="left"/>
    </xf>
    <xf numFmtId="3" fontId="0" fillId="0" borderId="35" xfId="0" quotePrefix="1" applyNumberFormat="1" applyFill="1" applyBorder="1" applyAlignment="1">
      <alignment horizontal="left"/>
    </xf>
    <xf numFmtId="3" fontId="0" fillId="0" borderId="5" xfId="0" quotePrefix="1" applyNumberFormat="1" applyFill="1" applyBorder="1" applyAlignment="1">
      <alignment horizontal="left"/>
    </xf>
    <xf numFmtId="3" fontId="0" fillId="0" borderId="6" xfId="0" quotePrefix="1" applyNumberFormat="1" applyFill="1" applyBorder="1" applyAlignment="1">
      <alignment horizontal="left"/>
    </xf>
    <xf numFmtId="0" fontId="26" fillId="0" borderId="9" xfId="0" quotePrefix="1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horizontal="center" vertical="center"/>
    </xf>
    <xf numFmtId="0" fontId="23" fillId="0" borderId="0" xfId="0" quotePrefix="1" applyFont="1" applyFill="1" applyAlignment="1" applyProtection="1">
      <alignment horizontal="left"/>
    </xf>
    <xf numFmtId="0" fontId="26" fillId="0" borderId="9" xfId="0" quotePrefix="1" applyFont="1" applyFill="1" applyBorder="1" applyAlignment="1" applyProtection="1">
      <alignment horizontal="center" vertical="center" wrapText="1"/>
    </xf>
    <xf numFmtId="0" fontId="26" fillId="0" borderId="10" xfId="0" quotePrefix="1" applyFont="1" applyFill="1" applyBorder="1" applyAlignment="1" applyProtection="1">
      <alignment horizontal="center" vertical="center" wrapText="1"/>
    </xf>
    <xf numFmtId="0" fontId="26" fillId="0" borderId="11" xfId="0" quotePrefix="1" applyFont="1" applyFill="1" applyBorder="1" applyAlignment="1" applyProtection="1">
      <alignment horizontal="center" vertical="center" wrapText="1"/>
    </xf>
    <xf numFmtId="0" fontId="19" fillId="0" borderId="0" xfId="3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0" xfId="0" quotePrefix="1" applyFont="1" applyFill="1" applyAlignment="1">
      <alignment horizontal="center"/>
    </xf>
  </cellXfs>
  <cellStyles count="7">
    <cellStyle name="Comma" xfId="2" builtinId="3"/>
    <cellStyle name="Comma 10" xfId="4"/>
    <cellStyle name="Comma 2 2" xfId="5"/>
    <cellStyle name="Currency" xfId="1" builtinId="4"/>
    <cellStyle name="Normal" xfId="0" builtinId="0"/>
    <cellStyle name="Normal 2 10" xfId="3"/>
    <cellStyle name="Percent" xfId="6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0-ELECTRIC-ERF-MODEL-TY-JUNE-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Annualized-Monthly-Revenue-TYJun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sheetDataSet>
      <sheetData sheetId="0">
        <row r="22">
          <cell r="C22">
            <v>18853621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Normal Monthly kWh"/>
      <sheetName val="Summary kWh &amp; Ann Rev"/>
      <sheetName val="Average Costs"/>
      <sheetName val="Proforma kWh"/>
      <sheetName val="Proforma Revenue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Gen Svc"/>
      <sheetName val="Sch 43 Pri Gen Svc"/>
      <sheetName val="Sch 40 Campus Svc"/>
      <sheetName val="Sch 46 HV Svc"/>
      <sheetName val="Sch 49 HV Svc"/>
      <sheetName val="Sch 449 - Transportation"/>
      <sheetName val="Lighting 50-59"/>
      <sheetName val="Firm Resale"/>
      <sheetName val="Financial Support Data====&gt;"/>
      <sheetName val="SOE"/>
      <sheetName val="Delivered kWh"/>
      <sheetName val="Unbilled Change kWh"/>
      <sheetName val="Billed kWh"/>
      <sheetName val="BPA Res Exch Load"/>
      <sheetName val="SAP Billed kWh"/>
      <sheetName val="Other Support=======&gt;"/>
      <sheetName val="Sch 40 Voltage Level Demand"/>
      <sheetName val="Light Inventory"/>
      <sheetName val="Sch 40 Dist Dem ERF Proposed"/>
      <sheetName val="Sch 40 Dist Dem ERF Annualized"/>
      <sheetName val="UE-180280 TR Sch 40 Dist Dem"/>
      <sheetName val="SAP Data (do not Print)====&gt;"/>
      <sheetName val="Non Lighting Data "/>
      <sheetName val="Lighting Data"/>
      <sheetName val="Primary 26"/>
      <sheetName val="Schedule 10  and 31 Demand"/>
      <sheetName val="Sch 40 Dist Demand"/>
    </sheetNames>
    <sheetDataSet>
      <sheetData sheetId="0">
        <row r="11">
          <cell r="D11">
            <v>10657340059.648607</v>
          </cell>
        </row>
      </sheetData>
      <sheetData sheetId="1">
        <row r="22">
          <cell r="K22">
            <v>329856</v>
          </cell>
        </row>
      </sheetData>
      <sheetData sheetId="2">
        <row r="8">
          <cell r="E8">
            <v>1109032566.5011609</v>
          </cell>
        </row>
        <row r="9">
          <cell r="E9">
            <v>210154</v>
          </cell>
        </row>
        <row r="12">
          <cell r="E12">
            <v>269558012</v>
          </cell>
        </row>
        <row r="13">
          <cell r="E13">
            <v>267036991</v>
          </cell>
        </row>
        <row r="14">
          <cell r="E14">
            <v>155148612</v>
          </cell>
        </row>
        <row r="15">
          <cell r="E15">
            <v>1449511</v>
          </cell>
        </row>
        <row r="18">
          <cell r="E18">
            <v>107151914</v>
          </cell>
        </row>
        <row r="19">
          <cell r="E19">
            <v>226030</v>
          </cell>
        </row>
        <row r="20">
          <cell r="E20">
            <v>10794428</v>
          </cell>
        </row>
        <row r="23">
          <cell r="E23">
            <v>39012148</v>
          </cell>
        </row>
        <row r="25">
          <cell r="E25">
            <v>5401969</v>
          </cell>
        </row>
        <row r="26">
          <cell r="E26">
            <v>36052421</v>
          </cell>
        </row>
        <row r="31">
          <cell r="E31">
            <v>8376051</v>
          </cell>
        </row>
        <row r="35">
          <cell r="E35">
            <v>329856</v>
          </cell>
        </row>
        <row r="37">
          <cell r="D37">
            <v>22969900995.890388</v>
          </cell>
          <cell r="E37">
            <v>2026369614.5011609</v>
          </cell>
        </row>
      </sheetData>
      <sheetData sheetId="3"/>
      <sheetData sheetId="4"/>
      <sheetData sheetId="5">
        <row r="22">
          <cell r="B22">
            <v>-855.29145687073469</v>
          </cell>
        </row>
        <row r="23">
          <cell r="C23">
            <v>8626910.2279156782</v>
          </cell>
          <cell r="D23">
            <v>-5481933.6907590721</v>
          </cell>
          <cell r="E23">
            <v>745509.06462240987</v>
          </cell>
          <cell r="F23">
            <v>813004.88852421788</v>
          </cell>
          <cell r="G23">
            <v>862900.61798422865</v>
          </cell>
          <cell r="H23">
            <v>-696115.70638900099</v>
          </cell>
          <cell r="I23">
            <v>-1158620.4191968231</v>
          </cell>
          <cell r="J23">
            <v>-6572634.3775028605</v>
          </cell>
          <cell r="K23">
            <v>-1881678.902250129</v>
          </cell>
          <cell r="L23">
            <v>-686738.54555897252</v>
          </cell>
          <cell r="M23">
            <v>2161267.9476101822</v>
          </cell>
          <cell r="N23">
            <v>-2181719.0653475863</v>
          </cell>
        </row>
        <row r="24">
          <cell r="B24">
            <v>-7162081.5665613404</v>
          </cell>
        </row>
        <row r="25">
          <cell r="B25">
            <v>-5569549.8199634841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-16577.61014609602</v>
          </cell>
          <cell r="H26">
            <v>-25243.029481550468</v>
          </cell>
          <cell r="I26">
            <v>-42778.04960589121</v>
          </cell>
          <cell r="J26">
            <v>-248366.82028415657</v>
          </cell>
          <cell r="K26">
            <v>-70872.40530967791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-2089863.5634308257</v>
          </cell>
        </row>
        <row r="28">
          <cell r="B28">
            <v>-1733687.0572225826</v>
          </cell>
        </row>
        <row r="29">
          <cell r="B29">
            <v>461100.14024450612</v>
          </cell>
        </row>
        <row r="30">
          <cell r="B30">
            <v>21773.578241899639</v>
          </cell>
        </row>
      </sheetData>
      <sheetData sheetId="6">
        <row r="6">
          <cell r="C6">
            <v>12273719</v>
          </cell>
        </row>
        <row r="7">
          <cell r="C7">
            <v>4775</v>
          </cell>
        </row>
        <row r="10">
          <cell r="C10">
            <v>3078904278</v>
          </cell>
        </row>
        <row r="11">
          <cell r="C11">
            <v>2357749207</v>
          </cell>
        </row>
        <row r="12">
          <cell r="C12">
            <v>665964446</v>
          </cell>
        </row>
        <row r="13">
          <cell r="C13">
            <v>1990263948</v>
          </cell>
        </row>
        <row r="14">
          <cell r="C14">
            <v>2255721280</v>
          </cell>
        </row>
        <row r="15">
          <cell r="C15">
            <v>264530157</v>
          </cell>
        </row>
        <row r="34">
          <cell r="C34">
            <v>44207598.940063655</v>
          </cell>
        </row>
        <row r="36">
          <cell r="C36">
            <v>4584107</v>
          </cell>
        </row>
      </sheetData>
      <sheetData sheetId="7">
        <row r="6">
          <cell r="C6">
            <v>565183</v>
          </cell>
        </row>
        <row r="7">
          <cell r="C7">
            <v>403007</v>
          </cell>
        </row>
        <row r="8">
          <cell r="C8">
            <v>124366</v>
          </cell>
        </row>
        <row r="9">
          <cell r="C9">
            <v>239001</v>
          </cell>
        </row>
        <row r="10">
          <cell r="C10">
            <v>170771</v>
          </cell>
        </row>
        <row r="11">
          <cell r="C11">
            <v>55094</v>
          </cell>
        </row>
        <row r="14">
          <cell r="C14">
            <v>1369</v>
          </cell>
        </row>
        <row r="15">
          <cell r="C15">
            <v>621766340</v>
          </cell>
        </row>
        <row r="16">
          <cell r="C16">
            <v>849486811</v>
          </cell>
        </row>
        <row r="17">
          <cell r="C17">
            <v>929</v>
          </cell>
        </row>
        <row r="18">
          <cell r="C18">
            <v>801363894</v>
          </cell>
        </row>
        <row r="19">
          <cell r="C19">
            <v>213210011</v>
          </cell>
        </row>
        <row r="20">
          <cell r="C20">
            <v>281729568</v>
          </cell>
        </row>
        <row r="45">
          <cell r="C45">
            <v>7865209.3577168956</v>
          </cell>
        </row>
        <row r="47">
          <cell r="C47">
            <v>750501</v>
          </cell>
        </row>
      </sheetData>
      <sheetData sheetId="8">
        <row r="9">
          <cell r="C9">
            <v>25</v>
          </cell>
        </row>
        <row r="11">
          <cell r="C11">
            <v>104000</v>
          </cell>
        </row>
        <row r="12">
          <cell r="C12">
            <v>135080</v>
          </cell>
        </row>
        <row r="13">
          <cell r="C13">
            <v>145334</v>
          </cell>
        </row>
        <row r="14">
          <cell r="C14">
            <v>40490</v>
          </cell>
        </row>
        <row r="15">
          <cell r="C15">
            <v>67096</v>
          </cell>
        </row>
        <row r="16">
          <cell r="C16">
            <v>982166</v>
          </cell>
        </row>
        <row r="17">
          <cell r="C17">
            <v>767833</v>
          </cell>
        </row>
        <row r="18">
          <cell r="C18">
            <v>217701</v>
          </cell>
        </row>
        <row r="21">
          <cell r="C21">
            <v>990</v>
          </cell>
        </row>
        <row r="22">
          <cell r="C22">
            <v>1396</v>
          </cell>
        </row>
        <row r="23">
          <cell r="C23">
            <v>1486</v>
          </cell>
        </row>
        <row r="24">
          <cell r="C24">
            <v>655</v>
          </cell>
        </row>
        <row r="25">
          <cell r="C25">
            <v>320</v>
          </cell>
        </row>
        <row r="31">
          <cell r="C31">
            <v>714598</v>
          </cell>
        </row>
        <row r="64">
          <cell r="C64">
            <v>1500</v>
          </cell>
        </row>
        <row r="66">
          <cell r="C66">
            <v>202</v>
          </cell>
        </row>
      </sheetData>
      <sheetData sheetId="9">
        <row r="9">
          <cell r="C9">
            <v>90668</v>
          </cell>
        </row>
        <row r="11">
          <cell r="C11">
            <v>-17333</v>
          </cell>
        </row>
        <row r="12">
          <cell r="C12">
            <v>318221186</v>
          </cell>
        </row>
        <row r="13">
          <cell r="C13">
            <v>433148958</v>
          </cell>
        </row>
        <row r="14">
          <cell r="C14">
            <v>-60667</v>
          </cell>
        </row>
        <row r="15">
          <cell r="C15">
            <v>428475801</v>
          </cell>
        </row>
        <row r="16">
          <cell r="C16">
            <v>129071668</v>
          </cell>
        </row>
        <row r="17">
          <cell r="C17">
            <v>176616892</v>
          </cell>
        </row>
        <row r="18">
          <cell r="C18">
            <v>-348180</v>
          </cell>
        </row>
        <row r="19">
          <cell r="C19">
            <v>1461040829</v>
          </cell>
        </row>
        <row r="22">
          <cell r="C22">
            <v>998711</v>
          </cell>
        </row>
        <row r="23">
          <cell r="C23">
            <v>1374614</v>
          </cell>
        </row>
        <row r="24">
          <cell r="C24">
            <v>1353284</v>
          </cell>
        </row>
        <row r="25">
          <cell r="C25">
            <v>398879</v>
          </cell>
        </row>
        <row r="26">
          <cell r="C26">
            <v>521908</v>
          </cell>
        </row>
        <row r="32">
          <cell r="C32">
            <v>708724906</v>
          </cell>
        </row>
        <row r="65">
          <cell r="C65">
            <v>21216518.786511723</v>
          </cell>
        </row>
        <row r="67">
          <cell r="C67">
            <v>1856059</v>
          </cell>
        </row>
      </sheetData>
      <sheetData sheetId="10">
        <row r="9">
          <cell r="C9">
            <v>9896</v>
          </cell>
        </row>
        <row r="14">
          <cell r="C14">
            <v>1848359859</v>
          </cell>
        </row>
        <row r="16">
          <cell r="C16">
            <v>977159</v>
          </cell>
        </row>
        <row r="17">
          <cell r="C17">
            <v>1264535</v>
          </cell>
        </row>
        <row r="18">
          <cell r="C18">
            <v>1414581</v>
          </cell>
        </row>
        <row r="19">
          <cell r="C19">
            <v>380468</v>
          </cell>
        </row>
        <row r="20">
          <cell r="C20">
            <v>557261</v>
          </cell>
        </row>
        <row r="26">
          <cell r="C26">
            <v>804576533</v>
          </cell>
        </row>
        <row r="51">
          <cell r="C51">
            <v>17122253.752577797</v>
          </cell>
        </row>
        <row r="53">
          <cell r="C53">
            <v>1346026</v>
          </cell>
        </row>
      </sheetData>
      <sheetData sheetId="11">
        <row r="9">
          <cell r="C9">
            <v>24</v>
          </cell>
        </row>
        <row r="14">
          <cell r="C14">
            <v>12593300</v>
          </cell>
        </row>
        <row r="16">
          <cell r="C16">
            <v>7235</v>
          </cell>
        </row>
        <row r="17">
          <cell r="C17">
            <v>8936</v>
          </cell>
        </row>
        <row r="18">
          <cell r="C18">
            <v>7445</v>
          </cell>
        </row>
        <row r="19">
          <cell r="C19">
            <v>2429</v>
          </cell>
        </row>
        <row r="20">
          <cell r="C20">
            <v>3737</v>
          </cell>
        </row>
        <row r="26">
          <cell r="C26">
            <v>4034208</v>
          </cell>
        </row>
        <row r="49">
          <cell r="C49">
            <v>993905</v>
          </cell>
        </row>
      </sheetData>
      <sheetData sheetId="12">
        <row r="6">
          <cell r="C6">
            <v>1304</v>
          </cell>
        </row>
        <row r="7">
          <cell r="C7">
            <v>814</v>
          </cell>
        </row>
        <row r="8">
          <cell r="C8">
            <v>238</v>
          </cell>
        </row>
        <row r="9">
          <cell r="C9">
            <v>3068</v>
          </cell>
        </row>
        <row r="10">
          <cell r="C10">
            <v>1784</v>
          </cell>
        </row>
        <row r="11">
          <cell r="C11">
            <v>588</v>
          </cell>
        </row>
        <row r="14">
          <cell r="C14">
            <v>926593</v>
          </cell>
        </row>
        <row r="15">
          <cell r="C15">
            <v>902142</v>
          </cell>
        </row>
        <row r="16">
          <cell r="C16">
            <v>10742282</v>
          </cell>
        </row>
        <row r="17">
          <cell r="C17">
            <v>487338</v>
          </cell>
        </row>
        <row r="18">
          <cell r="C18">
            <v>2106291</v>
          </cell>
        </row>
        <row r="19">
          <cell r="C19">
            <v>6052</v>
          </cell>
        </row>
        <row r="20">
          <cell r="C20">
            <v>13182</v>
          </cell>
        </row>
        <row r="21">
          <cell r="C21">
            <v>700578</v>
          </cell>
        </row>
        <row r="22">
          <cell r="C22">
            <v>4070</v>
          </cell>
        </row>
        <row r="23">
          <cell r="C23">
            <v>63634</v>
          </cell>
        </row>
        <row r="26">
          <cell r="C26">
            <v>1192</v>
          </cell>
        </row>
        <row r="27">
          <cell r="C27">
            <v>763</v>
          </cell>
        </row>
        <row r="28">
          <cell r="C28">
            <v>3134</v>
          </cell>
        </row>
        <row r="29">
          <cell r="C29">
            <v>288</v>
          </cell>
        </row>
        <row r="30">
          <cell r="C30">
            <v>741</v>
          </cell>
        </row>
        <row r="36">
          <cell r="C36">
            <v>140319</v>
          </cell>
        </row>
        <row r="74">
          <cell r="C74">
            <v>2694802.0279999999</v>
          </cell>
        </row>
        <row r="76">
          <cell r="C76">
            <v>232065</v>
          </cell>
        </row>
      </sheetData>
      <sheetData sheetId="13">
        <row r="9">
          <cell r="C9">
            <v>5876</v>
          </cell>
        </row>
        <row r="14">
          <cell r="C14">
            <v>1298511716</v>
          </cell>
        </row>
        <row r="16">
          <cell r="C16">
            <v>698886</v>
          </cell>
        </row>
        <row r="17">
          <cell r="C17">
            <v>911355</v>
          </cell>
        </row>
        <row r="18">
          <cell r="C18">
            <v>1024655</v>
          </cell>
        </row>
        <row r="19">
          <cell r="C19">
            <v>272282</v>
          </cell>
        </row>
        <row r="20">
          <cell r="C20">
            <v>364473</v>
          </cell>
        </row>
        <row r="26">
          <cell r="C26">
            <v>665684850</v>
          </cell>
        </row>
        <row r="51">
          <cell r="C51">
            <v>24759565.119047612</v>
          </cell>
        </row>
        <row r="53">
          <cell r="C53">
            <v>1952400</v>
          </cell>
        </row>
      </sheetData>
      <sheetData sheetId="14">
        <row r="9">
          <cell r="C9">
            <v>33</v>
          </cell>
        </row>
        <row r="14">
          <cell r="C14">
            <v>4343160</v>
          </cell>
        </row>
        <row r="16">
          <cell r="C16">
            <v>1155</v>
          </cell>
        </row>
        <row r="17">
          <cell r="C17">
            <v>116</v>
          </cell>
        </row>
        <row r="18">
          <cell r="C18">
            <v>5252</v>
          </cell>
        </row>
        <row r="19">
          <cell r="C19">
            <v>1014</v>
          </cell>
        </row>
        <row r="20">
          <cell r="C20">
            <v>1221</v>
          </cell>
        </row>
        <row r="26">
          <cell r="C26">
            <v>2223469</v>
          </cell>
        </row>
        <row r="51">
          <cell r="C51">
            <v>-553680</v>
          </cell>
        </row>
        <row r="53">
          <cell r="C53">
            <v>-33760</v>
          </cell>
        </row>
      </sheetData>
      <sheetData sheetId="15">
        <row r="9">
          <cell r="C9">
            <v>1889</v>
          </cell>
        </row>
        <row r="14">
          <cell r="C14">
            <v>120661575</v>
          </cell>
        </row>
        <row r="19">
          <cell r="C19">
            <v>600508</v>
          </cell>
        </row>
        <row r="24">
          <cell r="C24">
            <v>48889496</v>
          </cell>
        </row>
        <row r="47">
          <cell r="C47">
            <v>1923489.08</v>
          </cell>
        </row>
        <row r="49">
          <cell r="C49">
            <v>187721</v>
          </cell>
        </row>
      </sheetData>
      <sheetData sheetId="16">
        <row r="6">
          <cell r="C6">
            <v>229</v>
          </cell>
        </row>
        <row r="7">
          <cell r="C7">
            <v>150</v>
          </cell>
        </row>
        <row r="8">
          <cell r="C8">
            <v>48</v>
          </cell>
        </row>
        <row r="9">
          <cell r="C9">
            <v>434</v>
          </cell>
        </row>
        <row r="10">
          <cell r="C10">
            <v>310</v>
          </cell>
        </row>
        <row r="11">
          <cell r="C11">
            <v>77</v>
          </cell>
        </row>
        <row r="12">
          <cell r="C12">
            <v>195</v>
          </cell>
        </row>
        <row r="13">
          <cell r="C13">
            <v>141</v>
          </cell>
        </row>
        <row r="14">
          <cell r="C14">
            <v>39</v>
          </cell>
        </row>
        <row r="17">
          <cell r="C17">
            <v>134776619</v>
          </cell>
        </row>
        <row r="18">
          <cell r="C18">
            <v>86749576</v>
          </cell>
        </row>
        <row r="19">
          <cell r="C19">
            <v>19324878</v>
          </cell>
        </row>
        <row r="20">
          <cell r="C20">
            <v>163310979</v>
          </cell>
        </row>
        <row r="21">
          <cell r="C21">
            <v>111004903</v>
          </cell>
        </row>
        <row r="22">
          <cell r="C22">
            <v>29438964</v>
          </cell>
        </row>
        <row r="25">
          <cell r="C25">
            <v>290802</v>
          </cell>
        </row>
        <row r="26">
          <cell r="C26">
            <v>3105</v>
          </cell>
        </row>
        <row r="27">
          <cell r="C27">
            <v>246206</v>
          </cell>
        </row>
        <row r="28">
          <cell r="C28">
            <v>237125</v>
          </cell>
        </row>
        <row r="29">
          <cell r="C29">
            <v>87194</v>
          </cell>
        </row>
        <row r="30">
          <cell r="C30">
            <v>280688</v>
          </cell>
        </row>
        <row r="33">
          <cell r="C33">
            <v>31003938</v>
          </cell>
        </row>
        <row r="34">
          <cell r="C34">
            <v>17622629</v>
          </cell>
        </row>
        <row r="35">
          <cell r="C35">
            <v>5084484</v>
          </cell>
        </row>
        <row r="36">
          <cell r="C36">
            <v>46893425</v>
          </cell>
        </row>
        <row r="37">
          <cell r="C37">
            <v>27963727</v>
          </cell>
        </row>
        <row r="38">
          <cell r="C38">
            <v>8117718</v>
          </cell>
        </row>
        <row r="74">
          <cell r="C74">
            <v>3731963</v>
          </cell>
        </row>
        <row r="77">
          <cell r="C77">
            <v>-8104795.3387096785</v>
          </cell>
        </row>
        <row r="79">
          <cell r="C79">
            <v>-573601</v>
          </cell>
        </row>
      </sheetData>
      <sheetData sheetId="17">
        <row r="9">
          <cell r="C9">
            <v>77255842</v>
          </cell>
        </row>
        <row r="13">
          <cell r="C13">
            <v>390560</v>
          </cell>
        </row>
        <row r="26">
          <cell r="C26">
            <v>3898000</v>
          </cell>
        </row>
        <row r="28">
          <cell r="C28">
            <v>329933</v>
          </cell>
        </row>
      </sheetData>
      <sheetData sheetId="18">
        <row r="9">
          <cell r="C9">
            <v>551853873</v>
          </cell>
        </row>
        <row r="13">
          <cell r="C13">
            <v>1444363</v>
          </cell>
        </row>
        <row r="26">
          <cell r="C26">
            <v>1635423</v>
          </cell>
        </row>
        <row r="28">
          <cell r="C28">
            <v>136796</v>
          </cell>
        </row>
      </sheetData>
      <sheetData sheetId="19">
        <row r="6">
          <cell r="C6">
            <v>1993136106</v>
          </cell>
        </row>
        <row r="14">
          <cell r="C14">
            <v>240</v>
          </cell>
        </row>
        <row r="19">
          <cell r="C19">
            <v>3509277</v>
          </cell>
        </row>
        <row r="32">
          <cell r="C32">
            <v>7814835</v>
          </cell>
        </row>
        <row r="35">
          <cell r="C35">
            <v>464588.32400003076</v>
          </cell>
        </row>
        <row r="37">
          <cell r="C37">
            <v>52416</v>
          </cell>
        </row>
      </sheetData>
      <sheetData sheetId="20">
        <row r="14">
          <cell r="C14">
            <v>10706</v>
          </cell>
        </row>
      </sheetData>
      <sheetData sheetId="21">
        <row r="8">
          <cell r="C8">
            <v>7166880</v>
          </cell>
        </row>
        <row r="10">
          <cell r="C10">
            <v>14133</v>
          </cell>
        </row>
        <row r="12">
          <cell r="C12">
            <v>1869560</v>
          </cell>
        </row>
        <row r="25">
          <cell r="C25">
            <v>49002</v>
          </cell>
        </row>
        <row r="27">
          <cell r="C27">
            <v>2580</v>
          </cell>
        </row>
      </sheetData>
      <sheetData sheetId="22"/>
      <sheetData sheetId="23"/>
      <sheetData sheetId="24"/>
      <sheetData sheetId="25">
        <row r="29">
          <cell r="E29">
            <v>-2714.4689999999973</v>
          </cell>
        </row>
        <row r="30">
          <cell r="E30">
            <v>126.20250000001397</v>
          </cell>
        </row>
        <row r="31">
          <cell r="E31">
            <v>-1938.6170000000129</v>
          </cell>
        </row>
        <row r="32">
          <cell r="E32">
            <v>-114.34999999999991</v>
          </cell>
        </row>
        <row r="49">
          <cell r="E49">
            <v>0</v>
          </cell>
        </row>
        <row r="52">
          <cell r="E52">
            <v>-200</v>
          </cell>
        </row>
        <row r="53">
          <cell r="E53">
            <v>21038.3655</v>
          </cell>
        </row>
        <row r="54">
          <cell r="E54">
            <v>26351.278500000015</v>
          </cell>
        </row>
        <row r="55">
          <cell r="E55">
            <v>-38285.121500000125</v>
          </cell>
        </row>
        <row r="56">
          <cell r="E56">
            <v>-39943.613000000012</v>
          </cell>
        </row>
        <row r="57">
          <cell r="E57">
            <v>81438.572500000009</v>
          </cell>
        </row>
      </sheetData>
      <sheetData sheetId="26">
        <row r="29">
          <cell r="E29">
            <v>1931087.899</v>
          </cell>
        </row>
        <row r="30">
          <cell r="E30">
            <v>1833487.8180000002</v>
          </cell>
        </row>
        <row r="31">
          <cell r="E31">
            <v>2168160.102</v>
          </cell>
        </row>
        <row r="32">
          <cell r="E32">
            <v>83048</v>
          </cell>
        </row>
        <row r="49">
          <cell r="E49">
            <v>7080</v>
          </cell>
        </row>
        <row r="52">
          <cell r="E52">
            <v>54826.667000000001</v>
          </cell>
        </row>
        <row r="53">
          <cell r="E53">
            <v>1240790.29</v>
          </cell>
        </row>
        <row r="54">
          <cell r="E54">
            <v>13444707.423</v>
          </cell>
        </row>
        <row r="55">
          <cell r="E55">
            <v>38751344.238000005</v>
          </cell>
        </row>
        <row r="56">
          <cell r="E56">
            <v>7152377.1560000014</v>
          </cell>
        </row>
        <row r="57">
          <cell r="E57">
            <v>4194218.4550000001</v>
          </cell>
        </row>
      </sheetData>
      <sheetData sheetId="27"/>
      <sheetData sheetId="28"/>
      <sheetData sheetId="29"/>
      <sheetData sheetId="30"/>
      <sheetData sheetId="31">
        <row r="10">
          <cell r="E10">
            <v>59</v>
          </cell>
        </row>
        <row r="11">
          <cell r="E11">
            <v>5</v>
          </cell>
        </row>
        <row r="12">
          <cell r="E12">
            <v>19</v>
          </cell>
        </row>
        <row r="13">
          <cell r="E13">
            <v>20</v>
          </cell>
        </row>
        <row r="14">
          <cell r="E14">
            <v>1</v>
          </cell>
        </row>
        <row r="16">
          <cell r="E16">
            <v>75</v>
          </cell>
        </row>
        <row r="17">
          <cell r="E17">
            <v>94</v>
          </cell>
        </row>
        <row r="18">
          <cell r="E18">
            <v>72</v>
          </cell>
        </row>
        <row r="19">
          <cell r="E19">
            <v>58</v>
          </cell>
        </row>
        <row r="20">
          <cell r="E20">
            <v>1038</v>
          </cell>
        </row>
        <row r="21">
          <cell r="E21">
            <v>315</v>
          </cell>
        </row>
        <row r="22">
          <cell r="E22">
            <v>51</v>
          </cell>
        </row>
        <row r="23">
          <cell r="E23">
            <v>82</v>
          </cell>
        </row>
        <row r="24">
          <cell r="E24">
            <v>645</v>
          </cell>
        </row>
        <row r="25">
          <cell r="E25">
            <v>88</v>
          </cell>
        </row>
        <row r="26">
          <cell r="E26">
            <v>10</v>
          </cell>
        </row>
        <row r="27">
          <cell r="E27">
            <v>25</v>
          </cell>
        </row>
        <row r="28">
          <cell r="E28">
            <v>72</v>
          </cell>
        </row>
        <row r="29">
          <cell r="E29">
            <v>279</v>
          </cell>
        </row>
        <row r="30">
          <cell r="E30">
            <v>168</v>
          </cell>
        </row>
        <row r="31">
          <cell r="E31">
            <v>22</v>
          </cell>
        </row>
        <row r="32">
          <cell r="E32">
            <v>15</v>
          </cell>
        </row>
        <row r="33">
          <cell r="E33">
            <v>2</v>
          </cell>
        </row>
        <row r="34">
          <cell r="E34">
            <v>23</v>
          </cell>
        </row>
        <row r="35">
          <cell r="E35">
            <v>21</v>
          </cell>
        </row>
        <row r="36">
          <cell r="E36">
            <v>125</v>
          </cell>
        </row>
        <row r="37">
          <cell r="E37">
            <v>85</v>
          </cell>
        </row>
        <row r="38">
          <cell r="E38">
            <v>10</v>
          </cell>
        </row>
        <row r="39">
          <cell r="E39">
            <v>15</v>
          </cell>
        </row>
        <row r="40">
          <cell r="E40">
            <v>17</v>
          </cell>
        </row>
        <row r="41">
          <cell r="E41">
            <v>4</v>
          </cell>
        </row>
        <row r="42">
          <cell r="E42">
            <v>2</v>
          </cell>
        </row>
        <row r="43">
          <cell r="E43">
            <v>91</v>
          </cell>
        </row>
        <row r="44">
          <cell r="E44">
            <v>67</v>
          </cell>
        </row>
        <row r="45">
          <cell r="E45">
            <v>6</v>
          </cell>
        </row>
        <row r="46">
          <cell r="E46">
            <v>10</v>
          </cell>
        </row>
        <row r="47">
          <cell r="E47">
            <v>58</v>
          </cell>
        </row>
        <row r="49">
          <cell r="E49">
            <v>710</v>
          </cell>
        </row>
        <row r="50">
          <cell r="E50">
            <v>10433</v>
          </cell>
        </row>
        <row r="51">
          <cell r="E51">
            <v>4662</v>
          </cell>
        </row>
        <row r="52">
          <cell r="E52">
            <v>1031</v>
          </cell>
        </row>
        <row r="53">
          <cell r="E53">
            <v>1478</v>
          </cell>
        </row>
        <row r="54">
          <cell r="E54">
            <v>150</v>
          </cell>
        </row>
        <row r="55">
          <cell r="E55">
            <v>613</v>
          </cell>
        </row>
        <row r="56">
          <cell r="E56">
            <v>68</v>
          </cell>
        </row>
        <row r="57">
          <cell r="E57">
            <v>4</v>
          </cell>
        </row>
        <row r="58">
          <cell r="E58">
            <v>205</v>
          </cell>
        </row>
        <row r="59">
          <cell r="E59">
            <v>222</v>
          </cell>
        </row>
        <row r="60">
          <cell r="E60">
            <v>61</v>
          </cell>
        </row>
        <row r="61">
          <cell r="E61">
            <v>57</v>
          </cell>
        </row>
        <row r="62">
          <cell r="E62">
            <v>18</v>
          </cell>
        </row>
        <row r="64">
          <cell r="E64">
            <v>0</v>
          </cell>
        </row>
        <row r="65">
          <cell r="E65">
            <v>4760</v>
          </cell>
        </row>
        <row r="66">
          <cell r="E66">
            <v>32740</v>
          </cell>
        </row>
        <row r="67">
          <cell r="E67">
            <v>3919</v>
          </cell>
        </row>
        <row r="68">
          <cell r="E68">
            <v>5152</v>
          </cell>
        </row>
        <row r="69">
          <cell r="E69">
            <v>1763</v>
          </cell>
        </row>
        <row r="70">
          <cell r="E70">
            <v>18</v>
          </cell>
        </row>
        <row r="71">
          <cell r="E71">
            <v>1013</v>
          </cell>
        </row>
        <row r="72">
          <cell r="E72">
            <v>162</v>
          </cell>
        </row>
        <row r="73">
          <cell r="E73">
            <v>8</v>
          </cell>
        </row>
        <row r="74">
          <cell r="E74">
            <v>4050</v>
          </cell>
        </row>
        <row r="75">
          <cell r="E75">
            <v>200</v>
          </cell>
        </row>
        <row r="76">
          <cell r="E76">
            <v>11946</v>
          </cell>
        </row>
        <row r="77">
          <cell r="E77">
            <v>520</v>
          </cell>
        </row>
        <row r="78">
          <cell r="E78">
            <v>2</v>
          </cell>
        </row>
        <row r="79">
          <cell r="E79">
            <v>3</v>
          </cell>
        </row>
        <row r="80">
          <cell r="E80">
            <v>12</v>
          </cell>
        </row>
        <row r="81">
          <cell r="E81">
            <v>1</v>
          </cell>
        </row>
        <row r="82">
          <cell r="E82">
            <v>87</v>
          </cell>
        </row>
        <row r="83">
          <cell r="E83">
            <v>284</v>
          </cell>
        </row>
        <row r="84">
          <cell r="E84">
            <v>1462</v>
          </cell>
        </row>
        <row r="85">
          <cell r="E85">
            <v>1</v>
          </cell>
        </row>
        <row r="86">
          <cell r="E86">
            <v>20</v>
          </cell>
        </row>
        <row r="87">
          <cell r="E87">
            <v>216</v>
          </cell>
        </row>
        <row r="88">
          <cell r="E88">
            <v>448</v>
          </cell>
        </row>
        <row r="89">
          <cell r="E89">
            <v>1017</v>
          </cell>
        </row>
        <row r="90">
          <cell r="E90">
            <v>4</v>
          </cell>
        </row>
        <row r="91">
          <cell r="E91">
            <v>70</v>
          </cell>
        </row>
        <row r="92">
          <cell r="E92">
            <v>1</v>
          </cell>
        </row>
        <row r="93">
          <cell r="E93">
            <v>1</v>
          </cell>
        </row>
        <row r="94">
          <cell r="E94">
            <v>2</v>
          </cell>
        </row>
        <row r="95">
          <cell r="E95">
            <v>27</v>
          </cell>
        </row>
        <row r="96">
          <cell r="E96">
            <v>128</v>
          </cell>
        </row>
        <row r="97">
          <cell r="E97">
            <v>213</v>
          </cell>
        </row>
        <row r="98">
          <cell r="E98">
            <v>23</v>
          </cell>
        </row>
        <row r="99">
          <cell r="E99">
            <v>1</v>
          </cell>
        </row>
        <row r="100">
          <cell r="E100">
            <v>1</v>
          </cell>
        </row>
        <row r="101">
          <cell r="E101">
            <v>48</v>
          </cell>
        </row>
        <row r="102">
          <cell r="E102">
            <v>51</v>
          </cell>
        </row>
        <row r="103">
          <cell r="E103">
            <v>0</v>
          </cell>
        </row>
        <row r="104">
          <cell r="E104">
            <v>57</v>
          </cell>
        </row>
        <row r="105">
          <cell r="E105">
            <v>271</v>
          </cell>
        </row>
        <row r="106">
          <cell r="E106">
            <v>154</v>
          </cell>
        </row>
        <row r="107">
          <cell r="E107">
            <v>444</v>
          </cell>
        </row>
        <row r="108">
          <cell r="E108">
            <v>300</v>
          </cell>
        </row>
        <row r="109">
          <cell r="E109">
            <v>7</v>
          </cell>
        </row>
        <row r="110">
          <cell r="E110">
            <v>463</v>
          </cell>
        </row>
        <row r="111">
          <cell r="E111">
            <v>4</v>
          </cell>
        </row>
        <row r="112">
          <cell r="E112">
            <v>100</v>
          </cell>
        </row>
        <row r="113">
          <cell r="E113">
            <v>36</v>
          </cell>
        </row>
        <row r="114">
          <cell r="E114">
            <v>83</v>
          </cell>
        </row>
        <row r="115">
          <cell r="E115">
            <v>265</v>
          </cell>
        </row>
        <row r="116">
          <cell r="E116">
            <v>93</v>
          </cell>
        </row>
        <row r="117">
          <cell r="E117">
            <v>6</v>
          </cell>
        </row>
        <row r="118">
          <cell r="E118">
            <v>61</v>
          </cell>
        </row>
        <row r="119">
          <cell r="E119">
            <v>547</v>
          </cell>
        </row>
        <row r="120">
          <cell r="E120">
            <v>478</v>
          </cell>
        </row>
        <row r="121">
          <cell r="E121">
            <v>0</v>
          </cell>
        </row>
        <row r="122">
          <cell r="E122">
            <v>376</v>
          </cell>
        </row>
        <row r="123">
          <cell r="E123">
            <v>2</v>
          </cell>
        </row>
        <row r="124">
          <cell r="E124">
            <v>87</v>
          </cell>
        </row>
        <row r="125">
          <cell r="E125">
            <v>23</v>
          </cell>
        </row>
        <row r="126">
          <cell r="E126">
            <v>1</v>
          </cell>
        </row>
        <row r="127">
          <cell r="E127">
            <v>1298</v>
          </cell>
        </row>
        <row r="128">
          <cell r="E128">
            <v>16</v>
          </cell>
        </row>
        <row r="129">
          <cell r="E129">
            <v>5</v>
          </cell>
        </row>
        <row r="130">
          <cell r="E130">
            <v>81</v>
          </cell>
        </row>
        <row r="131">
          <cell r="E131">
            <v>9</v>
          </cell>
        </row>
        <row r="132">
          <cell r="E132">
            <v>6</v>
          </cell>
        </row>
        <row r="134">
          <cell r="E134">
            <v>38</v>
          </cell>
        </row>
        <row r="135">
          <cell r="E135">
            <v>740</v>
          </cell>
        </row>
        <row r="136">
          <cell r="E136">
            <v>1720</v>
          </cell>
        </row>
        <row r="137">
          <cell r="E137">
            <v>523</v>
          </cell>
        </row>
        <row r="138">
          <cell r="E138">
            <v>682</v>
          </cell>
        </row>
        <row r="139">
          <cell r="E139">
            <v>1521</v>
          </cell>
        </row>
        <row r="140">
          <cell r="E140">
            <v>77</v>
          </cell>
        </row>
        <row r="141">
          <cell r="E141">
            <v>755</v>
          </cell>
        </row>
        <row r="142">
          <cell r="E142">
            <v>11</v>
          </cell>
        </row>
        <row r="143">
          <cell r="E143">
            <v>203</v>
          </cell>
        </row>
        <row r="144">
          <cell r="E144">
            <v>107</v>
          </cell>
        </row>
        <row r="145">
          <cell r="E145">
            <v>497</v>
          </cell>
        </row>
        <row r="146">
          <cell r="E146">
            <v>43</v>
          </cell>
        </row>
        <row r="147">
          <cell r="E147">
            <v>482</v>
          </cell>
        </row>
        <row r="148">
          <cell r="E148">
            <v>42</v>
          </cell>
        </row>
        <row r="149">
          <cell r="E149">
            <v>1646</v>
          </cell>
        </row>
        <row r="150">
          <cell r="E150">
            <v>14</v>
          </cell>
        </row>
        <row r="151">
          <cell r="E151">
            <v>782</v>
          </cell>
        </row>
        <row r="152">
          <cell r="E152">
            <v>316</v>
          </cell>
        </row>
        <row r="153">
          <cell r="E153">
            <v>4</v>
          </cell>
        </row>
        <row r="154">
          <cell r="E154">
            <v>11</v>
          </cell>
        </row>
        <row r="156">
          <cell r="E156">
            <v>18</v>
          </cell>
        </row>
        <row r="157">
          <cell r="E157">
            <v>3960</v>
          </cell>
        </row>
        <row r="158">
          <cell r="E158">
            <v>531</v>
          </cell>
        </row>
        <row r="159">
          <cell r="E159">
            <v>1134</v>
          </cell>
        </row>
        <row r="160">
          <cell r="E160">
            <v>122</v>
          </cell>
        </row>
        <row r="161">
          <cell r="E161">
            <v>50</v>
          </cell>
        </row>
        <row r="162">
          <cell r="E162">
            <v>6</v>
          </cell>
        </row>
        <row r="163">
          <cell r="E163">
            <v>2</v>
          </cell>
        </row>
        <row r="164">
          <cell r="E164">
            <v>19</v>
          </cell>
        </row>
        <row r="165">
          <cell r="E165">
            <v>318</v>
          </cell>
        </row>
        <row r="166">
          <cell r="E166">
            <v>1</v>
          </cell>
        </row>
        <row r="167">
          <cell r="E167">
            <v>25</v>
          </cell>
        </row>
        <row r="168">
          <cell r="E168">
            <v>68</v>
          </cell>
        </row>
        <row r="170">
          <cell r="E170">
            <v>1124028</v>
          </cell>
        </row>
        <row r="172">
          <cell r="E172">
            <v>57</v>
          </cell>
        </row>
        <row r="173">
          <cell r="E173">
            <v>6</v>
          </cell>
        </row>
        <row r="174">
          <cell r="E174">
            <v>167</v>
          </cell>
        </row>
        <row r="175">
          <cell r="E175">
            <v>294</v>
          </cell>
        </row>
        <row r="176">
          <cell r="E176">
            <v>40</v>
          </cell>
        </row>
        <row r="177">
          <cell r="E177">
            <v>385</v>
          </cell>
        </row>
        <row r="178">
          <cell r="E178">
            <v>3</v>
          </cell>
        </row>
        <row r="179">
          <cell r="E179">
            <v>22</v>
          </cell>
        </row>
        <row r="180">
          <cell r="E180">
            <v>88</v>
          </cell>
        </row>
        <row r="181">
          <cell r="E181">
            <v>128</v>
          </cell>
        </row>
        <row r="182">
          <cell r="E182">
            <v>1</v>
          </cell>
        </row>
        <row r="183">
          <cell r="E183">
            <v>24</v>
          </cell>
        </row>
        <row r="184">
          <cell r="E184">
            <v>13</v>
          </cell>
        </row>
        <row r="185">
          <cell r="E185">
            <v>35</v>
          </cell>
        </row>
        <row r="186">
          <cell r="E186">
            <v>49</v>
          </cell>
        </row>
        <row r="187">
          <cell r="E187">
            <v>11</v>
          </cell>
        </row>
        <row r="188">
          <cell r="E188">
            <v>40</v>
          </cell>
        </row>
        <row r="189">
          <cell r="E189">
            <v>1</v>
          </cell>
        </row>
        <row r="190">
          <cell r="E190">
            <v>7</v>
          </cell>
        </row>
        <row r="191">
          <cell r="E191">
            <v>20</v>
          </cell>
        </row>
        <row r="192">
          <cell r="E192">
            <v>44</v>
          </cell>
        </row>
        <row r="193">
          <cell r="E193">
            <v>4</v>
          </cell>
        </row>
        <row r="194">
          <cell r="E194">
            <v>2</v>
          </cell>
        </row>
        <row r="195">
          <cell r="E195">
            <v>8</v>
          </cell>
        </row>
        <row r="198">
          <cell r="E198">
            <v>654</v>
          </cell>
        </row>
        <row r="199">
          <cell r="E199">
            <v>335</v>
          </cell>
        </row>
        <row r="202">
          <cell r="E202">
            <v>146</v>
          </cell>
        </row>
        <row r="217">
          <cell r="E217">
            <v>16561747</v>
          </cell>
        </row>
        <row r="218">
          <cell r="E218">
            <v>54260348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E32" sqref="E32"/>
    </sheetView>
  </sheetViews>
  <sheetFormatPr defaultColWidth="8.75" defaultRowHeight="15.75"/>
  <cols>
    <col min="1" max="16384" width="8.75" style="47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>
    <pageSetUpPr fitToPage="1"/>
  </sheetPr>
  <dimension ref="A1:AG78"/>
  <sheetViews>
    <sheetView zoomScale="90" zoomScaleNormal="90" zoomScaleSheetLayoutView="80" workbookViewId="0">
      <pane ySplit="10" topLeftCell="A11" activePane="bottomLeft" state="frozen"/>
      <selection activeCell="D153" sqref="D153:E171"/>
      <selection pane="bottomLeft" activeCell="A11" sqref="A11"/>
    </sheetView>
  </sheetViews>
  <sheetFormatPr defaultColWidth="10.25" defaultRowHeight="15.75"/>
  <cols>
    <col min="1" max="1" width="31.75" style="47" bestFit="1" customWidth="1"/>
    <col min="2" max="2" width="1.375" style="47" bestFit="1" customWidth="1"/>
    <col min="3" max="3" width="13.375" style="47" bestFit="1" customWidth="1"/>
    <col min="4" max="4" width="10.875" style="47" bestFit="1" customWidth="1"/>
    <col min="5" max="5" width="2" style="47" bestFit="1" customWidth="1"/>
    <col min="6" max="6" width="12.75" style="47" bestFit="1" customWidth="1"/>
    <col min="7" max="7" width="10.875" style="47" bestFit="1" customWidth="1"/>
    <col min="8" max="8" width="2" style="47" bestFit="1" customWidth="1"/>
    <col min="9" max="9" width="12.75" style="47" bestFit="1" customWidth="1"/>
    <col min="10" max="10" width="1.625" style="47" customWidth="1"/>
    <col min="11" max="11" width="22.5" style="47" bestFit="1" customWidth="1"/>
    <col min="12" max="12" width="12.75" style="53" bestFit="1" customWidth="1"/>
    <col min="13" max="13" width="10.25" style="53" bestFit="1" customWidth="1"/>
    <col min="14" max="14" width="7.125" style="53" bestFit="1" customWidth="1"/>
    <col min="15" max="15" width="7.125" style="47" bestFit="1" customWidth="1"/>
    <col min="16" max="17" width="1.375" style="47" bestFit="1" customWidth="1"/>
    <col min="18" max="18" width="14.125" style="47" bestFit="1" customWidth="1"/>
    <col min="19" max="19" width="1.375" style="47" bestFit="1" customWidth="1"/>
    <col min="20" max="20" width="13.25" style="47" bestFit="1" customWidth="1"/>
    <col min="21" max="21" width="13" style="47" bestFit="1" customWidth="1"/>
    <col min="22" max="22" width="12.25" style="47" bestFit="1" customWidth="1"/>
    <col min="23" max="23" width="5.5" style="47" bestFit="1" customWidth="1"/>
    <col min="24" max="24" width="1.375" style="47" bestFit="1" customWidth="1"/>
    <col min="25" max="25" width="10.25" style="47" customWidth="1"/>
    <col min="26" max="26" width="12.125" style="47" customWidth="1"/>
    <col min="27" max="16384" width="10.25" style="47"/>
  </cols>
  <sheetData>
    <row r="1" spans="1:33" ht="18">
      <c r="A1" s="513" t="s">
        <v>53</v>
      </c>
      <c r="B1" s="513"/>
      <c r="C1" s="513"/>
      <c r="D1" s="513"/>
      <c r="E1" s="513"/>
      <c r="F1" s="513"/>
      <c r="G1" s="513"/>
      <c r="H1" s="513"/>
      <c r="I1" s="513"/>
      <c r="J1" s="513"/>
      <c r="K1" s="28"/>
      <c r="L1" s="46"/>
      <c r="M1" s="46"/>
      <c r="N1" s="4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3" ht="18">
      <c r="A2" s="513" t="s">
        <v>30</v>
      </c>
      <c r="B2" s="513"/>
      <c r="C2" s="513"/>
      <c r="D2" s="513"/>
      <c r="E2" s="513"/>
      <c r="F2" s="513"/>
      <c r="G2" s="513"/>
      <c r="H2" s="513"/>
      <c r="I2" s="513"/>
      <c r="J2" s="45"/>
      <c r="K2" s="28"/>
      <c r="L2" s="46"/>
      <c r="M2" s="46"/>
      <c r="N2" s="46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3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48"/>
      <c r="K3" s="28"/>
      <c r="L3" s="46"/>
      <c r="M3" s="46"/>
      <c r="N3" s="46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3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49"/>
      <c r="K4" s="28"/>
      <c r="L4" s="46"/>
      <c r="M4" s="46"/>
      <c r="N4" s="46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3">
      <c r="A5" s="50" t="s">
        <v>128</v>
      </c>
      <c r="B5" s="51"/>
      <c r="C5" s="51"/>
      <c r="D5" s="52"/>
      <c r="E5" s="52"/>
      <c r="F5" s="51"/>
      <c r="G5" s="52"/>
      <c r="H5" s="51"/>
      <c r="I5" s="51"/>
      <c r="J5" s="51"/>
      <c r="K5" s="28"/>
      <c r="L5" s="46"/>
      <c r="M5" s="46"/>
      <c r="N5" s="46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3">
      <c r="A6" s="50"/>
      <c r="B6" s="51"/>
      <c r="C6" s="51"/>
      <c r="D6" s="52"/>
      <c r="E6" s="52"/>
      <c r="F6" s="51"/>
      <c r="G6" s="52"/>
      <c r="H6" s="51"/>
      <c r="I6" s="51"/>
      <c r="J6" s="51"/>
      <c r="K6" s="28"/>
      <c r="L6" s="46"/>
      <c r="M6" s="46"/>
      <c r="N6" s="46"/>
      <c r="O6" s="46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3">
      <c r="A7" s="51"/>
      <c r="B7" s="51"/>
      <c r="C7" s="51"/>
      <c r="D7" s="52"/>
      <c r="E7" s="52"/>
      <c r="F7" s="51"/>
      <c r="G7" s="52"/>
      <c r="H7" s="51"/>
      <c r="I7" s="51"/>
      <c r="J7" s="51"/>
      <c r="K7" s="28"/>
      <c r="L7" s="46"/>
      <c r="M7" s="46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3">
      <c r="A8" s="54"/>
      <c r="B8" s="54"/>
      <c r="C8" s="55"/>
      <c r="D8" s="56"/>
      <c r="E8" s="56"/>
      <c r="G8" s="56"/>
      <c r="H8" s="57"/>
      <c r="I8" s="57"/>
      <c r="J8" s="57"/>
      <c r="K8" s="28"/>
      <c r="L8" s="46"/>
      <c r="M8" s="46"/>
      <c r="N8" s="46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3" ht="56.45" customHeight="1">
      <c r="A9" s="54"/>
      <c r="B9" s="54"/>
      <c r="C9" s="477" t="s">
        <v>1022</v>
      </c>
      <c r="D9" s="516" t="str">
        <f>'(JAP4) Res RD'!$D$9</f>
        <v>Present Base
Effective May 1, 2018</v>
      </c>
      <c r="E9" s="517"/>
      <c r="F9" s="518"/>
      <c r="G9" s="516" t="str">
        <f>'(JAP4) Res RD'!$G$9</f>
        <v>Proposed Base 
+ ERF (Schedule 141)
Effective March 2019</v>
      </c>
      <c r="H9" s="517"/>
      <c r="I9" s="518"/>
      <c r="J9" s="57"/>
      <c r="K9" s="28"/>
      <c r="L9" s="46"/>
      <c r="M9" s="46"/>
      <c r="N9" s="46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3">
      <c r="A10" s="54"/>
      <c r="B10" s="54"/>
      <c r="C10" s="58" t="s">
        <v>32</v>
      </c>
      <c r="D10" s="59" t="s">
        <v>33</v>
      </c>
      <c r="E10" s="59"/>
      <c r="F10" s="59" t="s">
        <v>34</v>
      </c>
      <c r="G10" s="59" t="s">
        <v>33</v>
      </c>
      <c r="H10" s="59"/>
      <c r="I10" s="59" t="s">
        <v>34</v>
      </c>
      <c r="J10" s="59"/>
      <c r="K10" s="28"/>
      <c r="L10" s="46"/>
      <c r="M10" s="46"/>
      <c r="N10" s="46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3">
      <c r="C11" s="71"/>
      <c r="D11" s="65" t="s">
        <v>0</v>
      </c>
      <c r="E11" s="71"/>
      <c r="F11" s="61"/>
      <c r="G11" s="72" t="s">
        <v>0</v>
      </c>
      <c r="H11" s="71"/>
      <c r="I11" s="341" t="s">
        <v>0</v>
      </c>
      <c r="J11" s="341"/>
      <c r="K11" s="28"/>
      <c r="L11" s="46"/>
      <c r="M11" s="46"/>
      <c r="N11" s="46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G11" s="63"/>
    </row>
    <row r="12" spans="1:33">
      <c r="A12" s="115" t="s">
        <v>127</v>
      </c>
      <c r="B12" s="72"/>
      <c r="C12" s="102"/>
      <c r="D12" s="341"/>
      <c r="E12" s="72"/>
      <c r="F12" s="72"/>
      <c r="G12" s="341"/>
      <c r="H12" s="72"/>
      <c r="I12" s="341" t="s">
        <v>0</v>
      </c>
      <c r="J12" s="341"/>
      <c r="L12" s="47"/>
      <c r="M12" s="47"/>
      <c r="N12" s="46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33">
      <c r="A13" s="116" t="s">
        <v>129</v>
      </c>
      <c r="B13" s="72"/>
      <c r="C13" s="72" t="s">
        <v>0</v>
      </c>
      <c r="D13" s="341"/>
      <c r="E13" s="72"/>
      <c r="F13" s="72"/>
      <c r="G13" s="341"/>
      <c r="H13" s="72"/>
      <c r="I13" s="72"/>
      <c r="J13" s="72"/>
      <c r="L13" s="47"/>
      <c r="M13" s="47"/>
      <c r="N13" s="46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33">
      <c r="A14" s="89"/>
      <c r="B14" s="72"/>
      <c r="C14" s="72"/>
      <c r="D14" s="341"/>
      <c r="E14" s="72"/>
      <c r="F14" s="72"/>
      <c r="G14" s="341"/>
      <c r="H14" s="72"/>
      <c r="I14" s="72"/>
      <c r="J14" s="72"/>
      <c r="K14" s="28"/>
      <c r="L14" s="46"/>
      <c r="M14" s="46"/>
      <c r="N14" s="46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33">
      <c r="A15" s="89" t="s">
        <v>42</v>
      </c>
      <c r="B15" s="72"/>
      <c r="C15" s="87">
        <f>'[2]Sch 31 Pri Gen Svc'!$C$9</f>
        <v>5876</v>
      </c>
      <c r="D15" s="124">
        <f>'(JAP4)-Tariff Summary'!D70</f>
        <v>343.66</v>
      </c>
      <c r="E15" s="89"/>
      <c r="F15" s="93">
        <f>ROUND(D15*$C15,0)</f>
        <v>2019346</v>
      </c>
      <c r="G15" s="124">
        <f>ROUND(D15*(1+$M$31),2)</f>
        <v>346.09</v>
      </c>
      <c r="H15" s="89"/>
      <c r="I15" s="93">
        <f>ROUND(G15*$C15,0)</f>
        <v>2033625</v>
      </c>
      <c r="J15" s="93"/>
      <c r="K15" s="525" t="s">
        <v>92</v>
      </c>
      <c r="L15" s="525"/>
      <c r="M15" s="525"/>
      <c r="N15" s="46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33">
      <c r="A16" s="89" t="s">
        <v>45</v>
      </c>
      <c r="B16" s="72"/>
      <c r="C16" s="87"/>
      <c r="D16" s="103"/>
      <c r="E16" s="93"/>
      <c r="F16" s="93"/>
      <c r="G16" s="103"/>
      <c r="H16" s="93"/>
      <c r="I16" s="93"/>
      <c r="J16" s="93"/>
      <c r="K16" s="28"/>
      <c r="L16" s="46"/>
      <c r="M16" s="46"/>
      <c r="N16" s="46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>
      <c r="A17" s="118" t="s">
        <v>51</v>
      </c>
      <c r="B17" s="72"/>
      <c r="C17" s="87">
        <f>'[2]Sch 31 Pri Gen Svc'!$C$14</f>
        <v>1298511716</v>
      </c>
      <c r="D17" s="313">
        <f>'(JAP4)-Tariff Summary'!D72</f>
        <v>5.5014E-2</v>
      </c>
      <c r="E17" s="93"/>
      <c r="F17" s="93">
        <f>ROUND($C17*D17,0)</f>
        <v>71436324</v>
      </c>
      <c r="G17" s="270">
        <f>ROUND(D17*(1+$M$31),6)+L33</f>
        <v>5.5407999999999999E-2</v>
      </c>
      <c r="H17" s="93"/>
      <c r="I17" s="93">
        <f>ROUND($C17*G17,0)</f>
        <v>71947937</v>
      </c>
      <c r="J17" s="93"/>
      <c r="K17" s="525" t="s">
        <v>132</v>
      </c>
      <c r="L17" s="525"/>
      <c r="M17" s="525"/>
      <c r="N17" s="46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>
      <c r="A18" s="119" t="s">
        <v>35</v>
      </c>
      <c r="B18" s="72"/>
      <c r="C18" s="125">
        <f>SUM(C17:C17)</f>
        <v>1298511716</v>
      </c>
      <c r="D18" s="92"/>
      <c r="E18" s="89"/>
      <c r="F18" s="109">
        <f>SUM(F17:F17)</f>
        <v>71436324</v>
      </c>
      <c r="G18" s="92"/>
      <c r="H18" s="89"/>
      <c r="I18" s="109">
        <f>SUM(I17:I17)</f>
        <v>71947937</v>
      </c>
      <c r="J18" s="341"/>
      <c r="K18" s="28"/>
      <c r="L18" s="46"/>
      <c r="M18" s="46"/>
      <c r="N18" s="46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>
      <c r="A19" s="118" t="s">
        <v>82</v>
      </c>
      <c r="B19" s="72"/>
      <c r="C19" s="87">
        <f>'[2]Temperature Adjustment'!$B$27</f>
        <v>-2089863.5634308257</v>
      </c>
      <c r="D19" s="313">
        <f>D17</f>
        <v>5.5014E-2</v>
      </c>
      <c r="E19" s="89"/>
      <c r="F19" s="93">
        <f>ROUND($C19*D19,0)</f>
        <v>-114972</v>
      </c>
      <c r="G19" s="313">
        <f>G17</f>
        <v>5.5407999999999999E-2</v>
      </c>
      <c r="H19" s="89"/>
      <c r="I19" s="93">
        <f>ROUND($C19*G19,0)</f>
        <v>-115795</v>
      </c>
      <c r="J19" s="341"/>
      <c r="K19" s="127"/>
      <c r="L19" s="46"/>
      <c r="M19" s="46"/>
      <c r="N19" s="46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>
      <c r="A20" s="117" t="s">
        <v>84</v>
      </c>
      <c r="B20" s="72"/>
      <c r="C20" s="70">
        <f>'[2]Sch 31 Pri Gen Svc'!$C$51</f>
        <v>24759565.119047612</v>
      </c>
      <c r="D20" s="313">
        <f>ROUND(F20/C20,6)</f>
        <v>7.8853999999999994E-2</v>
      </c>
      <c r="E20" s="65"/>
      <c r="F20" s="93">
        <f>'[2]Sch 31 Pri Gen Svc'!$C$53</f>
        <v>1952400</v>
      </c>
      <c r="G20" s="313">
        <f>ROUND(D20*(1+$M$31),6)</f>
        <v>7.9411999999999996E-2</v>
      </c>
      <c r="H20" s="65"/>
      <c r="I20" s="93">
        <f>ROUND($C20*G20,0)</f>
        <v>1966207</v>
      </c>
      <c r="J20" s="64"/>
      <c r="K20" s="525" t="s">
        <v>92</v>
      </c>
      <c r="L20" s="525"/>
      <c r="M20" s="525"/>
    </row>
    <row r="21" spans="1:26">
      <c r="A21" s="119" t="s">
        <v>35</v>
      </c>
      <c r="B21" s="72"/>
      <c r="C21" s="125">
        <f>SUM(C18:C20)</f>
        <v>1321181417.5556169</v>
      </c>
      <c r="D21" s="65"/>
      <c r="E21" s="65"/>
      <c r="F21" s="109">
        <f>SUM(F18:F20)</f>
        <v>73273752</v>
      </c>
      <c r="G21" s="65"/>
      <c r="H21" s="65"/>
      <c r="I21" s="109">
        <f>SUM(I18:I20)</f>
        <v>73798349</v>
      </c>
      <c r="J21" s="64"/>
      <c r="K21" s="127"/>
      <c r="L21" s="46"/>
      <c r="M21" s="46"/>
    </row>
    <row r="22" spans="1:26">
      <c r="A22" s="65" t="s">
        <v>44</v>
      </c>
      <c r="B22" s="72"/>
      <c r="C22" s="87"/>
      <c r="D22" s="82"/>
      <c r="E22" s="89"/>
      <c r="F22" s="93"/>
      <c r="G22" s="82"/>
      <c r="H22" s="89"/>
      <c r="I22" s="93"/>
      <c r="J22" s="93"/>
      <c r="K22" s="127"/>
      <c r="L22" s="76"/>
      <c r="M22" s="46"/>
    </row>
    <row r="23" spans="1:26">
      <c r="A23" s="118" t="s">
        <v>106</v>
      </c>
      <c r="B23" s="72"/>
      <c r="C23" s="87">
        <f>SUM('[2]Sch 31 Pri Gen Svc'!$C$16:$C$17)</f>
        <v>1610241</v>
      </c>
      <c r="D23" s="124">
        <f>'(JAP4)-Tariff Summary'!D74</f>
        <v>11.46</v>
      </c>
      <c r="E23" s="89"/>
      <c r="F23" s="93">
        <f>ROUND(D23*$C23,0)</f>
        <v>18453362</v>
      </c>
      <c r="G23" s="124">
        <f>ROUND(D23*(1+$M$31),2)</f>
        <v>11.54</v>
      </c>
      <c r="H23" s="89"/>
      <c r="I23" s="93">
        <f>ROUND(G23*$C23,0)</f>
        <v>18582181</v>
      </c>
      <c r="J23" s="93"/>
      <c r="K23" s="525" t="s">
        <v>92</v>
      </c>
      <c r="L23" s="525"/>
      <c r="M23" s="525"/>
      <c r="N23" s="47"/>
    </row>
    <row r="24" spans="1:26">
      <c r="A24" s="118" t="s">
        <v>107</v>
      </c>
      <c r="B24" s="72"/>
      <c r="C24" s="87">
        <f>SUM('[2]Sch 31 Pri Gen Svc'!$C$18:$C$20)</f>
        <v>1661410</v>
      </c>
      <c r="D24" s="124">
        <f>'(JAP4)-Tariff Summary'!D75</f>
        <v>7.64</v>
      </c>
      <c r="E24" s="89"/>
      <c r="F24" s="93">
        <f>ROUND(D24*$C24,0)</f>
        <v>12693172</v>
      </c>
      <c r="G24" s="124">
        <f>ROUND(D24*(1+$M$31),2)</f>
        <v>7.69</v>
      </c>
      <c r="H24" s="89"/>
      <c r="I24" s="93">
        <f>ROUND(G24*$C24,0)</f>
        <v>12776243</v>
      </c>
      <c r="J24" s="93"/>
      <c r="K24" s="525" t="s">
        <v>92</v>
      </c>
      <c r="L24" s="525"/>
      <c r="M24" s="525"/>
      <c r="N24" s="47"/>
    </row>
    <row r="25" spans="1:26">
      <c r="A25" s="119" t="s">
        <v>35</v>
      </c>
      <c r="B25" s="72"/>
      <c r="C25" s="125">
        <f>SUM(C23:C24)</f>
        <v>3271651</v>
      </c>
      <c r="D25" s="82"/>
      <c r="E25" s="89"/>
      <c r="F25" s="126">
        <f>SUM(F23:F24)</f>
        <v>31146534</v>
      </c>
      <c r="G25" s="82"/>
      <c r="H25" s="89"/>
      <c r="I25" s="126">
        <f>SUM(I23:I24)</f>
        <v>31358424</v>
      </c>
      <c r="J25" s="93"/>
      <c r="K25" s="127"/>
      <c r="L25" s="46"/>
      <c r="M25" s="46"/>
    </row>
    <row r="26" spans="1:26">
      <c r="A26" s="72"/>
      <c r="B26" s="72"/>
      <c r="C26" s="70"/>
      <c r="D26" s="70"/>
      <c r="E26" s="65"/>
      <c r="F26" s="64"/>
      <c r="G26" s="70"/>
      <c r="H26" s="65"/>
      <c r="I26" s="64"/>
      <c r="J26" s="64"/>
      <c r="K26" s="127"/>
      <c r="L26" s="46"/>
      <c r="M26" s="46"/>
    </row>
    <row r="27" spans="1:26">
      <c r="A27" s="72" t="s">
        <v>102</v>
      </c>
      <c r="B27" s="72"/>
      <c r="C27" s="87">
        <f>'[2]Sch 31 Pri Gen Svc'!$C$26</f>
        <v>665684850</v>
      </c>
      <c r="D27" s="312">
        <f>'(JAP4)-Tariff Summary'!D77</f>
        <v>1.07E-3</v>
      </c>
      <c r="E27" s="89"/>
      <c r="F27" s="93">
        <f>ROUND(D27*$C27,0)</f>
        <v>712283</v>
      </c>
      <c r="G27" s="312">
        <f>ROUND(D27*(1+$M$31),5)</f>
        <v>1.08E-3</v>
      </c>
      <c r="H27" s="89"/>
      <c r="I27" s="93">
        <f>ROUND(G27*$C27,0)</f>
        <v>718940</v>
      </c>
      <c r="J27" s="64"/>
      <c r="K27" s="525" t="s">
        <v>92</v>
      </c>
      <c r="L27" s="525"/>
      <c r="M27" s="525"/>
    </row>
    <row r="28" spans="1:26">
      <c r="A28" s="72"/>
      <c r="B28" s="72"/>
      <c r="C28" s="70"/>
      <c r="D28" s="70"/>
      <c r="E28" s="65"/>
      <c r="F28" s="64"/>
      <c r="G28" s="70"/>
      <c r="H28" s="65"/>
      <c r="I28" s="64"/>
      <c r="J28" s="64"/>
      <c r="K28" s="77"/>
      <c r="L28" s="76"/>
      <c r="M28" s="46"/>
    </row>
    <row r="29" spans="1:26" ht="16.5" thickBot="1">
      <c r="A29" s="72" t="s">
        <v>39</v>
      </c>
      <c r="B29" s="72"/>
      <c r="C29" s="70"/>
      <c r="D29" s="70"/>
      <c r="E29" s="65"/>
      <c r="F29" s="96">
        <f>SUM(F15,F21,F25,F27)</f>
        <v>107151915</v>
      </c>
      <c r="G29" s="70"/>
      <c r="H29" s="65"/>
      <c r="I29" s="96">
        <f>SUM(I15,I21,I25,I27)</f>
        <v>107909338</v>
      </c>
      <c r="J29" s="90"/>
      <c r="K29" s="77"/>
      <c r="L29" s="76"/>
      <c r="M29" s="46"/>
    </row>
    <row r="30" spans="1:26" ht="16.5" thickTop="1">
      <c r="A30" s="72"/>
      <c r="B30" s="104"/>
      <c r="C30" s="70"/>
      <c r="D30" s="70"/>
      <c r="E30" s="72"/>
      <c r="F30" s="341">
        <f>'[2]Average Costs'!$E$18</f>
        <v>107151914</v>
      </c>
      <c r="G30" s="70"/>
      <c r="H30" s="72"/>
      <c r="I30" s="341"/>
      <c r="J30" s="341"/>
      <c r="K30" s="77"/>
      <c r="L30" s="76"/>
      <c r="M30" s="46"/>
    </row>
    <row r="31" spans="1:26">
      <c r="A31" s="311" t="s">
        <v>781</v>
      </c>
      <c r="B31" s="338"/>
      <c r="C31" s="310"/>
      <c r="D31" s="365">
        <f>ROUND(SUM(F25)/SUM($C$25),2)</f>
        <v>9.52</v>
      </c>
      <c r="E31" s="338"/>
      <c r="F31" s="343">
        <f>F30-F29</f>
        <v>-1</v>
      </c>
      <c r="G31" s="365">
        <f>ROUND(SUM(I25)/SUM($C$25),2)</f>
        <v>9.58</v>
      </c>
      <c r="K31" s="128" t="s">
        <v>387</v>
      </c>
      <c r="L31" s="68">
        <f>'(JAP4) Rate Spread'!K17*1000</f>
        <v>107909574.15912402</v>
      </c>
      <c r="M31" s="69">
        <f>L31/SUM(F29)-1</f>
        <v>7.0708877123102365E-3</v>
      </c>
    </row>
    <row r="32" spans="1:26">
      <c r="B32" s="72"/>
      <c r="C32" s="102"/>
      <c r="D32" s="341"/>
      <c r="E32" s="72"/>
      <c r="F32" s="72"/>
      <c r="G32" s="341"/>
      <c r="H32" s="72"/>
      <c r="I32" s="341" t="s">
        <v>0</v>
      </c>
      <c r="J32" s="341"/>
      <c r="K32" s="73" t="s">
        <v>38</v>
      </c>
      <c r="L32" s="74">
        <f>-L31+I29</f>
        <v>-236.15912401676178</v>
      </c>
      <c r="M32" s="106" t="s">
        <v>0</v>
      </c>
    </row>
    <row r="33" spans="1:13">
      <c r="K33" s="455" t="s">
        <v>398</v>
      </c>
      <c r="L33" s="244">
        <v>5.0000000000000004E-6</v>
      </c>
      <c r="M33" s="244">
        <f>L32/C17</f>
        <v>-1.8186907450033495E-7</v>
      </c>
    </row>
    <row r="34" spans="1:13">
      <c r="A34" s="115" t="s">
        <v>130</v>
      </c>
      <c r="B34" s="72"/>
      <c r="C34" s="102"/>
      <c r="D34" s="341"/>
      <c r="E34" s="72"/>
      <c r="F34" s="72"/>
      <c r="G34" s="341"/>
      <c r="H34" s="72"/>
      <c r="I34" s="341" t="s">
        <v>0</v>
      </c>
      <c r="J34" s="341"/>
      <c r="L34" s="47"/>
      <c r="M34" s="47"/>
    </row>
    <row r="35" spans="1:13">
      <c r="A35" s="116" t="s">
        <v>129</v>
      </c>
      <c r="B35" s="72"/>
      <c r="C35" s="72" t="s">
        <v>0</v>
      </c>
      <c r="D35" s="341"/>
      <c r="E35" s="72"/>
      <c r="F35" s="72"/>
      <c r="G35" s="341"/>
      <c r="H35" s="72"/>
      <c r="I35" s="72"/>
      <c r="J35" s="72"/>
      <c r="L35" s="47"/>
      <c r="M35" s="47"/>
    </row>
    <row r="36" spans="1:13">
      <c r="A36" s="89"/>
      <c r="B36" s="72"/>
      <c r="C36" s="72"/>
      <c r="D36" s="341"/>
      <c r="E36" s="72"/>
      <c r="F36" s="72"/>
      <c r="G36" s="341"/>
      <c r="H36" s="72"/>
      <c r="I36" s="72"/>
      <c r="J36" s="72"/>
      <c r="K36" s="28"/>
      <c r="L36" s="46"/>
      <c r="M36" s="46"/>
    </row>
    <row r="37" spans="1:13">
      <c r="A37" s="89" t="s">
        <v>42</v>
      </c>
      <c r="B37" s="72"/>
      <c r="C37" s="87">
        <f>'[2]Sch 35 Pri Gen Svc'!$C$9</f>
        <v>33</v>
      </c>
      <c r="D37" s="124">
        <f>'(JAP4)-Tariff Summary'!D80</f>
        <v>343.66</v>
      </c>
      <c r="E37" s="89"/>
      <c r="F37" s="93">
        <f>ROUND(D37*$C37,0)</f>
        <v>11341</v>
      </c>
      <c r="G37" s="124">
        <f>G15</f>
        <v>346.09</v>
      </c>
      <c r="H37" s="89"/>
      <c r="I37" s="93">
        <f>ROUND(G37*$C37,0)</f>
        <v>11421</v>
      </c>
      <c r="J37" s="93"/>
      <c r="K37" s="525" t="s">
        <v>131</v>
      </c>
      <c r="L37" s="525"/>
      <c r="M37" s="525"/>
    </row>
    <row r="38" spans="1:13">
      <c r="A38" s="89" t="s">
        <v>45</v>
      </c>
      <c r="B38" s="72"/>
      <c r="C38" s="87"/>
      <c r="D38" s="103"/>
      <c r="E38" s="93"/>
      <c r="F38" s="93"/>
      <c r="G38" s="103"/>
      <c r="H38" s="93"/>
      <c r="I38" s="93"/>
      <c r="J38" s="93"/>
      <c r="K38" s="28"/>
      <c r="L38" s="46"/>
      <c r="M38" s="46"/>
    </row>
    <row r="39" spans="1:13">
      <c r="A39" s="118" t="s">
        <v>51</v>
      </c>
      <c r="B39" s="72"/>
      <c r="C39" s="87">
        <f>'[2]Sch 35 Pri Gen Svc'!$C$14</f>
        <v>4343160</v>
      </c>
      <c r="D39" s="313">
        <f>'(JAP4)-Tariff Summary'!D82</f>
        <v>4.9973999999999998E-2</v>
      </c>
      <c r="E39" s="93"/>
      <c r="F39" s="93">
        <f>ROUND($C39*D39,0)</f>
        <v>217045</v>
      </c>
      <c r="G39" s="313">
        <f>ROUND(D39*(1+$M$54),6)+L56</f>
        <v>5.0811999999999996E-2</v>
      </c>
      <c r="H39" s="93"/>
      <c r="I39" s="93">
        <f>ROUND($C39*G39,0)</f>
        <v>220685</v>
      </c>
      <c r="J39" s="93"/>
      <c r="K39" s="526" t="s">
        <v>386</v>
      </c>
      <c r="L39" s="525"/>
      <c r="M39" s="525"/>
    </row>
    <row r="40" spans="1:13">
      <c r="A40" s="119" t="s">
        <v>35</v>
      </c>
      <c r="B40" s="72"/>
      <c r="C40" s="125">
        <f>SUM(C39:C39)</f>
        <v>4343160</v>
      </c>
      <c r="D40" s="92"/>
      <c r="E40" s="89"/>
      <c r="F40" s="109">
        <f>SUM(F39:F39)</f>
        <v>217045</v>
      </c>
      <c r="G40" s="92"/>
      <c r="H40" s="89"/>
      <c r="I40" s="109">
        <f>SUM(I39:I39)</f>
        <v>220685</v>
      </c>
      <c r="J40" s="341"/>
      <c r="K40" s="28"/>
      <c r="L40" s="46"/>
      <c r="M40" s="46"/>
    </row>
    <row r="41" spans="1:13">
      <c r="A41" s="118" t="s">
        <v>82</v>
      </c>
      <c r="B41" s="72"/>
      <c r="C41" s="87">
        <v>0</v>
      </c>
      <c r="D41" s="313">
        <f>D39</f>
        <v>4.9973999999999998E-2</v>
      </c>
      <c r="E41" s="89"/>
      <c r="F41" s="93">
        <f>ROUND($C41*D41,0)</f>
        <v>0</v>
      </c>
      <c r="G41" s="313">
        <f>G39</f>
        <v>5.0811999999999996E-2</v>
      </c>
      <c r="H41" s="89"/>
      <c r="I41" s="93">
        <f>ROUND($C41*G41,0)</f>
        <v>0</v>
      </c>
      <c r="J41" s="341"/>
      <c r="K41" s="127"/>
      <c r="L41" s="46"/>
      <c r="M41" s="46"/>
    </row>
    <row r="42" spans="1:13">
      <c r="A42" s="117" t="s">
        <v>84</v>
      </c>
      <c r="B42" s="72"/>
      <c r="C42" s="70">
        <f>'[2]Sch 35 Pri Gen Svc'!$C$51</f>
        <v>-553680</v>
      </c>
      <c r="D42" s="313">
        <f>ROUND(F42/C42,6)</f>
        <v>6.0974E-2</v>
      </c>
      <c r="E42" s="65"/>
      <c r="F42" s="93">
        <f>'[2]Sch 35 Pri Gen Svc'!$C$53</f>
        <v>-33760</v>
      </c>
      <c r="G42" s="313">
        <f>ROUND(D42*(1+$M$52),6)</f>
        <v>6.1969000000000003E-2</v>
      </c>
      <c r="H42" s="65"/>
      <c r="I42" s="93">
        <f>ROUND($C42*G42,0)</f>
        <v>-34311</v>
      </c>
      <c r="J42" s="64"/>
      <c r="K42" s="526" t="s">
        <v>92</v>
      </c>
      <c r="L42" s="525"/>
      <c r="M42" s="525"/>
    </row>
    <row r="43" spans="1:13">
      <c r="A43" s="119" t="s">
        <v>35</v>
      </c>
      <c r="B43" s="72"/>
      <c r="C43" s="125">
        <f>SUM(C40:C42)</f>
        <v>3789480</v>
      </c>
      <c r="D43" s="65"/>
      <c r="E43" s="65"/>
      <c r="F43" s="109">
        <f>SUM(F40:F42)</f>
        <v>183285</v>
      </c>
      <c r="G43" s="65"/>
      <c r="H43" s="65"/>
      <c r="I43" s="109">
        <f>SUM(I40:I42)</f>
        <v>186374</v>
      </c>
      <c r="J43" s="64"/>
      <c r="K43" s="127"/>
      <c r="L43" s="46"/>
      <c r="M43" s="46"/>
    </row>
    <row r="44" spans="1:13">
      <c r="A44" s="65" t="s">
        <v>44</v>
      </c>
      <c r="B44" s="72"/>
      <c r="C44" s="87"/>
      <c r="D44" s="82"/>
      <c r="E44" s="89"/>
      <c r="F44" s="93"/>
      <c r="G44" s="82"/>
      <c r="H44" s="89"/>
      <c r="I44" s="93"/>
      <c r="J44" s="93"/>
      <c r="K44" s="127"/>
      <c r="L44" s="76"/>
      <c r="M44" s="46"/>
    </row>
    <row r="45" spans="1:13">
      <c r="A45" s="118" t="s">
        <v>106</v>
      </c>
      <c r="B45" s="72"/>
      <c r="C45" s="87">
        <f>SUM('[2]Sch 35 Pri Gen Svc'!$C$16:$C$17)</f>
        <v>1271</v>
      </c>
      <c r="D45" s="124">
        <f>'(JAP4)-Tariff Summary'!D84</f>
        <v>4.62</v>
      </c>
      <c r="E45" s="89"/>
      <c r="F45" s="93">
        <f>ROUND(D45*$C45,0)</f>
        <v>5872</v>
      </c>
      <c r="G45" s="124">
        <f>ROUND(D45*(1+$M$54),2)</f>
        <v>4.7</v>
      </c>
      <c r="H45" s="89"/>
      <c r="I45" s="93">
        <f>ROUND(G45*$C45,0)</f>
        <v>5974</v>
      </c>
      <c r="J45" s="93"/>
      <c r="K45" s="526" t="s">
        <v>386</v>
      </c>
      <c r="L45" s="525"/>
      <c r="M45" s="525"/>
    </row>
    <row r="46" spans="1:13">
      <c r="A46" s="118" t="s">
        <v>107</v>
      </c>
      <c r="B46" s="72"/>
      <c r="C46" s="87">
        <f>SUM('[2]Sch 35 Pri Gen Svc'!$C$18:$C$20)</f>
        <v>7487</v>
      </c>
      <c r="D46" s="124">
        <f>'(JAP4)-Tariff Summary'!D85</f>
        <v>3.08</v>
      </c>
      <c r="E46" s="89"/>
      <c r="F46" s="93">
        <f>ROUND(D46*$C46,0)</f>
        <v>23060</v>
      </c>
      <c r="G46" s="124">
        <f>ROUND(D46*(1+$M$54),2)</f>
        <v>3.13</v>
      </c>
      <c r="H46" s="89"/>
      <c r="I46" s="93">
        <f>ROUND(G46*$C46,0)</f>
        <v>23434</v>
      </c>
      <c r="J46" s="93"/>
      <c r="K46" s="526" t="s">
        <v>386</v>
      </c>
      <c r="L46" s="525"/>
      <c r="M46" s="525"/>
    </row>
    <row r="47" spans="1:13">
      <c r="A47" s="119" t="s">
        <v>35</v>
      </c>
      <c r="B47" s="72"/>
      <c r="C47" s="125">
        <f>SUM(C45:C46)</f>
        <v>8758</v>
      </c>
      <c r="D47" s="82"/>
      <c r="E47" s="89"/>
      <c r="F47" s="126">
        <f>SUM(F45:F46)</f>
        <v>28932</v>
      </c>
      <c r="G47" s="82"/>
      <c r="H47" s="89"/>
      <c r="I47" s="126">
        <f>SUM(I45:I46)</f>
        <v>29408</v>
      </c>
      <c r="J47" s="93"/>
      <c r="K47" s="127"/>
      <c r="L47" s="46"/>
      <c r="M47" s="46"/>
    </row>
    <row r="48" spans="1:13">
      <c r="A48" s="72"/>
      <c r="B48" s="72"/>
      <c r="C48" s="70"/>
      <c r="D48" s="70"/>
      <c r="E48" s="65"/>
      <c r="F48" s="64"/>
      <c r="G48" s="70"/>
      <c r="H48" s="65"/>
      <c r="I48" s="64"/>
      <c r="J48" s="64"/>
      <c r="K48" s="127"/>
      <c r="L48" s="46"/>
      <c r="M48" s="46"/>
    </row>
    <row r="49" spans="1:13">
      <c r="A49" s="72" t="s">
        <v>102</v>
      </c>
      <c r="B49" s="72"/>
      <c r="C49" s="87">
        <f>'[2]Sch 35 Pri Gen Svc'!$C$26</f>
        <v>2223469</v>
      </c>
      <c r="D49" s="312">
        <f>'(JAP4)-Tariff Summary'!D87</f>
        <v>1.1100000000000001E-3</v>
      </c>
      <c r="E49" s="89"/>
      <c r="F49" s="93">
        <f>ROUND(D49*$C49,0)</f>
        <v>2468</v>
      </c>
      <c r="G49" s="312">
        <f>ROUND(D49*(1+$M$54),5)</f>
        <v>1.1299999999999999E-3</v>
      </c>
      <c r="H49" s="89"/>
      <c r="I49" s="93">
        <f>ROUND(G49*$C49,0)</f>
        <v>2513</v>
      </c>
      <c r="J49" s="64"/>
      <c r="K49" s="526" t="s">
        <v>386</v>
      </c>
      <c r="L49" s="525"/>
      <c r="M49" s="525"/>
    </row>
    <row r="50" spans="1:13">
      <c r="A50" s="72"/>
      <c r="B50" s="72"/>
      <c r="C50" s="70"/>
      <c r="D50" s="70"/>
      <c r="E50" s="65"/>
      <c r="F50" s="64"/>
      <c r="G50" s="70"/>
      <c r="H50" s="65"/>
      <c r="I50" s="64"/>
      <c r="J50" s="64"/>
      <c r="K50" s="77"/>
      <c r="L50" s="76"/>
      <c r="M50" s="46"/>
    </row>
    <row r="51" spans="1:13" ht="16.5" thickBot="1">
      <c r="A51" s="72" t="s">
        <v>39</v>
      </c>
      <c r="B51" s="72"/>
      <c r="C51" s="70"/>
      <c r="D51" s="70"/>
      <c r="E51" s="65"/>
      <c r="F51" s="96">
        <f>SUM(F37,F43,F47,F49)</f>
        <v>226026</v>
      </c>
      <c r="G51" s="70"/>
      <c r="H51" s="65"/>
      <c r="I51" s="96">
        <f>SUM(I37,I43,I47,I49)</f>
        <v>229716</v>
      </c>
      <c r="J51" s="90"/>
    </row>
    <row r="52" spans="1:13" ht="16.5" thickTop="1">
      <c r="A52" s="72"/>
      <c r="B52" s="104"/>
      <c r="C52" s="70"/>
      <c r="D52" s="70"/>
      <c r="E52" s="72"/>
      <c r="F52" s="341">
        <f>'[2]Average Costs'!$E$19</f>
        <v>226030</v>
      </c>
      <c r="G52" s="70"/>
      <c r="H52" s="72"/>
      <c r="I52" s="341"/>
      <c r="J52" s="341"/>
      <c r="K52" s="128" t="s">
        <v>384</v>
      </c>
      <c r="L52" s="68">
        <f>'(JAP4) Rate Spread'!M18</f>
        <v>3688.1641524522988</v>
      </c>
      <c r="M52" s="69">
        <f>L52/F51</f>
        <v>1.631743318225469E-2</v>
      </c>
    </row>
    <row r="53" spans="1:13">
      <c r="A53" s="72"/>
      <c r="B53" s="104"/>
      <c r="C53" s="70"/>
      <c r="D53" s="70"/>
      <c r="E53" s="72"/>
      <c r="F53" s="341">
        <f>F51-F52</f>
        <v>-4</v>
      </c>
      <c r="G53" s="70"/>
      <c r="H53" s="72"/>
      <c r="I53" s="341"/>
      <c r="J53" s="341"/>
      <c r="K53" s="318" t="s">
        <v>385</v>
      </c>
      <c r="L53" s="319">
        <f>-(I37-F37)</f>
        <v>-80</v>
      </c>
      <c r="M53" s="320"/>
    </row>
    <row r="54" spans="1:13">
      <c r="A54" s="72"/>
      <c r="B54" s="104"/>
      <c r="C54" s="70"/>
      <c r="D54" s="70"/>
      <c r="E54" s="72"/>
      <c r="F54" s="341"/>
      <c r="G54" s="70"/>
      <c r="H54" s="72"/>
      <c r="I54" s="341"/>
      <c r="J54" s="341"/>
      <c r="K54" s="318" t="s">
        <v>367</v>
      </c>
      <c r="L54" s="319">
        <f>SUM(L52:L53)</f>
        <v>3608.1641524522988</v>
      </c>
      <c r="M54" s="321">
        <f>L54/(F51-F37)</f>
        <v>1.6806782739605928E-2</v>
      </c>
    </row>
    <row r="55" spans="1:13">
      <c r="A55" s="72"/>
      <c r="B55" s="104"/>
      <c r="C55" s="70"/>
      <c r="D55" s="70"/>
      <c r="E55" s="72"/>
      <c r="F55" s="341"/>
      <c r="G55" s="70"/>
      <c r="H55" s="72"/>
      <c r="I55" s="341"/>
      <c r="J55" s="341"/>
      <c r="K55" s="317" t="s">
        <v>38</v>
      </c>
      <c r="L55" s="74">
        <f>-L52+(I51-F51)</f>
        <v>1.835847547701178</v>
      </c>
      <c r="M55" s="106" t="s">
        <v>0</v>
      </c>
    </row>
    <row r="56" spans="1:13">
      <c r="A56" s="72"/>
      <c r="B56" s="104"/>
      <c r="C56" s="70"/>
      <c r="D56" s="70"/>
      <c r="E56" s="72"/>
      <c r="F56" s="341"/>
      <c r="G56" s="70"/>
      <c r="H56" s="72"/>
      <c r="I56" s="341"/>
      <c r="J56" s="341"/>
      <c r="K56" s="455" t="s">
        <v>398</v>
      </c>
      <c r="L56" s="244">
        <v>-1.9999999999999999E-6</v>
      </c>
      <c r="M56" s="244">
        <f>L55/C39</f>
        <v>4.2269857608312333E-7</v>
      </c>
    </row>
    <row r="57" spans="1:13">
      <c r="A57" s="115" t="s">
        <v>135</v>
      </c>
      <c r="B57" s="72"/>
      <c r="C57" s="102"/>
      <c r="D57" s="341"/>
      <c r="E57" s="72"/>
      <c r="F57" s="72"/>
      <c r="G57" s="341"/>
      <c r="H57" s="72"/>
      <c r="I57" s="341" t="s">
        <v>0</v>
      </c>
      <c r="J57" s="341"/>
      <c r="L57" s="47"/>
      <c r="M57" s="47"/>
    </row>
    <row r="58" spans="1:13">
      <c r="A58" s="116" t="s">
        <v>136</v>
      </c>
      <c r="B58" s="72"/>
      <c r="C58" s="72" t="s">
        <v>0</v>
      </c>
      <c r="D58" s="341"/>
      <c r="E58" s="72"/>
      <c r="F58" s="72"/>
      <c r="G58" s="341"/>
      <c r="H58" s="72"/>
      <c r="I58" s="72"/>
      <c r="J58" s="72"/>
      <c r="L58" s="47"/>
      <c r="M58" s="47"/>
    </row>
    <row r="59" spans="1:13">
      <c r="A59" s="89"/>
      <c r="B59" s="72"/>
      <c r="C59" s="72"/>
      <c r="D59" s="341"/>
      <c r="E59" s="72"/>
      <c r="F59" s="72"/>
      <c r="G59" s="341"/>
      <c r="H59" s="72"/>
      <c r="I59" s="72"/>
      <c r="J59" s="72"/>
      <c r="K59" s="28"/>
      <c r="L59" s="46"/>
      <c r="M59" s="46"/>
    </row>
    <row r="60" spans="1:13">
      <c r="A60" s="89" t="s">
        <v>42</v>
      </c>
      <c r="B60" s="72"/>
      <c r="C60" s="87">
        <f>'[2]Sch 43 Pri Gen Svc'!$C$9</f>
        <v>1889</v>
      </c>
      <c r="D60" s="124">
        <f>'(JAP4)-Tariff Summary'!D90</f>
        <v>343.66</v>
      </c>
      <c r="E60" s="89"/>
      <c r="F60" s="93">
        <f>ROUND(D60*$C60,0)</f>
        <v>649174</v>
      </c>
      <c r="G60" s="124">
        <f>G15</f>
        <v>346.09</v>
      </c>
      <c r="H60" s="89"/>
      <c r="I60" s="93">
        <f>ROUND(G60*$C60,0)</f>
        <v>653764</v>
      </c>
      <c r="J60" s="93"/>
      <c r="K60" s="525" t="s">
        <v>131</v>
      </c>
      <c r="L60" s="525"/>
      <c r="M60" s="525"/>
    </row>
    <row r="61" spans="1:13">
      <c r="A61" s="89" t="s">
        <v>45</v>
      </c>
      <c r="B61" s="72"/>
      <c r="C61" s="87"/>
      <c r="D61" s="103"/>
      <c r="E61" s="93"/>
      <c r="F61" s="93"/>
      <c r="G61" s="103"/>
      <c r="H61" s="93"/>
      <c r="I61" s="93"/>
      <c r="J61" s="93"/>
      <c r="K61" s="28"/>
      <c r="L61" s="46"/>
      <c r="M61" s="46"/>
    </row>
    <row r="62" spans="1:13">
      <c r="A62" s="118" t="s">
        <v>51</v>
      </c>
      <c r="B62" s="72"/>
      <c r="C62" s="87">
        <f>'[2]Sch 43 Pri Gen Svc'!$C$14</f>
        <v>120661575</v>
      </c>
      <c r="D62" s="313">
        <f>'(JAP4)-Tariff Summary'!D92</f>
        <v>5.7135999999999999E-2</v>
      </c>
      <c r="E62" s="93"/>
      <c r="F62" s="93">
        <f>ROUND($C62*D62,0)</f>
        <v>6894120</v>
      </c>
      <c r="G62" s="270">
        <f>ROUND((L77-I60-I65-I68-I73)/SUM(C63:C64),6)</f>
        <v>5.7894000000000001E-2</v>
      </c>
      <c r="H62" s="93"/>
      <c r="I62" s="93">
        <f>ROUND($C62*G62,0)</f>
        <v>6985581</v>
      </c>
      <c r="J62" s="93"/>
      <c r="K62" s="525" t="s">
        <v>138</v>
      </c>
      <c r="L62" s="525"/>
      <c r="M62" s="525"/>
    </row>
    <row r="63" spans="1:13">
      <c r="A63" s="119" t="s">
        <v>35</v>
      </c>
      <c r="B63" s="72"/>
      <c r="C63" s="125">
        <f>SUM(C62:C62)</f>
        <v>120661575</v>
      </c>
      <c r="D63" s="92"/>
      <c r="E63" s="89"/>
      <c r="F63" s="109">
        <f>SUM(F62:F62)</f>
        <v>6894120</v>
      </c>
      <c r="G63" s="92"/>
      <c r="H63" s="89"/>
      <c r="I63" s="109">
        <f>SUM(I62:I62)</f>
        <v>6985581</v>
      </c>
      <c r="J63" s="341"/>
      <c r="K63" s="130"/>
      <c r="L63" s="46"/>
      <c r="M63" s="46"/>
    </row>
    <row r="64" spans="1:13">
      <c r="A64" s="118" t="s">
        <v>82</v>
      </c>
      <c r="B64" s="72"/>
      <c r="C64" s="87">
        <f>'[2]Temperature Adjustment'!$B$29</f>
        <v>461100.14024450612</v>
      </c>
      <c r="D64" s="313">
        <f>D62</f>
        <v>5.7135999999999999E-2</v>
      </c>
      <c r="E64" s="89"/>
      <c r="F64" s="93">
        <f>ROUND($C64*D64,0)</f>
        <v>26345</v>
      </c>
      <c r="G64" s="313">
        <f>G62</f>
        <v>5.7894000000000001E-2</v>
      </c>
      <c r="H64" s="89"/>
      <c r="I64" s="93">
        <f>ROUND($C64*G64,0)</f>
        <v>26695</v>
      </c>
      <c r="J64" s="341"/>
      <c r="K64" s="129"/>
      <c r="L64" s="46"/>
      <c r="M64" s="46"/>
    </row>
    <row r="65" spans="1:13">
      <c r="A65" s="117" t="s">
        <v>84</v>
      </c>
      <c r="B65" s="72"/>
      <c r="C65" s="70">
        <f>'[2]Sch 43 Pri Gen Svc'!$C$47</f>
        <v>1923489.08</v>
      </c>
      <c r="D65" s="313">
        <f>ROUND(F65/C65,6)</f>
        <v>9.7594E-2</v>
      </c>
      <c r="E65" s="65"/>
      <c r="F65" s="93">
        <f>'[2]Sch 43 Pri Gen Svc'!$C$49</f>
        <v>187721</v>
      </c>
      <c r="G65" s="313">
        <f>ROUND(D65*(1+$M$77),6)</f>
        <v>9.8655999999999994E-2</v>
      </c>
      <c r="H65" s="65"/>
      <c r="I65" s="93">
        <f>ROUND($C65*G65,0)</f>
        <v>189764</v>
      </c>
      <c r="J65" s="64"/>
      <c r="K65" s="525" t="s">
        <v>92</v>
      </c>
      <c r="L65" s="525"/>
      <c r="M65" s="525"/>
    </row>
    <row r="66" spans="1:13">
      <c r="A66" s="119" t="s">
        <v>35</v>
      </c>
      <c r="B66" s="72"/>
      <c r="C66" s="125">
        <f>SUM(C63:C65)</f>
        <v>123046164.2202445</v>
      </c>
      <c r="D66" s="65"/>
      <c r="E66" s="65"/>
      <c r="F66" s="109">
        <f>SUM(F63:F65)</f>
        <v>7108186</v>
      </c>
      <c r="G66" s="65"/>
      <c r="H66" s="65"/>
      <c r="I66" s="109">
        <f>SUM(I63:I65)</f>
        <v>7202040</v>
      </c>
      <c r="J66" s="64"/>
      <c r="K66" s="127"/>
      <c r="L66" s="46"/>
      <c r="M66" s="46"/>
    </row>
    <row r="67" spans="1:13">
      <c r="A67" s="65" t="s">
        <v>44</v>
      </c>
      <c r="B67" s="72"/>
      <c r="C67" s="87"/>
      <c r="D67" s="82"/>
      <c r="E67" s="89"/>
      <c r="F67" s="93"/>
      <c r="G67" s="82"/>
      <c r="H67" s="89"/>
      <c r="I67" s="93"/>
      <c r="J67" s="93"/>
      <c r="K67" s="127"/>
      <c r="L67" s="76"/>
      <c r="M67" s="46"/>
    </row>
    <row r="68" spans="1:13">
      <c r="A68" s="118" t="s">
        <v>137</v>
      </c>
      <c r="B68" s="72"/>
      <c r="C68" s="87">
        <f>'[2]Sch 43 Pri Gen Svc'!$C$19</f>
        <v>600508</v>
      </c>
      <c r="D68" s="124">
        <f>'(JAP4)-Tariff Summary'!D94</f>
        <v>4.8099999999999996</v>
      </c>
      <c r="E68" s="89"/>
      <c r="F68" s="93">
        <f>ROUND(D68*$C68,0)</f>
        <v>2888443</v>
      </c>
      <c r="G68" s="124">
        <f>ROUND(D68*(1+$M$31),2)</f>
        <v>4.84</v>
      </c>
      <c r="H68" s="89"/>
      <c r="I68" s="93">
        <f>ROUND(G68*$C68,0)</f>
        <v>2906459</v>
      </c>
      <c r="J68" s="93"/>
      <c r="K68" s="525" t="s">
        <v>92</v>
      </c>
      <c r="L68" s="525"/>
      <c r="M68" s="525"/>
    </row>
    <row r="69" spans="1:13">
      <c r="A69" s="119" t="s">
        <v>35</v>
      </c>
      <c r="B69" s="72"/>
      <c r="C69" s="125">
        <f>SUM(C68:C68)</f>
        <v>600508</v>
      </c>
      <c r="D69" s="82"/>
      <c r="E69" s="89"/>
      <c r="F69" s="126">
        <f>SUM(F68:F68)</f>
        <v>2888443</v>
      </c>
      <c r="G69" s="82"/>
      <c r="H69" s="89"/>
      <c r="I69" s="126">
        <f>SUM(I68:I68)</f>
        <v>2906459</v>
      </c>
      <c r="J69" s="93"/>
      <c r="K69" s="127"/>
      <c r="L69" s="46"/>
      <c r="M69" s="46"/>
    </row>
    <row r="70" spans="1:13">
      <c r="A70" s="72"/>
      <c r="B70" s="72"/>
      <c r="C70" s="70"/>
      <c r="D70" s="70"/>
      <c r="E70" s="65"/>
      <c r="F70" s="64"/>
      <c r="G70" s="70"/>
      <c r="H70" s="65"/>
      <c r="I70" s="64"/>
      <c r="J70" s="64"/>
      <c r="K70" s="127"/>
      <c r="L70" s="46"/>
      <c r="M70" s="46"/>
    </row>
    <row r="71" spans="1:13">
      <c r="A71" s="47" t="s">
        <v>320</v>
      </c>
      <c r="B71" s="72"/>
      <c r="C71" s="87">
        <v>0</v>
      </c>
      <c r="D71" s="260">
        <f>ROUND(D23-D68,2)</f>
        <v>6.65</v>
      </c>
      <c r="E71" s="65"/>
      <c r="F71" s="93">
        <f>ROUND(D71*$C71,0)</f>
        <v>0</v>
      </c>
      <c r="G71" s="260">
        <f>ROUND(G23-G68,2)</f>
        <v>6.7</v>
      </c>
      <c r="H71" s="65"/>
      <c r="I71" s="93">
        <f>ROUND(G71*$C71,0)</f>
        <v>0</v>
      </c>
      <c r="J71" s="64"/>
      <c r="K71" s="525" t="s">
        <v>321</v>
      </c>
      <c r="L71" s="525"/>
      <c r="M71" s="525"/>
    </row>
    <row r="72" spans="1:13">
      <c r="A72" s="72"/>
      <c r="B72" s="72"/>
      <c r="C72" s="70"/>
      <c r="D72" s="70"/>
      <c r="E72" s="65"/>
      <c r="F72" s="64"/>
      <c r="G72" s="70"/>
      <c r="H72" s="65"/>
      <c r="I72" s="64"/>
      <c r="J72" s="64"/>
      <c r="K72" s="127"/>
      <c r="L72" s="46"/>
      <c r="M72" s="46"/>
    </row>
    <row r="73" spans="1:13">
      <c r="A73" s="72" t="s">
        <v>102</v>
      </c>
      <c r="B73" s="72"/>
      <c r="C73" s="87">
        <f>'[2]Sch 43 Pri Gen Svc'!$C$24</f>
        <v>48889496</v>
      </c>
      <c r="D73" s="312">
        <f>'(JAP4)-Tariff Summary'!D98</f>
        <v>3.0400000000000002E-3</v>
      </c>
      <c r="E73" s="89"/>
      <c r="F73" s="93">
        <f>ROUND(D73*$C73,0)</f>
        <v>148624</v>
      </c>
      <c r="G73" s="312">
        <f>ROUND(D73*(1+$M$31),5)</f>
        <v>3.0599999999999998E-3</v>
      </c>
      <c r="H73" s="89"/>
      <c r="I73" s="93">
        <f>ROUND(G73*$C73,0)</f>
        <v>149602</v>
      </c>
      <c r="J73" s="64"/>
      <c r="K73" s="525" t="s">
        <v>92</v>
      </c>
      <c r="L73" s="525"/>
      <c r="M73" s="525"/>
    </row>
    <row r="74" spans="1:13">
      <c r="A74" s="72"/>
      <c r="B74" s="72"/>
      <c r="C74" s="70"/>
      <c r="D74" s="70"/>
      <c r="E74" s="65"/>
      <c r="F74" s="64"/>
      <c r="G74" s="70"/>
      <c r="H74" s="65"/>
      <c r="I74" s="64"/>
      <c r="J74" s="64"/>
      <c r="K74" s="77"/>
      <c r="L74" s="76"/>
      <c r="M74" s="46"/>
    </row>
    <row r="75" spans="1:13" ht="16.5" thickBot="1">
      <c r="A75" s="72" t="s">
        <v>39</v>
      </c>
      <c r="B75" s="72"/>
      <c r="C75" s="70"/>
      <c r="D75" s="70"/>
      <c r="E75" s="65"/>
      <c r="F75" s="96">
        <f>SUM(F60,F66,F69,F73)</f>
        <v>10794427</v>
      </c>
      <c r="G75" s="70"/>
      <c r="H75" s="65"/>
      <c r="I75" s="96">
        <f>SUM(I60,I66,I69,I73)</f>
        <v>10911865</v>
      </c>
      <c r="J75" s="90"/>
      <c r="K75" s="77"/>
      <c r="L75" s="76"/>
      <c r="M75" s="46"/>
    </row>
    <row r="76" spans="1:13" ht="16.5" thickTop="1">
      <c r="A76" s="72"/>
      <c r="B76" s="104"/>
      <c r="C76" s="70"/>
      <c r="D76" s="70"/>
      <c r="E76" s="72"/>
      <c r="F76" s="341">
        <f>'[2]Average Costs'!$E$20</f>
        <v>10794428</v>
      </c>
      <c r="G76" s="70"/>
      <c r="H76" s="72"/>
      <c r="I76" s="341"/>
      <c r="J76" s="341"/>
      <c r="K76" s="77"/>
      <c r="L76" s="76"/>
      <c r="M76" s="46"/>
    </row>
    <row r="77" spans="1:13">
      <c r="F77" s="63">
        <f>F75-F76</f>
        <v>-1</v>
      </c>
      <c r="K77" s="128" t="s">
        <v>139</v>
      </c>
      <c r="L77" s="68">
        <f>'(JAP4) Rate Spread'!K19*1000</f>
        <v>10911851.894208817</v>
      </c>
      <c r="M77" s="69">
        <f>L77/SUM(F75)-1</f>
        <v>1.0878288788169765E-2</v>
      </c>
    </row>
    <row r="78" spans="1:13">
      <c r="B78" s="72"/>
      <c r="C78" s="102"/>
      <c r="D78" s="341"/>
      <c r="E78" s="72"/>
      <c r="F78" s="72"/>
      <c r="G78" s="341"/>
      <c r="H78" s="72"/>
      <c r="I78" s="341" t="s">
        <v>0</v>
      </c>
      <c r="J78" s="341"/>
      <c r="K78" s="73" t="s">
        <v>38</v>
      </c>
      <c r="L78" s="74">
        <f>-L77+I75</f>
        <v>13.105791183188558</v>
      </c>
      <c r="M78" s="106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5" header="0.3" footer="0.3"/>
  <pageSetup scale="79" fitToHeight="0" orientation="landscape" r:id="rId1"/>
  <headerFooter alignWithMargins="0">
    <oddFooter>&amp;L&amp;F
&amp;A&amp;R2018 ERF Rate Design Workpapers
Page &amp;P of &amp;N</oddFooter>
  </headerFooter>
  <rowBreaks count="2" manualBreakCount="2">
    <brk id="33" max="12" man="1"/>
    <brk id="56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0">
    <pageSetUpPr fitToPage="1"/>
  </sheetPr>
  <dimension ref="A1:AH77"/>
  <sheetViews>
    <sheetView zoomScale="75" zoomScaleNormal="75" zoomScaleSheetLayoutView="80" workbookViewId="0">
      <pane ySplit="10" topLeftCell="A26" activePane="bottomLeft" state="frozen"/>
      <selection activeCell="D153" sqref="D153:E171"/>
      <selection pane="bottomLeft" activeCell="J43" sqref="J43"/>
    </sheetView>
  </sheetViews>
  <sheetFormatPr defaultColWidth="10.25" defaultRowHeight="15.75"/>
  <cols>
    <col min="1" max="1" width="38.875" style="47" bestFit="1" customWidth="1"/>
    <col min="2" max="2" width="1.375" style="47" bestFit="1" customWidth="1"/>
    <col min="3" max="3" width="13.875" style="47" customWidth="1"/>
    <col min="4" max="4" width="12.375" style="47" customWidth="1"/>
    <col min="5" max="5" width="17.75" style="47" customWidth="1"/>
    <col min="6" max="6" width="2" style="47" bestFit="1" customWidth="1"/>
    <col min="7" max="7" width="11.75" style="47" customWidth="1"/>
    <col min="8" max="8" width="14.125" style="47" customWidth="1"/>
    <col min="9" max="9" width="2" style="47" bestFit="1" customWidth="1"/>
    <col min="10" max="10" width="11.75" style="47" customWidth="1"/>
    <col min="11" max="11" width="2.25" style="47" customWidth="1"/>
    <col min="12" max="12" width="9.75" style="47" customWidth="1"/>
    <col min="13" max="13" width="14.25" style="53" customWidth="1"/>
    <col min="14" max="14" width="6.5" style="53" customWidth="1"/>
    <col min="15" max="15" width="12.5" style="53" customWidth="1"/>
    <col min="16" max="20" width="12.5" style="47" customWidth="1"/>
    <col min="21" max="22" width="4.875" style="47" bestFit="1" customWidth="1"/>
    <col min="23" max="23" width="12.25" style="47" bestFit="1" customWidth="1"/>
    <col min="24" max="24" width="5.5" style="47" bestFit="1" customWidth="1"/>
    <col min="25" max="25" width="1.375" style="47" bestFit="1" customWidth="1"/>
    <col min="26" max="26" width="10.25" style="47" customWidth="1"/>
    <col min="27" max="27" width="12.125" style="47" customWidth="1"/>
    <col min="28" max="16384" width="10.25" style="47"/>
  </cols>
  <sheetData>
    <row r="1" spans="1:34" ht="18">
      <c r="A1" s="513" t="s">
        <v>53</v>
      </c>
      <c r="B1" s="513"/>
      <c r="C1" s="513"/>
      <c r="D1" s="513"/>
      <c r="E1" s="513"/>
      <c r="F1" s="513"/>
      <c r="G1" s="513"/>
      <c r="H1" s="513"/>
      <c r="I1" s="513"/>
      <c r="J1" s="513"/>
      <c r="K1" s="45"/>
      <c r="L1" s="28"/>
      <c r="M1" s="46"/>
      <c r="N1" s="46"/>
      <c r="O1" s="46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4" ht="18">
      <c r="A2" s="513" t="s">
        <v>30</v>
      </c>
      <c r="B2" s="513"/>
      <c r="C2" s="513"/>
      <c r="D2" s="513"/>
      <c r="E2" s="513"/>
      <c r="F2" s="513"/>
      <c r="G2" s="513"/>
      <c r="H2" s="513"/>
      <c r="I2" s="513"/>
      <c r="J2" s="513"/>
      <c r="K2" s="45"/>
      <c r="L2" s="28"/>
      <c r="M2" s="46"/>
      <c r="N2" s="46"/>
      <c r="O2" s="46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4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514"/>
      <c r="K3" s="48"/>
      <c r="L3" s="28"/>
      <c r="M3" s="46"/>
      <c r="N3" s="46"/>
      <c r="O3" s="46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34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515"/>
      <c r="K4" s="49"/>
      <c r="L4" s="28"/>
      <c r="M4" s="46"/>
      <c r="N4" s="46"/>
      <c r="O4" s="46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4">
      <c r="A5" s="50" t="s">
        <v>140</v>
      </c>
      <c r="B5" s="51"/>
      <c r="C5" s="51"/>
      <c r="D5" s="51"/>
      <c r="E5" s="52"/>
      <c r="F5" s="52"/>
      <c r="G5" s="51"/>
      <c r="H5" s="52"/>
      <c r="I5" s="51"/>
      <c r="J5" s="51"/>
      <c r="K5" s="51"/>
      <c r="L5" s="28"/>
      <c r="M5" s="46"/>
      <c r="N5" s="46"/>
      <c r="O5" s="46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4">
      <c r="A6" s="50"/>
      <c r="B6" s="51"/>
      <c r="C6" s="51"/>
      <c r="D6" s="51"/>
      <c r="E6" s="52"/>
      <c r="F6" s="52"/>
      <c r="G6" s="51"/>
      <c r="H6" s="52"/>
      <c r="I6" s="51"/>
      <c r="J6" s="51"/>
      <c r="K6" s="51"/>
      <c r="L6" s="28"/>
      <c r="M6" s="46"/>
      <c r="N6" s="46"/>
      <c r="O6" s="46"/>
      <c r="P6" s="46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4">
      <c r="A7" s="51"/>
      <c r="B7" s="51"/>
      <c r="C7" s="51"/>
      <c r="D7" s="51"/>
      <c r="E7" s="52"/>
      <c r="F7" s="52"/>
      <c r="G7" s="51"/>
      <c r="H7" s="52"/>
      <c r="I7" s="51"/>
      <c r="J7" s="51"/>
      <c r="K7" s="51"/>
      <c r="L7" s="28"/>
      <c r="M7" s="46"/>
      <c r="N7" s="46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4">
      <c r="A8" s="54"/>
      <c r="B8" s="54"/>
      <c r="C8" s="55"/>
      <c r="D8" s="55"/>
      <c r="E8" s="56"/>
      <c r="F8" s="56"/>
      <c r="H8" s="56"/>
      <c r="I8" s="57"/>
      <c r="J8" s="57"/>
      <c r="K8" s="57"/>
      <c r="L8" s="28"/>
      <c r="M8" s="46"/>
      <c r="N8" s="46"/>
      <c r="O8" s="46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4" ht="59.45" customHeight="1">
      <c r="A9" s="54"/>
      <c r="B9" s="54"/>
      <c r="C9" s="477" t="s">
        <v>1022</v>
      </c>
      <c r="D9" s="55"/>
      <c r="E9" s="516" t="str">
        <f>'(JAP4) Res RD'!$D$9</f>
        <v>Present Base
Effective May 1, 2018</v>
      </c>
      <c r="F9" s="517"/>
      <c r="G9" s="518"/>
      <c r="H9" s="516" t="str">
        <f>'(JAP4) Res RD'!$G$9</f>
        <v>Proposed Base 
+ ERF (Schedule 141)
Effective March 2019</v>
      </c>
      <c r="I9" s="517"/>
      <c r="J9" s="518"/>
      <c r="K9" s="57"/>
      <c r="L9" s="28"/>
      <c r="M9" s="46"/>
      <c r="N9" s="46"/>
      <c r="O9" s="46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4">
      <c r="A10" s="473"/>
      <c r="B10" s="473"/>
      <c r="C10" s="58" t="s">
        <v>32</v>
      </c>
      <c r="D10" s="474"/>
      <c r="E10" s="475" t="s">
        <v>33</v>
      </c>
      <c r="F10" s="475"/>
      <c r="G10" s="475" t="s">
        <v>34</v>
      </c>
      <c r="H10" s="475" t="s">
        <v>33</v>
      </c>
      <c r="I10" s="475"/>
      <c r="J10" s="475" t="s">
        <v>34</v>
      </c>
      <c r="K10" s="59"/>
      <c r="L10" s="28"/>
      <c r="M10" s="46"/>
      <c r="N10" s="46"/>
      <c r="O10" s="46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4">
      <c r="C11" s="71"/>
      <c r="D11" s="71"/>
      <c r="E11" s="65" t="s">
        <v>0</v>
      </c>
      <c r="F11" s="71"/>
      <c r="G11" s="61"/>
      <c r="H11" s="72" t="s">
        <v>0</v>
      </c>
      <c r="I11" s="71"/>
      <c r="J11" s="341" t="s">
        <v>0</v>
      </c>
      <c r="K11" s="341"/>
      <c r="L11" s="28"/>
      <c r="M11" s="46"/>
      <c r="N11" s="46"/>
      <c r="O11" s="46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H11" s="63"/>
    </row>
    <row r="12" spans="1:34">
      <c r="A12" s="115" t="s">
        <v>46</v>
      </c>
      <c r="B12" s="72"/>
      <c r="C12" s="102"/>
      <c r="D12" s="102"/>
      <c r="E12" s="341"/>
      <c r="F12" s="72"/>
      <c r="G12" s="72"/>
      <c r="H12" s="341"/>
      <c r="I12" s="72"/>
      <c r="J12" s="341" t="s">
        <v>0</v>
      </c>
      <c r="K12" s="341"/>
      <c r="M12" s="47"/>
      <c r="N12" s="47"/>
      <c r="O12" s="46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34">
      <c r="A13" s="116" t="s">
        <v>141</v>
      </c>
      <c r="B13" s="72"/>
      <c r="C13" s="72" t="s">
        <v>0</v>
      </c>
      <c r="D13" s="72"/>
      <c r="E13" s="341"/>
      <c r="F13" s="72"/>
      <c r="G13" s="72"/>
      <c r="H13" s="341"/>
      <c r="I13" s="72"/>
      <c r="J13" s="72"/>
      <c r="K13" s="72"/>
      <c r="M13" s="47"/>
      <c r="N13" s="47"/>
      <c r="O13" s="46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34">
      <c r="A14" s="89" t="s">
        <v>142</v>
      </c>
      <c r="B14" s="72"/>
      <c r="C14" s="72"/>
      <c r="D14" s="72"/>
      <c r="E14" s="341"/>
      <c r="F14" s="72"/>
      <c r="G14" s="72"/>
      <c r="H14" s="341"/>
      <c r="I14" s="72"/>
      <c r="J14" s="72"/>
      <c r="K14" s="72"/>
      <c r="M14" s="47"/>
      <c r="N14" s="47"/>
      <c r="O14" s="46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34">
      <c r="A15" s="118" t="s">
        <v>143</v>
      </c>
      <c r="B15" s="72"/>
      <c r="C15" s="87">
        <f>SUM('[2]Sch 40 Campus Svc'!$C$6:$C$8)</f>
        <v>427</v>
      </c>
      <c r="D15" s="87"/>
      <c r="E15" s="124">
        <f>'(JAP4)-Tariff Summary'!D103</f>
        <v>52.3</v>
      </c>
      <c r="F15" s="89"/>
      <c r="G15" s="93">
        <f>ROUND(E15*$C15,0)</f>
        <v>22332</v>
      </c>
      <c r="H15" s="124">
        <f>'(JAP4) SecVolt RD'!G31</f>
        <v>52.67</v>
      </c>
      <c r="I15" s="89"/>
      <c r="J15" s="93">
        <f>ROUND(H15*$C15,0)</f>
        <v>22490</v>
      </c>
      <c r="K15" s="93"/>
      <c r="L15" s="525" t="s">
        <v>146</v>
      </c>
      <c r="M15" s="525"/>
      <c r="N15" s="525"/>
      <c r="O15" s="46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</row>
    <row r="16" spans="1:34">
      <c r="A16" s="118" t="s">
        <v>144</v>
      </c>
      <c r="B16" s="72"/>
      <c r="C16" s="87">
        <f>SUM('[2]Sch 40 Campus Svc'!$C$9:$C$11)</f>
        <v>821</v>
      </c>
      <c r="D16" s="87"/>
      <c r="E16" s="124">
        <f>'(JAP4)-Tariff Summary'!D104</f>
        <v>105.74</v>
      </c>
      <c r="F16" s="89"/>
      <c r="G16" s="93">
        <f>ROUND(E16*$C16,0)</f>
        <v>86813</v>
      </c>
      <c r="H16" s="124">
        <f>'(JAP4) SecVolt RD'!G65</f>
        <v>106.49</v>
      </c>
      <c r="I16" s="89"/>
      <c r="J16" s="93">
        <f>ROUND(H16*$C16,0)</f>
        <v>87428</v>
      </c>
      <c r="K16" s="93"/>
      <c r="L16" s="525" t="s">
        <v>147</v>
      </c>
      <c r="M16" s="525"/>
      <c r="N16" s="525"/>
      <c r="O16" s="46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7">
      <c r="A17" s="118" t="s">
        <v>145</v>
      </c>
      <c r="B17" s="72"/>
      <c r="C17" s="87">
        <f>SUM('[2]Sch 40 Campus Svc'!$C$12:$C$14)</f>
        <v>375</v>
      </c>
      <c r="D17" s="87"/>
      <c r="E17" s="124">
        <f>'(JAP4)-Tariff Summary'!D105</f>
        <v>343.66</v>
      </c>
      <c r="F17" s="89"/>
      <c r="G17" s="93">
        <f>ROUND(E17*$C17,0)</f>
        <v>128873</v>
      </c>
      <c r="H17" s="124">
        <f>'(JAP4) PriVolt RD'!G15</f>
        <v>346.09</v>
      </c>
      <c r="I17" s="89"/>
      <c r="J17" s="93">
        <f>ROUND(H17*$C17,0)</f>
        <v>129784</v>
      </c>
      <c r="K17" s="93"/>
      <c r="L17" s="525" t="s">
        <v>148</v>
      </c>
      <c r="M17" s="525"/>
      <c r="N17" s="525"/>
      <c r="O17" s="46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>
      <c r="A18" s="119" t="s">
        <v>35</v>
      </c>
      <c r="B18" s="72"/>
      <c r="C18" s="87">
        <f>SUM(C15:C17)</f>
        <v>1623</v>
      </c>
      <c r="D18" s="87"/>
      <c r="E18" s="124"/>
      <c r="F18" s="89"/>
      <c r="G18" s="109">
        <f>SUM(G15:G17)</f>
        <v>238018</v>
      </c>
      <c r="H18" s="124"/>
      <c r="I18" s="89"/>
      <c r="J18" s="109">
        <f>SUM(J15:J17)</f>
        <v>239702</v>
      </c>
      <c r="K18" s="93"/>
      <c r="L18" s="127"/>
      <c r="M18" s="46"/>
      <c r="N18" s="46"/>
      <c r="O18" s="46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>
      <c r="A19" s="89"/>
      <c r="B19" s="72"/>
      <c r="C19" s="87"/>
      <c r="D19" s="87"/>
      <c r="E19" s="124"/>
      <c r="F19" s="89"/>
      <c r="G19" s="93"/>
      <c r="H19" s="124"/>
      <c r="I19" s="89"/>
      <c r="J19" s="93"/>
      <c r="K19" s="93"/>
      <c r="L19" s="127"/>
      <c r="M19" s="46"/>
      <c r="N19" s="46"/>
      <c r="O19" s="46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>
      <c r="A20" s="89" t="s">
        <v>45</v>
      </c>
      <c r="B20" s="72"/>
      <c r="C20" s="87"/>
      <c r="D20" s="87"/>
      <c r="E20" s="103"/>
      <c r="F20" s="93"/>
      <c r="G20" s="93"/>
      <c r="H20" s="103"/>
      <c r="I20" s="93"/>
      <c r="J20" s="93"/>
      <c r="K20" s="93"/>
      <c r="L20" s="28"/>
      <c r="M20" s="46"/>
      <c r="N20" s="46"/>
      <c r="O20" s="46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>
      <c r="A21" s="118" t="s">
        <v>149</v>
      </c>
      <c r="B21" s="72"/>
      <c r="C21" s="87">
        <f>SUM('[2]Sch 40 Campus Svc'!$C$17:$C$19)</f>
        <v>240851073</v>
      </c>
      <c r="D21" s="87"/>
      <c r="E21" s="313">
        <f>'(JAP4)-Tariff Summary'!D108</f>
        <v>5.3848E-2</v>
      </c>
      <c r="F21" s="93"/>
      <c r="G21" s="93">
        <f>ROUND($C21*E21,0)</f>
        <v>12969349</v>
      </c>
      <c r="H21" s="313">
        <f>G60</f>
        <v>5.4226000000000003E-2</v>
      </c>
      <c r="I21" s="93"/>
      <c r="J21" s="93">
        <f>ROUND($C21*H21,0)</f>
        <v>13060390</v>
      </c>
      <c r="K21" s="93"/>
      <c r="L21" s="525" t="s">
        <v>150</v>
      </c>
      <c r="M21" s="525"/>
      <c r="N21" s="525"/>
      <c r="O21" s="46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>
      <c r="A22" s="118" t="s">
        <v>145</v>
      </c>
      <c r="B22" s="72"/>
      <c r="C22" s="87">
        <f>SUM('[2]Sch 40 Campus Svc'!$C$20:$C$22)</f>
        <v>303754846</v>
      </c>
      <c r="D22" s="87"/>
      <c r="E22" s="313">
        <f>'(JAP4)-Tariff Summary'!D110</f>
        <v>5.1728999999999997E-2</v>
      </c>
      <c r="F22" s="93"/>
      <c r="G22" s="93">
        <f>ROUND($C22*E22,0)</f>
        <v>15712934</v>
      </c>
      <c r="H22" s="313">
        <f>G59</f>
        <v>5.2091999999999999E-2</v>
      </c>
      <c r="I22" s="93"/>
      <c r="J22" s="93">
        <f>ROUND($C22*H22,0)</f>
        <v>15823197</v>
      </c>
      <c r="K22" s="93"/>
      <c r="L22" s="525" t="s">
        <v>150</v>
      </c>
      <c r="M22" s="525"/>
      <c r="N22" s="525"/>
      <c r="O22" s="46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>
      <c r="A23" s="119" t="s">
        <v>35</v>
      </c>
      <c r="B23" s="72"/>
      <c r="C23" s="125">
        <f>SUM(C21:C22)</f>
        <v>544605919</v>
      </c>
      <c r="D23" s="70"/>
      <c r="E23" s="92"/>
      <c r="F23" s="89"/>
      <c r="G23" s="109">
        <f>SUM(G21:G22)</f>
        <v>28682283</v>
      </c>
      <c r="H23" s="92"/>
      <c r="I23" s="89"/>
      <c r="J23" s="109">
        <f>SUM(J21:J22)</f>
        <v>28883587</v>
      </c>
      <c r="K23" s="341"/>
      <c r="L23" s="448"/>
      <c r="M23" s="448"/>
      <c r="N23" s="448"/>
      <c r="O23" s="46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>
      <c r="A24" s="118" t="s">
        <v>82</v>
      </c>
      <c r="B24" s="72"/>
      <c r="C24" s="87">
        <f>'[2]Temperature Adjustment'!$B$28</f>
        <v>-1733687.0572225826</v>
      </c>
      <c r="D24" s="87"/>
      <c r="E24" s="313">
        <f>ROUND(G23/C23,6)</f>
        <v>5.2665999999999998E-2</v>
      </c>
      <c r="F24" s="89"/>
      <c r="G24" s="93">
        <f>ROUND($C24*E24,0)</f>
        <v>-91306</v>
      </c>
      <c r="H24" s="313">
        <f>H21</f>
        <v>5.4226000000000003E-2</v>
      </c>
      <c r="I24" s="89"/>
      <c r="J24" s="93">
        <f>ROUND($C24*H24,0)</f>
        <v>-94011</v>
      </c>
      <c r="K24" s="341"/>
      <c r="L24" s="525" t="s">
        <v>150</v>
      </c>
      <c r="M24" s="525"/>
      <c r="N24" s="525"/>
      <c r="O24" s="46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>
      <c r="A25" s="117" t="s">
        <v>84</v>
      </c>
      <c r="B25" s="72"/>
      <c r="C25" s="70">
        <f>'[2]Sch 40 Campus Svc'!$C$77</f>
        <v>-8104795.3387096785</v>
      </c>
      <c r="D25" s="70"/>
      <c r="E25" s="313">
        <f>ROUND(G25/C25,6)</f>
        <v>7.0773000000000003E-2</v>
      </c>
      <c r="F25" s="65"/>
      <c r="G25" s="93">
        <f>'[2]Sch 40 Campus Svc'!$C$79</f>
        <v>-573601</v>
      </c>
      <c r="H25" s="313">
        <f>ROUND(SUM(J18,J23:J24,J31,J36,J38)/SUM(C23:C24),6)</f>
        <v>7.3386000000000007E-2</v>
      </c>
      <c r="I25" s="65"/>
      <c r="J25" s="93">
        <f>ROUND($C25*H25,0)</f>
        <v>-594779</v>
      </c>
      <c r="K25" s="64"/>
      <c r="L25" s="525" t="s">
        <v>172</v>
      </c>
      <c r="M25" s="525"/>
      <c r="N25" s="525"/>
    </row>
    <row r="26" spans="1:27">
      <c r="A26" s="119" t="s">
        <v>35</v>
      </c>
      <c r="B26" s="72"/>
      <c r="C26" s="125">
        <f>SUM(C23:C25)</f>
        <v>534767436.60406774</v>
      </c>
      <c r="D26" s="70"/>
      <c r="E26" s="65"/>
      <c r="F26" s="65"/>
      <c r="G26" s="109">
        <f>SUM(G23:G25)</f>
        <v>28017376</v>
      </c>
      <c r="H26" s="65"/>
      <c r="I26" s="65"/>
      <c r="J26" s="109">
        <f>SUM(J23:J25)</f>
        <v>28194797</v>
      </c>
      <c r="K26" s="64"/>
      <c r="L26" s="448"/>
      <c r="M26" s="448"/>
      <c r="N26" s="448"/>
    </row>
    <row r="27" spans="1:27">
      <c r="A27" s="119"/>
      <c r="B27" s="72"/>
      <c r="C27" s="70"/>
      <c r="D27" s="70"/>
      <c r="E27" s="65"/>
      <c r="F27" s="65"/>
      <c r="G27" s="64"/>
      <c r="H27" s="65"/>
      <c r="I27" s="65"/>
      <c r="J27" s="64"/>
      <c r="K27" s="64"/>
      <c r="L27" s="448"/>
      <c r="M27" s="448"/>
      <c r="N27" s="448"/>
    </row>
    <row r="28" spans="1:27">
      <c r="A28" s="65" t="s">
        <v>44</v>
      </c>
      <c r="B28" s="72"/>
      <c r="C28" s="87"/>
      <c r="D28" s="87"/>
      <c r="E28" s="82"/>
      <c r="F28" s="89"/>
      <c r="G28" s="93"/>
      <c r="H28" s="82"/>
      <c r="I28" s="89"/>
      <c r="J28" s="93"/>
      <c r="K28" s="93"/>
      <c r="L28" s="448"/>
      <c r="M28" s="448"/>
      <c r="N28" s="448"/>
    </row>
    <row r="29" spans="1:27">
      <c r="A29" s="118" t="s">
        <v>151</v>
      </c>
      <c r="B29" s="72"/>
      <c r="C29" s="87">
        <f>SUM('[2]Sch 40 Campus Svc'!$C$25:$C$27)</f>
        <v>540113</v>
      </c>
      <c r="D29" s="87"/>
      <c r="E29" s="124">
        <f>'(JAP4)-Tariff Summary'!D114</f>
        <v>6.13</v>
      </c>
      <c r="F29" s="89"/>
      <c r="G29" s="93">
        <f>ROUND(E29*$C29,0)</f>
        <v>3310893</v>
      </c>
      <c r="H29" s="124">
        <f>G56</f>
        <v>6.17</v>
      </c>
      <c r="I29" s="89"/>
      <c r="J29" s="93">
        <f>ROUND($C29*H29,0)</f>
        <v>3332497</v>
      </c>
      <c r="K29" s="93"/>
      <c r="L29" s="525" t="s">
        <v>171</v>
      </c>
      <c r="M29" s="525"/>
      <c r="N29" s="525"/>
      <c r="O29" s="47"/>
    </row>
    <row r="30" spans="1:27">
      <c r="A30" s="118" t="s">
        <v>152</v>
      </c>
      <c r="B30" s="72"/>
      <c r="C30" s="87">
        <f>SUM('[2]Sch 40 Campus Svc'!$C$28:$C$30)</f>
        <v>605007</v>
      </c>
      <c r="D30" s="87"/>
      <c r="E30" s="124">
        <f>'(JAP4)-Tariff Summary'!D115</f>
        <v>5.88</v>
      </c>
      <c r="F30" s="89"/>
      <c r="G30" s="93">
        <f>ROUND(E30*$C30,0)</f>
        <v>3557441</v>
      </c>
      <c r="H30" s="124">
        <f>G55</f>
        <v>5.93</v>
      </c>
      <c r="I30" s="89"/>
      <c r="J30" s="93">
        <f>ROUND($C30*H30,0)</f>
        <v>3587692</v>
      </c>
      <c r="K30" s="93"/>
      <c r="L30" s="525" t="s">
        <v>171</v>
      </c>
      <c r="M30" s="525"/>
      <c r="N30" s="525"/>
      <c r="O30" s="47"/>
    </row>
    <row r="31" spans="1:27">
      <c r="A31" s="119" t="s">
        <v>35</v>
      </c>
      <c r="B31" s="72"/>
      <c r="C31" s="125">
        <f>SUM(C29:C30)</f>
        <v>1145120</v>
      </c>
      <c r="D31" s="87"/>
      <c r="E31" s="82"/>
      <c r="F31" s="89"/>
      <c r="G31" s="126">
        <f>SUM(G29:G30)</f>
        <v>6868334</v>
      </c>
      <c r="H31" s="82"/>
      <c r="I31" s="89"/>
      <c r="J31" s="126">
        <f>SUM(J29:J30)</f>
        <v>6920189</v>
      </c>
      <c r="K31" s="93"/>
      <c r="L31" s="127"/>
      <c r="M31" s="46"/>
      <c r="N31" s="46"/>
    </row>
    <row r="32" spans="1:27">
      <c r="A32" s="72"/>
      <c r="B32" s="72"/>
      <c r="C32" s="70"/>
      <c r="D32" s="70"/>
      <c r="E32" s="70"/>
      <c r="F32" s="65"/>
      <c r="G32" s="64"/>
      <c r="H32" s="70"/>
      <c r="I32" s="65"/>
      <c r="J32" s="64"/>
      <c r="K32" s="64"/>
      <c r="L32" s="127"/>
      <c r="M32" s="46"/>
      <c r="N32" s="46"/>
    </row>
    <row r="33" spans="1:14">
      <c r="A33" s="116" t="s">
        <v>154</v>
      </c>
      <c r="B33" s="72"/>
      <c r="C33" s="70"/>
      <c r="D33" s="70"/>
      <c r="E33" s="70"/>
      <c r="F33" s="65"/>
      <c r="G33" s="64"/>
      <c r="H33" s="70"/>
      <c r="I33" s="65"/>
      <c r="J33" s="64"/>
      <c r="K33" s="64"/>
      <c r="L33" s="127"/>
      <c r="M33" s="46"/>
      <c r="N33" s="46"/>
    </row>
    <row r="34" spans="1:14">
      <c r="A34" s="118" t="s">
        <v>149</v>
      </c>
      <c r="B34" s="72"/>
      <c r="C34" s="70">
        <f>SUM('[2]Sch 40 Campus Svc'!$C$33:$C$35)</f>
        <v>53711051</v>
      </c>
      <c r="D34" s="70"/>
      <c r="E34" s="312">
        <f>'(JAP4)-Tariff Summary'!D119</f>
        <v>1.2600000000000001E-3</v>
      </c>
      <c r="F34" s="65"/>
      <c r="G34" s="93">
        <f>ROUND(E34*$C34,0)</f>
        <v>67676</v>
      </c>
      <c r="H34" s="312">
        <f>'(JAP4) SecVolt RD'!G77</f>
        <v>1.2700000000000001E-3</v>
      </c>
      <c r="I34" s="65"/>
      <c r="J34" s="93">
        <f>ROUND($C34*H34,0)</f>
        <v>68213</v>
      </c>
      <c r="K34" s="64"/>
      <c r="L34" s="525" t="s">
        <v>147</v>
      </c>
      <c r="M34" s="525"/>
      <c r="N34" s="525"/>
    </row>
    <row r="35" spans="1:14">
      <c r="A35" s="118" t="s">
        <v>145</v>
      </c>
      <c r="B35" s="72"/>
      <c r="C35" s="70">
        <f>SUM('[2]Sch 40 Campus Svc'!$C$36:$C$38)</f>
        <v>82974870</v>
      </c>
      <c r="D35" s="70"/>
      <c r="E35" s="312">
        <f>'(JAP4)-Tariff Summary'!D120</f>
        <v>1.07E-3</v>
      </c>
      <c r="F35" s="65"/>
      <c r="G35" s="93">
        <f>ROUND(E35*$C35,0)</f>
        <v>88783</v>
      </c>
      <c r="H35" s="312">
        <f>'(JAP4) PriVolt RD'!G27</f>
        <v>1.08E-3</v>
      </c>
      <c r="I35" s="65"/>
      <c r="J35" s="93">
        <f>ROUND($C35*H35,0)</f>
        <v>89613</v>
      </c>
      <c r="K35" s="64"/>
      <c r="L35" s="525" t="s">
        <v>148</v>
      </c>
      <c r="M35" s="525"/>
      <c r="N35" s="525"/>
    </row>
    <row r="36" spans="1:14">
      <c r="A36" s="119" t="s">
        <v>35</v>
      </c>
      <c r="B36" s="72"/>
      <c r="C36" s="125">
        <f>SUM(C32:C35)</f>
        <v>136685921</v>
      </c>
      <c r="D36" s="70"/>
      <c r="E36" s="312"/>
      <c r="F36" s="89"/>
      <c r="G36" s="126">
        <f>SUM(G34:G35)</f>
        <v>156459</v>
      </c>
      <c r="H36" s="312"/>
      <c r="I36" s="89"/>
      <c r="J36" s="126">
        <f>SUM(J34:J35)</f>
        <v>157826</v>
      </c>
      <c r="K36" s="64"/>
      <c r="L36" s="127"/>
      <c r="M36" s="46"/>
      <c r="N36" s="46"/>
    </row>
    <row r="37" spans="1:14">
      <c r="A37" s="72"/>
      <c r="B37" s="72"/>
      <c r="C37" s="87"/>
      <c r="D37" s="87"/>
      <c r="E37" s="312"/>
      <c r="F37" s="89"/>
      <c r="G37" s="93"/>
      <c r="H37" s="312"/>
      <c r="I37" s="89"/>
      <c r="J37" s="93"/>
      <c r="K37" s="64"/>
      <c r="L37" s="127"/>
      <c r="M37" s="46"/>
      <c r="N37" s="46"/>
    </row>
    <row r="38" spans="1:14">
      <c r="A38" s="72" t="s">
        <v>153</v>
      </c>
      <c r="B38" s="72"/>
      <c r="C38" s="87"/>
      <c r="D38" s="87"/>
      <c r="E38" s="312"/>
      <c r="F38" s="89"/>
      <c r="G38" s="126">
        <f>'[2]Sch 40 Campus Svc'!$C$74</f>
        <v>3731963</v>
      </c>
      <c r="H38" s="312"/>
      <c r="I38" s="89"/>
      <c r="J38" s="126">
        <f>G38</f>
        <v>3731963</v>
      </c>
      <c r="K38" s="64"/>
      <c r="L38" s="526" t="s">
        <v>1018</v>
      </c>
      <c r="M38" s="525"/>
      <c r="N38" s="525"/>
    </row>
    <row r="39" spans="1:14">
      <c r="A39" s="72"/>
      <c r="B39" s="72"/>
      <c r="C39" s="70"/>
      <c r="D39" s="70"/>
      <c r="E39" s="70"/>
      <c r="F39" s="65"/>
      <c r="G39" s="64"/>
      <c r="H39" s="312"/>
      <c r="I39" s="65"/>
      <c r="J39" s="64"/>
      <c r="K39" s="64"/>
      <c r="L39" s="77"/>
      <c r="M39" s="76"/>
      <c r="N39" s="46"/>
    </row>
    <row r="40" spans="1:14" ht="16.5" thickBot="1">
      <c r="A40" s="72" t="s">
        <v>39</v>
      </c>
      <c r="B40" s="72"/>
      <c r="C40" s="70"/>
      <c r="D40" s="70"/>
      <c r="E40" s="70"/>
      <c r="F40" s="65"/>
      <c r="G40" s="96">
        <f>SUM(G38,G36,G31,G26,G18)</f>
        <v>39012150</v>
      </c>
      <c r="H40" s="70"/>
      <c r="I40" s="65"/>
      <c r="J40" s="96">
        <f>SUM(J38,J36,J31,J26,J18)</f>
        <v>39244477</v>
      </c>
      <c r="K40" s="90"/>
      <c r="L40" s="77"/>
      <c r="M40" s="76"/>
      <c r="N40" s="46"/>
    </row>
    <row r="41" spans="1:14" ht="16.5" thickTop="1">
      <c r="A41" s="72"/>
      <c r="B41" s="104"/>
      <c r="C41" s="70"/>
      <c r="D41" s="70"/>
      <c r="E41" s="70"/>
      <c r="F41" s="72"/>
      <c r="G41" s="341"/>
      <c r="H41" s="70"/>
      <c r="I41" s="72"/>
      <c r="J41" s="341"/>
      <c r="K41" s="341"/>
      <c r="L41" s="77"/>
      <c r="M41" s="76"/>
      <c r="N41" s="46"/>
    </row>
    <row r="42" spans="1:14">
      <c r="G42" s="93">
        <f>'[2]Average Costs'!$E$23</f>
        <v>39012148</v>
      </c>
      <c r="J42" s="291">
        <f>'(JAP4) Rate Spread'!K22*1000</f>
        <v>39244476.999999993</v>
      </c>
      <c r="K42" s="292"/>
      <c r="L42" s="530" t="s">
        <v>155</v>
      </c>
      <c r="M42" s="530"/>
      <c r="N42" s="531"/>
    </row>
    <row r="43" spans="1:14">
      <c r="B43" s="72"/>
      <c r="C43" s="102"/>
      <c r="D43" s="102"/>
      <c r="E43" s="341"/>
      <c r="F43" s="72"/>
      <c r="G43" s="93">
        <f>G40-G42</f>
        <v>2</v>
      </c>
      <c r="H43" s="341"/>
      <c r="I43" s="72"/>
      <c r="J43" s="293">
        <f>J42-J40-J61</f>
        <v>-7.4505805969238281E-9</v>
      </c>
      <c r="K43" s="64"/>
      <c r="L43" s="532" t="s">
        <v>358</v>
      </c>
      <c r="M43" s="533"/>
      <c r="N43" s="534" t="s">
        <v>0</v>
      </c>
    </row>
    <row r="44" spans="1:14">
      <c r="B44" s="72"/>
      <c r="C44" s="102"/>
      <c r="D44" s="102"/>
      <c r="E44" s="341"/>
      <c r="F44" s="72"/>
      <c r="G44" s="72"/>
      <c r="H44" s="341"/>
      <c r="I44" s="72"/>
      <c r="J44" s="294">
        <f>J42/SUM(G58,G40)-1</f>
        <v>5.9552459580081152E-3</v>
      </c>
      <c r="K44" s="107"/>
      <c r="L44" s="295"/>
      <c r="M44" s="296"/>
      <c r="N44" s="106"/>
    </row>
    <row r="45" spans="1:14">
      <c r="A45" s="47" t="s">
        <v>156</v>
      </c>
    </row>
    <row r="46" spans="1:14">
      <c r="A46" s="118" t="s">
        <v>157</v>
      </c>
    </row>
    <row r="47" spans="1:14">
      <c r="A47" s="132" t="s">
        <v>158</v>
      </c>
      <c r="C47" s="268">
        <v>0.95</v>
      </c>
      <c r="D47" s="133"/>
    </row>
    <row r="48" spans="1:14">
      <c r="A48" s="118" t="s">
        <v>163</v>
      </c>
      <c r="C48" s="130"/>
      <c r="D48" s="130"/>
      <c r="E48" s="130"/>
    </row>
    <row r="49" spans="1:20">
      <c r="A49" s="131" t="s">
        <v>164</v>
      </c>
      <c r="C49" s="133">
        <v>1.7552976600949292E-2</v>
      </c>
      <c r="D49" s="133"/>
      <c r="E49" s="133"/>
    </row>
    <row r="50" spans="1:20">
      <c r="A50" s="131" t="s">
        <v>165</v>
      </c>
      <c r="C50" s="133">
        <v>3.7069728960821585E-2</v>
      </c>
      <c r="D50" s="133">
        <v>1.9516752359872293E-2</v>
      </c>
    </row>
    <row r="51" spans="1:20">
      <c r="A51" s="131" t="s">
        <v>166</v>
      </c>
      <c r="C51" s="133">
        <v>7.8836606634277315E-2</v>
      </c>
      <c r="D51" s="133">
        <v>6.1283630033328026E-2</v>
      </c>
    </row>
    <row r="52" spans="1:20">
      <c r="A52" s="138"/>
      <c r="B52" s="137"/>
      <c r="C52" s="137"/>
      <c r="D52" s="135"/>
    </row>
    <row r="53" spans="1:20">
      <c r="A53" s="118" t="s">
        <v>169</v>
      </c>
      <c r="B53" s="137"/>
      <c r="C53" s="140" t="s">
        <v>173</v>
      </c>
      <c r="D53" s="140" t="s">
        <v>162</v>
      </c>
      <c r="E53" s="141" t="s">
        <v>167</v>
      </c>
      <c r="F53" s="141"/>
      <c r="G53" s="142" t="s">
        <v>168</v>
      </c>
    </row>
    <row r="54" spans="1:20">
      <c r="A54" s="134" t="s">
        <v>159</v>
      </c>
      <c r="C54" s="136">
        <f>'(JAP4)-Tariff Summary'!D116</f>
        <v>5.77</v>
      </c>
      <c r="D54" s="136">
        <f>ROUND(C54*$C$47,2)</f>
        <v>5.48</v>
      </c>
      <c r="E54" s="136">
        <f>'(JAP4) HighVolt RD'!G35</f>
        <v>5.52</v>
      </c>
      <c r="G54" s="47">
        <f>ROUND(E54/$C$47,2)</f>
        <v>5.81</v>
      </c>
    </row>
    <row r="55" spans="1:20">
      <c r="A55" s="134" t="s">
        <v>160</v>
      </c>
      <c r="C55" s="136">
        <f>'(JAP4)-Tariff Summary'!D115</f>
        <v>5.88</v>
      </c>
      <c r="D55" s="136">
        <f>ROUND(C55*$C$47,2)</f>
        <v>5.59</v>
      </c>
      <c r="E55" s="136">
        <f>ROUND(+E54*(1+D50),2)</f>
        <v>5.63</v>
      </c>
      <c r="G55" s="47">
        <f>ROUND(E55/$C$47,2)</f>
        <v>5.93</v>
      </c>
    </row>
    <row r="56" spans="1:20">
      <c r="A56" s="134" t="s">
        <v>161</v>
      </c>
      <c r="C56" s="136">
        <f>'(JAP4)-Tariff Summary'!D114</f>
        <v>6.13</v>
      </c>
      <c r="D56" s="136">
        <f>ROUND(C56*$C$47,2)</f>
        <v>5.82</v>
      </c>
      <c r="E56" s="136">
        <f>ROUND(+E54*(1+D51),2)</f>
        <v>5.86</v>
      </c>
      <c r="G56" s="47">
        <f>ROUND(E56/$C$47,2)</f>
        <v>6.17</v>
      </c>
    </row>
    <row r="57" spans="1:20">
      <c r="A57" s="118" t="s">
        <v>170</v>
      </c>
      <c r="B57" s="137"/>
      <c r="C57" s="137"/>
      <c r="D57" s="135"/>
      <c r="E57" s="47" t="s">
        <v>167</v>
      </c>
      <c r="G57" s="449" t="s">
        <v>168</v>
      </c>
    </row>
    <row r="58" spans="1:20">
      <c r="A58" s="134" t="s">
        <v>890</v>
      </c>
      <c r="C58" s="313">
        <f>'(JAP4)-Tariff Summary'!D111</f>
        <v>5.0738999999999999E-2</v>
      </c>
      <c r="D58" s="139"/>
      <c r="E58" s="267">
        <f>ROUND('(JAP4) HighVolt RD'!G31,6)</f>
        <v>5.1095000000000002E-2</v>
      </c>
      <c r="F58" s="139"/>
      <c r="G58" s="139">
        <f>E58</f>
        <v>5.1095000000000002E-2</v>
      </c>
    </row>
    <row r="59" spans="1:20">
      <c r="A59" s="134" t="s">
        <v>891</v>
      </c>
      <c r="C59" s="313">
        <f>'(JAP4)-Tariff Summary'!D110</f>
        <v>5.1728999999999997E-2</v>
      </c>
      <c r="D59" s="139"/>
      <c r="F59" s="139"/>
      <c r="G59" s="139">
        <f>ROUND(+E58*(1+D50),6)</f>
        <v>5.2091999999999999E-2</v>
      </c>
    </row>
    <row r="60" spans="1:20">
      <c r="A60" s="134" t="s">
        <v>892</v>
      </c>
      <c r="C60" s="313">
        <f>'(JAP4)-Tariff Summary'!D109</f>
        <v>5.3848E-2</v>
      </c>
      <c r="D60" s="139"/>
      <c r="F60" s="139"/>
      <c r="G60" s="139">
        <f>ROUND(+E58*(1+D51),6)</f>
        <v>5.4226000000000003E-2</v>
      </c>
    </row>
    <row r="62" spans="1:20" ht="16.5" thickBot="1"/>
    <row r="63" spans="1:20" ht="16.5" thickBot="1">
      <c r="O63" s="527" t="s">
        <v>879</v>
      </c>
      <c r="P63" s="528"/>
      <c r="Q63" s="528"/>
      <c r="R63" s="528"/>
      <c r="S63" s="528"/>
      <c r="T63" s="529"/>
    </row>
    <row r="64" spans="1:20" s="472" customFormat="1" ht="85.15" customHeight="1" thickBot="1">
      <c r="A64" s="462" t="s">
        <v>174</v>
      </c>
      <c r="B64" s="463"/>
      <c r="C64" s="464" t="s">
        <v>175</v>
      </c>
      <c r="D64" s="464" t="s">
        <v>176</v>
      </c>
      <c r="E64" s="464" t="s">
        <v>177</v>
      </c>
      <c r="F64" s="464"/>
      <c r="G64" s="465" t="s">
        <v>178</v>
      </c>
      <c r="H64" s="465" t="s">
        <v>324</v>
      </c>
      <c r="I64" s="464"/>
      <c r="J64" s="465" t="s">
        <v>325</v>
      </c>
      <c r="K64" s="466"/>
      <c r="L64" s="465" t="s">
        <v>326</v>
      </c>
      <c r="M64" s="467" t="s">
        <v>327</v>
      </c>
      <c r="N64" s="468"/>
      <c r="O64" s="469" t="s">
        <v>881</v>
      </c>
      <c r="P64" s="470" t="s">
        <v>880</v>
      </c>
      <c r="Q64" s="470" t="s">
        <v>882</v>
      </c>
      <c r="R64" s="470" t="s">
        <v>883</v>
      </c>
      <c r="S64" s="470" t="s">
        <v>884</v>
      </c>
      <c r="T64" s="471" t="s">
        <v>885</v>
      </c>
    </row>
    <row r="65" spans="1:20">
      <c r="A65" s="379" t="s">
        <v>1006</v>
      </c>
      <c r="B65" s="380"/>
      <c r="C65" s="381">
        <f>ROUND($H$30*G65,2)</f>
        <v>5.28</v>
      </c>
      <c r="D65" s="381">
        <f>ROUND($H$29*G65,2)</f>
        <v>5.49</v>
      </c>
      <c r="E65" s="381">
        <f>ROUND(H65*G65,2)</f>
        <v>3.81</v>
      </c>
      <c r="F65" s="380"/>
      <c r="G65" s="382">
        <v>0.88980000000000004</v>
      </c>
      <c r="H65" s="381">
        <f>SUM(J65,L65,M65)</f>
        <v>4.2799999999999994</v>
      </c>
      <c r="I65" s="381"/>
      <c r="J65" s="381">
        <v>0.4</v>
      </c>
      <c r="K65" s="381"/>
      <c r="L65" s="381">
        <v>1.06</v>
      </c>
      <c r="M65" s="383">
        <v>2.82</v>
      </c>
      <c r="N65" s="325"/>
      <c r="O65" s="386">
        <f>SUM(C65,E65)</f>
        <v>9.09</v>
      </c>
      <c r="P65" s="377">
        <f>SUM(D65:E65)</f>
        <v>9.3000000000000007</v>
      </c>
      <c r="Q65" s="377">
        <f>$H$30</f>
        <v>5.93</v>
      </c>
      <c r="R65" s="377">
        <f>$H$29</f>
        <v>6.17</v>
      </c>
      <c r="S65" s="377">
        <f>O65-Q65</f>
        <v>3.16</v>
      </c>
      <c r="T65" s="384">
        <f>P65-R65</f>
        <v>3.1300000000000008</v>
      </c>
    </row>
    <row r="66" spans="1:20">
      <c r="A66" s="143" t="s">
        <v>1007</v>
      </c>
      <c r="B66" s="28"/>
      <c r="C66" s="377">
        <f t="shared" ref="C66:C75" si="0">ROUND($H$30*G66,2)</f>
        <v>5.33</v>
      </c>
      <c r="D66" s="377">
        <f t="shared" ref="D66:D75" si="1">ROUND($H$29*G66,2)</f>
        <v>5.54</v>
      </c>
      <c r="E66" s="377">
        <f t="shared" ref="E66:E75" si="2">ROUND(H66*G66,2)</f>
        <v>6.52</v>
      </c>
      <c r="F66" s="28"/>
      <c r="G66" s="378">
        <v>0.89859999999999995</v>
      </c>
      <c r="H66" s="377">
        <f t="shared" ref="H66:H75" si="3">SUM(J66,L66,M66)</f>
        <v>7.26</v>
      </c>
      <c r="I66" s="377"/>
      <c r="J66" s="377">
        <v>0.66</v>
      </c>
      <c r="K66" s="377"/>
      <c r="L66" s="377">
        <v>2.4</v>
      </c>
      <c r="M66" s="384">
        <v>4.2</v>
      </c>
      <c r="N66" s="325"/>
      <c r="O66" s="386">
        <f t="shared" ref="O66:O75" si="4">SUM(C66,E66)</f>
        <v>11.85</v>
      </c>
      <c r="P66" s="377">
        <f t="shared" ref="P66:P75" si="5">SUM(D66:E66)</f>
        <v>12.059999999999999</v>
      </c>
      <c r="Q66" s="377">
        <f t="shared" ref="Q66:Q75" si="6">$H$30</f>
        <v>5.93</v>
      </c>
      <c r="R66" s="377">
        <f t="shared" ref="R66:R75" si="7">$H$29</f>
        <v>6.17</v>
      </c>
      <c r="S66" s="377">
        <f t="shared" ref="S66:S75" si="8">O66-Q66</f>
        <v>5.92</v>
      </c>
      <c r="T66" s="384">
        <f t="shared" ref="T66:T75" si="9">P66-R66</f>
        <v>5.8899999999999988</v>
      </c>
    </row>
    <row r="67" spans="1:20">
      <c r="A67" s="143" t="s">
        <v>1008</v>
      </c>
      <c r="B67" s="28"/>
      <c r="C67" s="377">
        <f t="shared" si="0"/>
        <v>5.93</v>
      </c>
      <c r="D67" s="377">
        <f t="shared" si="1"/>
        <v>6.17</v>
      </c>
      <c r="E67" s="377">
        <f t="shared" si="2"/>
        <v>1.56</v>
      </c>
      <c r="F67" s="28"/>
      <c r="G67" s="378">
        <v>1</v>
      </c>
      <c r="H67" s="377">
        <f t="shared" si="3"/>
        <v>1.56</v>
      </c>
      <c r="I67" s="377"/>
      <c r="J67" s="377">
        <v>0</v>
      </c>
      <c r="K67" s="377"/>
      <c r="L67" s="377">
        <v>0.56999999999999995</v>
      </c>
      <c r="M67" s="384">
        <v>0.99</v>
      </c>
      <c r="N67" s="325"/>
      <c r="O67" s="386">
        <f t="shared" si="4"/>
        <v>7.49</v>
      </c>
      <c r="P67" s="377">
        <f t="shared" si="5"/>
        <v>7.73</v>
      </c>
      <c r="Q67" s="377">
        <f t="shared" si="6"/>
        <v>5.93</v>
      </c>
      <c r="R67" s="377">
        <f t="shared" si="7"/>
        <v>6.17</v>
      </c>
      <c r="S67" s="377">
        <f t="shared" si="8"/>
        <v>1.5600000000000005</v>
      </c>
      <c r="T67" s="384">
        <f t="shared" si="9"/>
        <v>1.5600000000000005</v>
      </c>
    </row>
    <row r="68" spans="1:20">
      <c r="A68" s="143" t="s">
        <v>1009</v>
      </c>
      <c r="B68" s="28"/>
      <c r="C68" s="377">
        <f t="shared" si="0"/>
        <v>5.93</v>
      </c>
      <c r="D68" s="377">
        <f t="shared" si="1"/>
        <v>6.17</v>
      </c>
      <c r="E68" s="377">
        <f t="shared" si="2"/>
        <v>0.6</v>
      </c>
      <c r="F68" s="28"/>
      <c r="G68" s="378">
        <v>1</v>
      </c>
      <c r="H68" s="377">
        <f t="shared" si="3"/>
        <v>0.6</v>
      </c>
      <c r="I68" s="377"/>
      <c r="J68" s="377">
        <v>0</v>
      </c>
      <c r="K68" s="377"/>
      <c r="L68" s="377">
        <v>0.21</v>
      </c>
      <c r="M68" s="384">
        <v>0.39</v>
      </c>
      <c r="N68" s="325"/>
      <c r="O68" s="386">
        <f t="shared" si="4"/>
        <v>6.5299999999999994</v>
      </c>
      <c r="P68" s="377">
        <f t="shared" si="5"/>
        <v>6.77</v>
      </c>
      <c r="Q68" s="377">
        <f t="shared" si="6"/>
        <v>5.93</v>
      </c>
      <c r="R68" s="377">
        <f t="shared" si="7"/>
        <v>6.17</v>
      </c>
      <c r="S68" s="377">
        <f t="shared" si="8"/>
        <v>0.59999999999999964</v>
      </c>
      <c r="T68" s="384">
        <f t="shared" si="9"/>
        <v>0.59999999999999964</v>
      </c>
    </row>
    <row r="69" spans="1:20">
      <c r="A69" s="143" t="s">
        <v>1010</v>
      </c>
      <c r="B69" s="28"/>
      <c r="C69" s="377">
        <f t="shared" si="0"/>
        <v>5.85</v>
      </c>
      <c r="D69" s="377">
        <f t="shared" si="1"/>
        <v>6.09</v>
      </c>
      <c r="E69" s="377">
        <f t="shared" si="2"/>
        <v>2.73</v>
      </c>
      <c r="F69" s="28"/>
      <c r="G69" s="378">
        <v>0.98680000000000001</v>
      </c>
      <c r="H69" s="377">
        <f t="shared" si="3"/>
        <v>2.77</v>
      </c>
      <c r="I69" s="377"/>
      <c r="J69" s="377">
        <v>0.08</v>
      </c>
      <c r="K69" s="377"/>
      <c r="L69" s="377">
        <v>1.89</v>
      </c>
      <c r="M69" s="384">
        <v>0.8</v>
      </c>
      <c r="N69" s="325"/>
      <c r="O69" s="386">
        <f t="shared" si="4"/>
        <v>8.58</v>
      </c>
      <c r="P69" s="377">
        <f t="shared" si="5"/>
        <v>8.82</v>
      </c>
      <c r="Q69" s="377">
        <f t="shared" si="6"/>
        <v>5.93</v>
      </c>
      <c r="R69" s="377">
        <f t="shared" si="7"/>
        <v>6.17</v>
      </c>
      <c r="S69" s="377">
        <f t="shared" si="8"/>
        <v>2.6500000000000004</v>
      </c>
      <c r="T69" s="384">
        <f t="shared" si="9"/>
        <v>2.6500000000000004</v>
      </c>
    </row>
    <row r="70" spans="1:20">
      <c r="A70" s="385" t="s">
        <v>1017</v>
      </c>
      <c r="B70" s="28"/>
      <c r="C70" s="377">
        <f t="shared" si="0"/>
        <v>5.93</v>
      </c>
      <c r="D70" s="377">
        <f t="shared" si="1"/>
        <v>6.17</v>
      </c>
      <c r="E70" s="377">
        <f t="shared" si="2"/>
        <v>0.46</v>
      </c>
      <c r="F70" s="28"/>
      <c r="G70" s="378">
        <v>1</v>
      </c>
      <c r="H70" s="377">
        <f t="shared" si="3"/>
        <v>0.45999999999999996</v>
      </c>
      <c r="I70" s="377"/>
      <c r="J70" s="377">
        <v>0</v>
      </c>
      <c r="K70" s="377"/>
      <c r="L70" s="377">
        <v>0.24</v>
      </c>
      <c r="M70" s="384">
        <v>0.22</v>
      </c>
      <c r="N70" s="325"/>
      <c r="O70" s="386">
        <f t="shared" si="4"/>
        <v>6.39</v>
      </c>
      <c r="P70" s="377">
        <f t="shared" si="5"/>
        <v>6.63</v>
      </c>
      <c r="Q70" s="377">
        <f t="shared" si="6"/>
        <v>5.93</v>
      </c>
      <c r="R70" s="377">
        <f t="shared" si="7"/>
        <v>6.17</v>
      </c>
      <c r="S70" s="377">
        <f t="shared" si="8"/>
        <v>0.45999999999999996</v>
      </c>
      <c r="T70" s="384">
        <f t="shared" si="9"/>
        <v>0.45999999999999996</v>
      </c>
    </row>
    <row r="71" spans="1:20">
      <c r="A71" s="143" t="s">
        <v>1011</v>
      </c>
      <c r="B71" s="28"/>
      <c r="C71" s="377">
        <f t="shared" si="0"/>
        <v>5.92</v>
      </c>
      <c r="D71" s="377">
        <f t="shared" si="1"/>
        <v>6.16</v>
      </c>
      <c r="E71" s="377">
        <f t="shared" si="2"/>
        <v>2.61</v>
      </c>
      <c r="F71" s="28"/>
      <c r="G71" s="378">
        <v>0.99770000000000003</v>
      </c>
      <c r="H71" s="377">
        <f t="shared" si="3"/>
        <v>2.62</v>
      </c>
      <c r="I71" s="377"/>
      <c r="J71" s="377">
        <v>0.03</v>
      </c>
      <c r="K71" s="377"/>
      <c r="L71" s="377">
        <v>1.33</v>
      </c>
      <c r="M71" s="384">
        <v>1.26</v>
      </c>
      <c r="N71" s="325"/>
      <c r="O71" s="386">
        <f t="shared" si="4"/>
        <v>8.5299999999999994</v>
      </c>
      <c r="P71" s="377">
        <f t="shared" si="5"/>
        <v>8.77</v>
      </c>
      <c r="Q71" s="377">
        <f t="shared" si="6"/>
        <v>5.93</v>
      </c>
      <c r="R71" s="377">
        <f t="shared" si="7"/>
        <v>6.17</v>
      </c>
      <c r="S71" s="377">
        <f t="shared" si="8"/>
        <v>2.5999999999999996</v>
      </c>
      <c r="T71" s="384">
        <f t="shared" si="9"/>
        <v>2.5999999999999996</v>
      </c>
    </row>
    <row r="72" spans="1:20">
      <c r="A72" s="143" t="s">
        <v>1012</v>
      </c>
      <c r="B72" s="28"/>
      <c r="C72" s="377">
        <f t="shared" si="0"/>
        <v>5.44</v>
      </c>
      <c r="D72" s="377">
        <f t="shared" si="1"/>
        <v>5.66</v>
      </c>
      <c r="E72" s="377">
        <f t="shared" si="2"/>
        <v>5.49</v>
      </c>
      <c r="F72" s="28"/>
      <c r="G72" s="378">
        <v>0.91700000000000004</v>
      </c>
      <c r="H72" s="377">
        <f t="shared" si="3"/>
        <v>5.99</v>
      </c>
      <c r="I72" s="377"/>
      <c r="J72" s="377">
        <v>0.82</v>
      </c>
      <c r="K72" s="377"/>
      <c r="L72" s="377">
        <v>2.36</v>
      </c>
      <c r="M72" s="384">
        <v>2.81</v>
      </c>
      <c r="N72" s="325"/>
      <c r="O72" s="386">
        <f t="shared" si="4"/>
        <v>10.93</v>
      </c>
      <c r="P72" s="377">
        <f t="shared" si="5"/>
        <v>11.15</v>
      </c>
      <c r="Q72" s="377">
        <f t="shared" si="6"/>
        <v>5.93</v>
      </c>
      <c r="R72" s="377">
        <f t="shared" si="7"/>
        <v>6.17</v>
      </c>
      <c r="S72" s="377">
        <f t="shared" si="8"/>
        <v>5</v>
      </c>
      <c r="T72" s="384">
        <f t="shared" si="9"/>
        <v>4.9800000000000004</v>
      </c>
    </row>
    <row r="73" spans="1:20">
      <c r="A73" s="143" t="s">
        <v>1013</v>
      </c>
      <c r="B73" s="28"/>
      <c r="C73" s="377">
        <f t="shared" si="0"/>
        <v>5.68</v>
      </c>
      <c r="D73" s="377">
        <f t="shared" si="1"/>
        <v>5.91</v>
      </c>
      <c r="E73" s="377">
        <f t="shared" si="2"/>
        <v>1.5</v>
      </c>
      <c r="F73" s="28"/>
      <c r="G73" s="378">
        <v>0.95850000000000002</v>
      </c>
      <c r="H73" s="377">
        <f t="shared" si="3"/>
        <v>1.57</v>
      </c>
      <c r="I73" s="377"/>
      <c r="J73" s="377">
        <v>0.59</v>
      </c>
      <c r="K73" s="377"/>
      <c r="L73" s="377">
        <v>0.42</v>
      </c>
      <c r="M73" s="384">
        <v>0.56000000000000005</v>
      </c>
      <c r="N73" s="325"/>
      <c r="O73" s="386">
        <f t="shared" si="4"/>
        <v>7.18</v>
      </c>
      <c r="P73" s="377">
        <f t="shared" si="5"/>
        <v>7.41</v>
      </c>
      <c r="Q73" s="377">
        <f t="shared" si="6"/>
        <v>5.93</v>
      </c>
      <c r="R73" s="377">
        <f t="shared" si="7"/>
        <v>6.17</v>
      </c>
      <c r="S73" s="377">
        <f t="shared" si="8"/>
        <v>1.25</v>
      </c>
      <c r="T73" s="384">
        <f t="shared" si="9"/>
        <v>1.2400000000000002</v>
      </c>
    </row>
    <row r="74" spans="1:20">
      <c r="A74" s="143" t="s">
        <v>1014</v>
      </c>
      <c r="B74" s="28"/>
      <c r="C74" s="377">
        <f t="shared" si="0"/>
        <v>5.63</v>
      </c>
      <c r="D74" s="377">
        <f t="shared" si="1"/>
        <v>5.86</v>
      </c>
      <c r="E74" s="377">
        <f t="shared" si="2"/>
        <v>1.98</v>
      </c>
      <c r="F74" s="28"/>
      <c r="G74" s="378">
        <v>0.94930000000000003</v>
      </c>
      <c r="H74" s="377">
        <f t="shared" si="3"/>
        <v>2.09</v>
      </c>
      <c r="I74" s="377"/>
      <c r="J74" s="377">
        <v>0.71</v>
      </c>
      <c r="K74" s="377"/>
      <c r="L74" s="377">
        <v>0.52</v>
      </c>
      <c r="M74" s="384">
        <v>0.86</v>
      </c>
      <c r="N74" s="325"/>
      <c r="O74" s="386">
        <f t="shared" si="4"/>
        <v>7.6099999999999994</v>
      </c>
      <c r="P74" s="377">
        <f t="shared" si="5"/>
        <v>7.84</v>
      </c>
      <c r="Q74" s="377">
        <f t="shared" si="6"/>
        <v>5.93</v>
      </c>
      <c r="R74" s="377">
        <f t="shared" si="7"/>
        <v>6.17</v>
      </c>
      <c r="S74" s="377">
        <f t="shared" si="8"/>
        <v>1.6799999999999997</v>
      </c>
      <c r="T74" s="384">
        <f t="shared" si="9"/>
        <v>1.67</v>
      </c>
    </row>
    <row r="75" spans="1:20">
      <c r="A75" s="143" t="s">
        <v>1015</v>
      </c>
      <c r="B75" s="28"/>
      <c r="C75" s="377">
        <f t="shared" si="0"/>
        <v>5.77</v>
      </c>
      <c r="D75" s="377">
        <f t="shared" si="1"/>
        <v>6</v>
      </c>
      <c r="E75" s="377">
        <f t="shared" si="2"/>
        <v>0.82</v>
      </c>
      <c r="F75" s="28"/>
      <c r="G75" s="378">
        <v>0.97319999999999995</v>
      </c>
      <c r="H75" s="377">
        <f t="shared" si="3"/>
        <v>0.84</v>
      </c>
      <c r="I75" s="377"/>
      <c r="J75" s="377">
        <v>0.22</v>
      </c>
      <c r="K75" s="377"/>
      <c r="L75" s="377">
        <v>0.27</v>
      </c>
      <c r="M75" s="384">
        <v>0.35</v>
      </c>
      <c r="N75" s="325"/>
      <c r="O75" s="386">
        <f t="shared" si="4"/>
        <v>6.59</v>
      </c>
      <c r="P75" s="377">
        <f t="shared" si="5"/>
        <v>6.82</v>
      </c>
      <c r="Q75" s="377">
        <f t="shared" si="6"/>
        <v>5.93</v>
      </c>
      <c r="R75" s="377">
        <f t="shared" si="7"/>
        <v>6.17</v>
      </c>
      <c r="S75" s="377">
        <f t="shared" si="8"/>
        <v>0.66000000000000014</v>
      </c>
      <c r="T75" s="384">
        <f t="shared" si="9"/>
        <v>0.65000000000000036</v>
      </c>
    </row>
    <row r="76" spans="1:20">
      <c r="A76" s="143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44"/>
      <c r="O76" s="388"/>
      <c r="P76" s="28"/>
      <c r="Q76" s="28"/>
      <c r="R76" s="28"/>
      <c r="S76" s="28"/>
      <c r="T76" s="387"/>
    </row>
    <row r="77" spans="1:20" ht="16.5" thickBot="1">
      <c r="A77" s="290" t="s">
        <v>393</v>
      </c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6"/>
      <c r="O77" s="389"/>
      <c r="P77" s="145"/>
      <c r="Q77" s="145"/>
      <c r="R77" s="145"/>
      <c r="S77" s="145"/>
      <c r="T77" s="390"/>
    </row>
  </sheetData>
  <mergeCells count="21">
    <mergeCell ref="O63:T63"/>
    <mergeCell ref="L42:N42"/>
    <mergeCell ref="L43:N43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  <mergeCell ref="L34:N34"/>
    <mergeCell ref="L35:N35"/>
    <mergeCell ref="L38:N38"/>
    <mergeCell ref="L24:N24"/>
    <mergeCell ref="L25:N25"/>
    <mergeCell ref="L29:N29"/>
    <mergeCell ref="L30:N30"/>
  </mergeCells>
  <conditionalFormatting sqref="S65:T75">
    <cfRule type="cellIs" dxfId="0" priority="1" operator="lessThan">
      <formula>0</formula>
    </cfRule>
  </conditionalFormatting>
  <printOptions horizontalCentered="1"/>
  <pageMargins left="0.7" right="0.7" top="0.75" bottom="0.75" header="0.3" footer="0.3"/>
  <pageSetup scale="49" fitToHeight="0" orientation="landscape" r:id="rId1"/>
  <headerFooter alignWithMargins="0">
    <oddFooter>&amp;L&amp;F
&amp;A&amp;R2018 ERF Rate Design Workpapers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pageSetUpPr fitToPage="1"/>
  </sheetPr>
  <dimension ref="A1:AN46"/>
  <sheetViews>
    <sheetView zoomScale="90" zoomScaleNormal="90" zoomScaleSheetLayoutView="80" workbookViewId="0">
      <pane ySplit="10" topLeftCell="A23" activePane="bottomLeft" state="frozen"/>
      <selection activeCell="D153" sqref="D153:E171"/>
      <selection pane="bottomLeft" activeCell="A11" sqref="A11"/>
    </sheetView>
  </sheetViews>
  <sheetFormatPr defaultColWidth="10.25" defaultRowHeight="15.75"/>
  <cols>
    <col min="1" max="1" width="28.625" style="47" bestFit="1" customWidth="1"/>
    <col min="2" max="2" width="1.375" style="47" bestFit="1" customWidth="1"/>
    <col min="3" max="3" width="12.25" style="47" bestFit="1" customWidth="1"/>
    <col min="4" max="4" width="10.875" style="47" bestFit="1" customWidth="1"/>
    <col min="5" max="5" width="5.375" style="47" bestFit="1" customWidth="1"/>
    <col min="6" max="6" width="11.75" style="47" bestFit="1" customWidth="1"/>
    <col min="7" max="7" width="10.875" style="47" bestFit="1" customWidth="1"/>
    <col min="8" max="8" width="2" style="47" bestFit="1" customWidth="1"/>
    <col min="9" max="9" width="11.75" style="47" bestFit="1" customWidth="1"/>
    <col min="10" max="10" width="1.625" style="47" customWidth="1"/>
    <col min="11" max="11" width="22.5" style="47" bestFit="1" customWidth="1"/>
    <col min="12" max="12" width="12.375" style="53" bestFit="1" customWidth="1"/>
    <col min="13" max="13" width="10.25" style="53" bestFit="1" customWidth="1"/>
    <col min="14" max="14" width="7.125" style="53" bestFit="1" customWidth="1"/>
    <col min="15" max="15" width="1.5" style="47" bestFit="1" customWidth="1"/>
    <col min="16" max="17" width="1.375" style="47" bestFit="1" customWidth="1"/>
    <col min="18" max="18" width="14.125" style="47" bestFit="1" customWidth="1"/>
    <col min="19" max="19" width="1.375" style="47" bestFit="1" customWidth="1"/>
    <col min="20" max="20" width="13.25" style="47" bestFit="1" customWidth="1"/>
    <col min="21" max="21" width="13" style="47" bestFit="1" customWidth="1"/>
    <col min="22" max="22" width="12.25" style="47" bestFit="1" customWidth="1"/>
    <col min="23" max="23" width="5.5" style="47" bestFit="1" customWidth="1"/>
    <col min="24" max="24" width="1.375" style="47" bestFit="1" customWidth="1"/>
    <col min="25" max="25" width="10.25" style="47" customWidth="1"/>
    <col min="26" max="26" width="12.125" style="47" customWidth="1"/>
    <col min="27" max="16384" width="10.25" style="47"/>
  </cols>
  <sheetData>
    <row r="1" spans="1:40" ht="18">
      <c r="A1" s="513" t="s">
        <v>53</v>
      </c>
      <c r="B1" s="513"/>
      <c r="C1" s="513"/>
      <c r="D1" s="513"/>
      <c r="E1" s="513"/>
      <c r="F1" s="513"/>
      <c r="G1" s="513"/>
      <c r="H1" s="513"/>
      <c r="I1" s="513"/>
      <c r="J1" s="45"/>
      <c r="K1" s="28"/>
      <c r="L1" s="46"/>
      <c r="M1" s="46"/>
      <c r="N1" s="4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40" ht="18">
      <c r="A2" s="513" t="s">
        <v>30</v>
      </c>
      <c r="B2" s="513"/>
      <c r="C2" s="513"/>
      <c r="D2" s="513"/>
      <c r="E2" s="513"/>
      <c r="F2" s="513"/>
      <c r="G2" s="513"/>
      <c r="H2" s="513"/>
      <c r="I2" s="513"/>
      <c r="J2" s="45"/>
      <c r="K2" s="28"/>
      <c r="L2" s="46"/>
      <c r="M2" s="46"/>
      <c r="N2" s="46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40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48"/>
      <c r="K3" s="28"/>
      <c r="L3" s="46"/>
      <c r="M3" s="46"/>
      <c r="N3" s="46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40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49"/>
      <c r="K4" s="28"/>
      <c r="L4" s="46"/>
      <c r="M4" s="46"/>
      <c r="N4" s="46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40">
      <c r="A5" s="50" t="s">
        <v>179</v>
      </c>
      <c r="B5" s="51"/>
      <c r="C5" s="51"/>
      <c r="D5" s="52"/>
      <c r="E5" s="52"/>
      <c r="F5" s="51"/>
      <c r="G5" s="52"/>
      <c r="H5" s="51"/>
      <c r="I5" s="51"/>
      <c r="J5" s="51"/>
      <c r="K5" s="28"/>
      <c r="L5" s="46"/>
      <c r="M5" s="46"/>
      <c r="N5" s="46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40">
      <c r="A6" s="50"/>
      <c r="B6" s="51"/>
      <c r="C6" s="51"/>
      <c r="D6" s="52"/>
      <c r="E6" s="52"/>
      <c r="F6" s="51"/>
      <c r="G6" s="52"/>
      <c r="H6" s="51"/>
      <c r="I6" s="51"/>
      <c r="J6" s="51"/>
      <c r="K6" s="28"/>
      <c r="L6" s="46"/>
      <c r="M6" s="46"/>
      <c r="N6" s="46"/>
      <c r="O6" s="46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40">
      <c r="A7" s="51"/>
      <c r="B7" s="51"/>
      <c r="C7" s="51"/>
      <c r="D7" s="52"/>
      <c r="E7" s="52"/>
      <c r="F7" s="51"/>
      <c r="G7" s="52"/>
      <c r="H7" s="51"/>
      <c r="I7" s="51"/>
      <c r="J7" s="51"/>
      <c r="K7" s="28"/>
      <c r="L7" s="46"/>
      <c r="M7" s="46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40">
      <c r="A8" s="54"/>
      <c r="B8" s="54"/>
      <c r="C8" s="55"/>
      <c r="D8" s="56"/>
      <c r="E8" s="56"/>
      <c r="G8" s="56"/>
      <c r="H8" s="57"/>
      <c r="I8" s="57"/>
      <c r="J8" s="57"/>
      <c r="K8" s="28"/>
      <c r="L8" s="46"/>
      <c r="M8" s="46"/>
      <c r="N8" s="46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0" ht="46.15" customHeight="1">
      <c r="A9" s="54"/>
      <c r="B9" s="54"/>
      <c r="C9" s="477" t="s">
        <v>1022</v>
      </c>
      <c r="D9" s="516" t="str">
        <f>'(JAP4) Res RD'!$D$9</f>
        <v>Present Base
Effective May 1, 2018</v>
      </c>
      <c r="E9" s="517"/>
      <c r="F9" s="518"/>
      <c r="G9" s="516" t="str">
        <f>'(JAP4) Res RD'!$G$9</f>
        <v>Proposed Base 
+ ERF (Schedule 141)
Effective March 2019</v>
      </c>
      <c r="H9" s="517"/>
      <c r="I9" s="518"/>
      <c r="J9" s="57"/>
      <c r="K9" s="28"/>
      <c r="L9" s="46"/>
      <c r="M9" s="46"/>
      <c r="N9" s="46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0">
      <c r="A10" s="54"/>
      <c r="B10" s="54"/>
      <c r="C10" s="58" t="s">
        <v>32</v>
      </c>
      <c r="D10" s="59" t="s">
        <v>33</v>
      </c>
      <c r="E10" s="60"/>
      <c r="F10" s="57" t="s">
        <v>34</v>
      </c>
      <c r="G10" s="59" t="s">
        <v>33</v>
      </c>
      <c r="H10" s="59"/>
      <c r="I10" s="59" t="s">
        <v>34</v>
      </c>
      <c r="J10" s="59"/>
      <c r="K10" s="28"/>
      <c r="L10" s="46"/>
      <c r="M10" s="46"/>
      <c r="N10" s="46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0">
      <c r="C11" s="71"/>
      <c r="D11" s="65" t="s">
        <v>0</v>
      </c>
      <c r="E11" s="71"/>
      <c r="F11" s="61"/>
      <c r="G11" s="72" t="s">
        <v>0</v>
      </c>
      <c r="H11" s="71"/>
      <c r="I11" s="341" t="s">
        <v>0</v>
      </c>
      <c r="J11" s="341"/>
      <c r="K11" s="28"/>
      <c r="L11" s="46"/>
      <c r="M11" s="46"/>
      <c r="N11" s="46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G11" s="63"/>
    </row>
    <row r="12" spans="1:40">
      <c r="A12" s="115" t="s">
        <v>180</v>
      </c>
      <c r="B12" s="72"/>
      <c r="C12" s="72" t="s">
        <v>0</v>
      </c>
      <c r="D12" s="341"/>
      <c r="E12" s="72"/>
      <c r="F12" s="72"/>
      <c r="G12" s="341"/>
      <c r="H12" s="72"/>
      <c r="I12" s="72"/>
      <c r="J12" s="72"/>
      <c r="K12" s="28"/>
      <c r="L12" s="46"/>
      <c r="M12" s="46"/>
      <c r="N12" s="46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G12" s="63"/>
    </row>
    <row r="13" spans="1:40">
      <c r="A13" s="116" t="s">
        <v>62</v>
      </c>
      <c r="B13" s="72"/>
      <c r="C13" s="72"/>
      <c r="D13" s="341"/>
      <c r="E13" s="72"/>
      <c r="F13" s="72"/>
      <c r="G13" s="341"/>
      <c r="H13" s="72"/>
      <c r="I13" s="72"/>
      <c r="J13" s="72"/>
      <c r="K13" s="28"/>
      <c r="L13" s="46"/>
      <c r="M13" s="46"/>
      <c r="N13" s="46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G13" s="63"/>
    </row>
    <row r="14" spans="1:40">
      <c r="A14" s="116" t="s">
        <v>181</v>
      </c>
      <c r="B14" s="72"/>
      <c r="C14" s="87">
        <v>60</v>
      </c>
      <c r="D14" s="121"/>
      <c r="E14" s="89"/>
      <c r="F14" s="341"/>
      <c r="G14" s="121"/>
      <c r="H14" s="89"/>
      <c r="I14" s="341"/>
      <c r="J14" s="72"/>
      <c r="M14" s="88"/>
      <c r="N14" s="88"/>
      <c r="P14" s="63"/>
      <c r="Q14" s="208"/>
      <c r="R14" s="63"/>
      <c r="S14" s="208"/>
      <c r="T14" s="63"/>
      <c r="U14" s="63"/>
      <c r="V14" s="208"/>
      <c r="W14" s="205"/>
      <c r="X14" s="63"/>
      <c r="Y14" s="63"/>
      <c r="AG14" s="28"/>
      <c r="AH14" s="28"/>
      <c r="AI14" s="28"/>
      <c r="AJ14" s="28"/>
      <c r="AK14" s="28"/>
      <c r="AL14" s="28"/>
      <c r="AN14" s="63"/>
    </row>
    <row r="15" spans="1:40">
      <c r="A15" s="72" t="s">
        <v>89</v>
      </c>
      <c r="B15" s="72"/>
      <c r="C15" s="87"/>
      <c r="D15" s="121"/>
      <c r="E15" s="89"/>
      <c r="F15" s="341"/>
      <c r="G15" s="121"/>
      <c r="H15" s="89"/>
      <c r="I15" s="341"/>
      <c r="J15" s="72"/>
      <c r="M15" s="88"/>
      <c r="N15" s="88"/>
      <c r="P15" s="63"/>
      <c r="Q15" s="208"/>
      <c r="R15" s="63"/>
      <c r="S15" s="208"/>
      <c r="T15" s="63"/>
      <c r="U15" s="63"/>
      <c r="V15" s="208"/>
      <c r="W15" s="205"/>
      <c r="X15" s="63"/>
      <c r="Y15" s="63"/>
      <c r="AG15" s="28"/>
      <c r="AH15" s="28"/>
      <c r="AI15" s="28"/>
      <c r="AJ15" s="28"/>
      <c r="AK15" s="28"/>
      <c r="AL15" s="28"/>
      <c r="AN15" s="63"/>
    </row>
    <row r="16" spans="1:40">
      <c r="A16" s="118" t="s">
        <v>51</v>
      </c>
      <c r="B16" s="72"/>
      <c r="C16" s="87">
        <f>'[2]Sch 46 HV Svc'!$C$9</f>
        <v>77255842</v>
      </c>
      <c r="D16" s="121">
        <f>'(JAP4)-Tariff Summary'!D153</f>
        <v>5.0738999999999999E-2</v>
      </c>
      <c r="E16" s="89"/>
      <c r="F16" s="341">
        <f>ROUND(D16*$C16,0)</f>
        <v>3919884</v>
      </c>
      <c r="G16" s="121">
        <f>G31</f>
        <v>5.1095000000000002E-2</v>
      </c>
      <c r="H16" s="89"/>
      <c r="I16" s="341">
        <f>ROUND(G16*$C16,0)</f>
        <v>3947387</v>
      </c>
      <c r="J16" s="90"/>
      <c r="K16" s="525" t="s">
        <v>186</v>
      </c>
      <c r="L16" s="525"/>
      <c r="M16" s="525"/>
      <c r="N16" s="88"/>
      <c r="O16" s="53"/>
      <c r="X16" s="28"/>
      <c r="Y16" s="28"/>
      <c r="Z16" s="28"/>
      <c r="AA16" s="28"/>
      <c r="AB16" s="28"/>
      <c r="AC16" s="28"/>
      <c r="AD16" s="28"/>
      <c r="AE16" s="28"/>
      <c r="AG16" s="63"/>
    </row>
    <row r="17" spans="1:33">
      <c r="A17" s="117" t="s">
        <v>84</v>
      </c>
      <c r="B17" s="86"/>
      <c r="C17" s="95">
        <f>'[2]Sch 46 HV Svc'!$C$26</f>
        <v>3898000</v>
      </c>
      <c r="D17" s="121">
        <f>ROUND(F17/C17,6)</f>
        <v>8.4641999999999995E-2</v>
      </c>
      <c r="E17" s="65"/>
      <c r="F17" s="107">
        <f>'[2]Sch 46 HV Svc'!$C$28</f>
        <v>329933</v>
      </c>
      <c r="G17" s="323">
        <f>ROUND(+D17*(1+$M$37),6)</f>
        <v>8.5239999999999996E-2</v>
      </c>
      <c r="H17" s="65"/>
      <c r="I17" s="107">
        <f>ROUND(G17*$C17,0)</f>
        <v>332266</v>
      </c>
      <c r="J17" s="64"/>
      <c r="K17" s="525" t="s">
        <v>92</v>
      </c>
      <c r="L17" s="525"/>
      <c r="M17" s="525"/>
      <c r="N17" s="205"/>
      <c r="X17" s="28"/>
      <c r="Y17" s="28"/>
      <c r="Z17" s="28"/>
      <c r="AA17" s="28"/>
      <c r="AB17" s="28"/>
      <c r="AC17" s="28"/>
      <c r="AD17" s="28"/>
      <c r="AE17" s="28"/>
      <c r="AG17" s="63"/>
    </row>
    <row r="18" spans="1:33">
      <c r="A18" s="119" t="s">
        <v>35</v>
      </c>
      <c r="B18" s="86"/>
      <c r="C18" s="70">
        <f>SUM(C16:C17)</f>
        <v>81153842</v>
      </c>
      <c r="D18" s="121"/>
      <c r="E18" s="65"/>
      <c r="F18" s="341">
        <f>SUM(F16:F17)</f>
        <v>4249817</v>
      </c>
      <c r="G18" s="121"/>
      <c r="H18" s="65"/>
      <c r="I18" s="341">
        <f>SUM(I16:I17)</f>
        <v>4279653</v>
      </c>
      <c r="J18" s="64"/>
      <c r="M18" s="205"/>
      <c r="N18" s="205"/>
      <c r="X18" s="28"/>
      <c r="Y18" s="28"/>
      <c r="Z18" s="28"/>
      <c r="AA18" s="28"/>
      <c r="AB18" s="28"/>
      <c r="AC18" s="28"/>
      <c r="AD18" s="28"/>
      <c r="AE18" s="28"/>
      <c r="AG18" s="63"/>
    </row>
    <row r="19" spans="1:33">
      <c r="A19" s="119"/>
      <c r="B19" s="86"/>
      <c r="C19" s="70"/>
      <c r="D19" s="121"/>
      <c r="E19" s="65"/>
      <c r="F19" s="341"/>
      <c r="G19" s="121"/>
      <c r="H19" s="65"/>
      <c r="I19" s="341"/>
      <c r="J19" s="64"/>
      <c r="M19" s="205"/>
      <c r="N19" s="205"/>
      <c r="X19" s="28"/>
      <c r="Y19" s="28"/>
      <c r="Z19" s="28"/>
      <c r="AA19" s="28"/>
      <c r="AB19" s="28"/>
      <c r="AC19" s="28"/>
      <c r="AD19" s="28"/>
      <c r="AE19" s="28"/>
      <c r="AG19" s="63"/>
    </row>
    <row r="20" spans="1:33">
      <c r="A20" s="116" t="s">
        <v>182</v>
      </c>
      <c r="B20" s="72"/>
      <c r="C20" s="87">
        <f>'[2]Sch 46 HV Svc'!$C$13</f>
        <v>390560</v>
      </c>
      <c r="D20" s="120">
        <f>'(JAP4)-Tariff Summary'!D155</f>
        <v>2.95</v>
      </c>
      <c r="E20" s="89"/>
      <c r="F20" s="341">
        <f>ROUND(D20*$C20,0)</f>
        <v>1152152</v>
      </c>
      <c r="G20" s="366">
        <v>2.97</v>
      </c>
      <c r="H20" s="89"/>
      <c r="I20" s="341">
        <f>ROUND(G20*$C20,0)</f>
        <v>1159963</v>
      </c>
      <c r="J20" s="90"/>
      <c r="K20" s="525" t="s">
        <v>784</v>
      </c>
      <c r="L20" s="525"/>
      <c r="M20" s="525"/>
      <c r="N20" s="88"/>
      <c r="O20" s="53"/>
      <c r="X20" s="28"/>
      <c r="Y20" s="28"/>
      <c r="Z20" s="28"/>
      <c r="AA20" s="28"/>
      <c r="AB20" s="28"/>
      <c r="AC20" s="28"/>
      <c r="AD20" s="28"/>
      <c r="AE20" s="28"/>
      <c r="AG20" s="63"/>
    </row>
    <row r="21" spans="1:33">
      <c r="A21" s="117"/>
      <c r="B21" s="86"/>
      <c r="C21" s="70"/>
      <c r="D21" s="121"/>
      <c r="E21" s="65"/>
      <c r="F21" s="341"/>
      <c r="G21" s="121"/>
      <c r="H21" s="65"/>
      <c r="I21" s="341"/>
      <c r="J21" s="64"/>
      <c r="M21" s="205"/>
      <c r="N21" s="205"/>
      <c r="X21" s="28"/>
      <c r="Y21" s="28"/>
      <c r="Z21" s="28"/>
      <c r="AA21" s="28"/>
      <c r="AB21" s="28"/>
      <c r="AC21" s="28"/>
      <c r="AD21" s="28"/>
      <c r="AE21" s="28"/>
      <c r="AG21" s="63"/>
    </row>
    <row r="22" spans="1:33" ht="16.5" thickBot="1">
      <c r="A22" s="72" t="s">
        <v>39</v>
      </c>
      <c r="B22" s="72"/>
      <c r="C22" s="70"/>
      <c r="D22" s="98"/>
      <c r="E22" s="99"/>
      <c r="F22" s="108">
        <f>SUM(F20,F18)</f>
        <v>5401969</v>
      </c>
      <c r="G22" s="98"/>
      <c r="H22" s="99"/>
      <c r="I22" s="108">
        <f>SUM(I20,I18)</f>
        <v>5439616</v>
      </c>
      <c r="J22" s="96"/>
      <c r="K22" s="525" t="s">
        <v>92</v>
      </c>
      <c r="L22" s="525"/>
      <c r="M22" s="525"/>
      <c r="N22" s="97"/>
      <c r="O22" s="43" t="s">
        <v>0</v>
      </c>
      <c r="X22" s="28"/>
      <c r="Y22" s="28"/>
      <c r="Z22" s="28"/>
      <c r="AA22" s="28"/>
      <c r="AB22" s="28"/>
      <c r="AC22" s="28"/>
      <c r="AD22" s="28"/>
      <c r="AE22" s="28"/>
      <c r="AG22" s="63"/>
    </row>
    <row r="23" spans="1:33" ht="16.5" thickTop="1">
      <c r="A23" s="72"/>
      <c r="B23" s="72"/>
      <c r="C23" s="70"/>
      <c r="D23" s="98"/>
      <c r="E23" s="99"/>
      <c r="F23" s="90">
        <f>'[2]Average Costs'!$E$25</f>
        <v>5401969</v>
      </c>
      <c r="G23" s="211"/>
      <c r="H23" s="99"/>
      <c r="I23" s="90"/>
      <c r="J23" s="90"/>
      <c r="M23" s="205"/>
      <c r="N23" s="97"/>
      <c r="O23" s="43"/>
      <c r="X23" s="28"/>
      <c r="Y23" s="28"/>
      <c r="Z23" s="28"/>
      <c r="AA23" s="28"/>
      <c r="AB23" s="28"/>
      <c r="AC23" s="28"/>
      <c r="AD23" s="28"/>
      <c r="AE23" s="28"/>
      <c r="AG23" s="63"/>
    </row>
    <row r="24" spans="1:33">
      <c r="A24" s="116" t="s">
        <v>183</v>
      </c>
      <c r="C24" s="147">
        <v>0.9</v>
      </c>
      <c r="D24" s="121">
        <f>+D16*C24</f>
        <v>4.56651E-2</v>
      </c>
      <c r="E24" s="148">
        <f>+E12*C24</f>
        <v>0</v>
      </c>
      <c r="F24" s="90"/>
      <c r="G24" s="121">
        <f>ROUND(+G16*C24,6)</f>
        <v>4.5985999999999999E-2</v>
      </c>
      <c r="H24" s="99"/>
      <c r="I24" s="90"/>
      <c r="J24" s="90"/>
      <c r="K24" s="367">
        <f>F22*M37</f>
        <v>38196.716224382013</v>
      </c>
      <c r="L24" s="535" t="s">
        <v>785</v>
      </c>
      <c r="M24" s="536"/>
      <c r="N24" s="97"/>
      <c r="O24" s="43"/>
      <c r="X24" s="28"/>
      <c r="Y24" s="28"/>
      <c r="Z24" s="28"/>
      <c r="AA24" s="28"/>
      <c r="AB24" s="28"/>
      <c r="AC24" s="28"/>
      <c r="AD24" s="28"/>
      <c r="AE24" s="28"/>
      <c r="AG24" s="63"/>
    </row>
    <row r="25" spans="1:33">
      <c r="A25" s="116" t="s">
        <v>184</v>
      </c>
      <c r="C25" s="130">
        <v>12</v>
      </c>
      <c r="D25" s="120">
        <f>+C25*D20</f>
        <v>35.400000000000006</v>
      </c>
      <c r="E25" s="335">
        <f>+C25*E14</f>
        <v>0</v>
      </c>
      <c r="F25" s="341"/>
      <c r="G25" s="120">
        <f>ROUND(+C25*G20,2)</f>
        <v>35.64</v>
      </c>
      <c r="H25" s="72"/>
      <c r="K25" s="368">
        <f>K24+F22</f>
        <v>5440165.7162243817</v>
      </c>
      <c r="L25" s="537" t="s">
        <v>786</v>
      </c>
      <c r="M25" s="538"/>
      <c r="X25" s="28"/>
      <c r="Y25" s="28"/>
      <c r="Z25" s="28"/>
      <c r="AA25" s="28"/>
      <c r="AB25" s="28"/>
      <c r="AC25" s="28"/>
      <c r="AD25" s="28"/>
      <c r="AE25" s="28"/>
      <c r="AG25" s="63"/>
    </row>
    <row r="26" spans="1:33">
      <c r="A26" s="72"/>
      <c r="B26" s="72"/>
      <c r="C26" s="78"/>
      <c r="D26" s="94" t="s">
        <v>0</v>
      </c>
      <c r="E26" s="72"/>
      <c r="F26" s="341"/>
      <c r="G26" s="101" t="s">
        <v>0</v>
      </c>
      <c r="H26" s="72"/>
      <c r="I26" s="341" t="s">
        <v>0</v>
      </c>
      <c r="J26" s="341"/>
      <c r="K26" s="369">
        <f>K25-I22</f>
        <v>549.71622438170016</v>
      </c>
      <c r="L26" s="539" t="s">
        <v>787</v>
      </c>
      <c r="M26" s="540"/>
      <c r="N26" s="46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3">
      <c r="A27" s="115" t="s">
        <v>185</v>
      </c>
      <c r="B27" s="72"/>
      <c r="C27" s="72" t="s">
        <v>0</v>
      </c>
      <c r="D27" s="341"/>
      <c r="E27" s="72"/>
      <c r="F27" s="72"/>
      <c r="G27" s="341"/>
      <c r="H27" s="72"/>
      <c r="I27" s="72"/>
      <c r="J27" s="72"/>
      <c r="K27" s="28"/>
      <c r="L27" s="46"/>
      <c r="M27" s="46"/>
      <c r="N27" s="46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3">
      <c r="A28" s="116" t="s">
        <v>63</v>
      </c>
      <c r="B28" s="72"/>
      <c r="C28" s="72"/>
      <c r="D28" s="341"/>
      <c r="E28" s="72"/>
      <c r="F28" s="72"/>
      <c r="G28" s="341"/>
      <c r="H28" s="72"/>
      <c r="I28" s="72"/>
      <c r="J28" s="72"/>
      <c r="K28" s="28"/>
      <c r="L28" s="46"/>
      <c r="M28" s="46"/>
      <c r="N28" s="46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3">
      <c r="A29" s="116" t="s">
        <v>181</v>
      </c>
      <c r="B29" s="72"/>
      <c r="C29" s="87">
        <v>240</v>
      </c>
      <c r="D29" s="121"/>
      <c r="E29" s="89"/>
      <c r="F29" s="341"/>
      <c r="G29" s="121"/>
      <c r="H29" s="89"/>
      <c r="I29" s="341"/>
      <c r="J29" s="72"/>
      <c r="M29" s="46"/>
      <c r="N29" s="46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3">
      <c r="A30" s="72" t="s">
        <v>89</v>
      </c>
      <c r="B30" s="72"/>
      <c r="C30" s="87"/>
      <c r="D30" s="121"/>
      <c r="E30" s="89"/>
      <c r="F30" s="341"/>
      <c r="G30" s="121"/>
      <c r="H30" s="89"/>
      <c r="I30" s="341"/>
      <c r="J30" s="72"/>
      <c r="M30" s="46"/>
      <c r="N30" s="46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3">
      <c r="A31" s="118" t="s">
        <v>51</v>
      </c>
      <c r="B31" s="72"/>
      <c r="C31" s="87">
        <f>'[2]Sch 49 HV Svc'!$C$9</f>
        <v>551853873</v>
      </c>
      <c r="D31" s="121">
        <f>'(JAP4)-Tariff Summary'!D161</f>
        <v>5.0738999999999999E-2</v>
      </c>
      <c r="E31" s="89"/>
      <c r="F31" s="341">
        <f>ROUND(D31*$C31,0)</f>
        <v>28000514</v>
      </c>
      <c r="G31" s="270">
        <f>ROUND(D31*(1+$M$41),6)+L44</f>
        <v>5.1095000000000002E-2</v>
      </c>
      <c r="H31" s="89"/>
      <c r="I31" s="341">
        <f>ROUND(G31*$C31,0)</f>
        <v>28196974</v>
      </c>
      <c r="J31" s="90"/>
      <c r="K31" s="526" t="s">
        <v>392</v>
      </c>
      <c r="L31" s="525"/>
      <c r="M31" s="525"/>
      <c r="N31" s="46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3">
      <c r="A32" s="117" t="s">
        <v>84</v>
      </c>
      <c r="B32" s="86"/>
      <c r="C32" s="95">
        <f>'[2]Sch 49 HV Svc'!$C$26</f>
        <v>1635423</v>
      </c>
      <c r="D32" s="121">
        <f>ROUND(F32/C32,6)</f>
        <v>8.3645999999999998E-2</v>
      </c>
      <c r="E32" s="65"/>
      <c r="F32" s="107">
        <f>'[2]Sch 49 HV Svc'!$C$28</f>
        <v>136796</v>
      </c>
      <c r="G32" s="323">
        <f>ROUND(+D32*(1+$M$37),6)</f>
        <v>8.4237000000000006E-2</v>
      </c>
      <c r="H32" s="65"/>
      <c r="I32" s="107">
        <f>ROUND(G32*$C32,0)</f>
        <v>137763</v>
      </c>
      <c r="J32" s="64"/>
      <c r="K32" s="525" t="s">
        <v>92</v>
      </c>
      <c r="L32" s="525"/>
      <c r="M32" s="525"/>
      <c r="N32" s="46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>
      <c r="A33" s="119" t="s">
        <v>35</v>
      </c>
      <c r="B33" s="86"/>
      <c r="C33" s="70">
        <f>SUM(C31:C32)</f>
        <v>553489296</v>
      </c>
      <c r="D33" s="121"/>
      <c r="E33" s="65"/>
      <c r="F33" s="341">
        <f>SUM(F31:F32)</f>
        <v>28137310</v>
      </c>
      <c r="G33" s="121"/>
      <c r="H33" s="65"/>
      <c r="I33" s="341">
        <f>SUM(I31:I32)</f>
        <v>28334737</v>
      </c>
      <c r="J33" s="64"/>
      <c r="K33" s="525"/>
      <c r="L33" s="525"/>
      <c r="M33" s="525"/>
      <c r="N33" s="46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>
      <c r="A34" s="119"/>
      <c r="B34" s="86"/>
      <c r="C34" s="70"/>
      <c r="D34" s="121"/>
      <c r="E34" s="65"/>
      <c r="F34" s="341"/>
      <c r="G34" s="121"/>
      <c r="H34" s="65"/>
      <c r="I34" s="341"/>
      <c r="J34" s="64"/>
      <c r="M34" s="46"/>
      <c r="N34" s="46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>
      <c r="A35" s="116" t="s">
        <v>182</v>
      </c>
      <c r="B35" s="72"/>
      <c r="C35" s="87">
        <f>'[2]Sch 49 HV Svc'!$C$13</f>
        <v>1444363</v>
      </c>
      <c r="D35" s="120">
        <f>'(JAP4)-Tariff Summary'!D163</f>
        <v>5.48</v>
      </c>
      <c r="E35" s="89"/>
      <c r="F35" s="341">
        <f>ROUND(D35*$C35,0)</f>
        <v>7915109</v>
      </c>
      <c r="G35" s="120">
        <f>ROUND(D35*(1+M37),2)</f>
        <v>5.52</v>
      </c>
      <c r="H35" s="89"/>
      <c r="I35" s="341">
        <f>ROUND(G35*$C35,0)</f>
        <v>7972884</v>
      </c>
      <c r="J35" s="90"/>
      <c r="K35" s="525" t="s">
        <v>92</v>
      </c>
      <c r="L35" s="525"/>
      <c r="M35" s="525"/>
      <c r="N35" s="46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>
      <c r="A36" s="117"/>
      <c r="B36" s="86"/>
      <c r="C36" s="70"/>
      <c r="D36" s="121"/>
      <c r="E36" s="65"/>
      <c r="F36" s="341"/>
      <c r="G36" s="121"/>
      <c r="H36" s="65"/>
      <c r="I36" s="341"/>
      <c r="J36" s="64"/>
      <c r="M36" s="46"/>
      <c r="N36" s="46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ht="16.5" thickBot="1">
      <c r="A37" s="72" t="s">
        <v>39</v>
      </c>
      <c r="B37" s="72"/>
      <c r="C37" s="70"/>
      <c r="D37" s="98"/>
      <c r="E37" s="99"/>
      <c r="F37" s="108">
        <f>SUM(F35,F33)</f>
        <v>36052419</v>
      </c>
      <c r="G37" s="98"/>
      <c r="H37" s="99"/>
      <c r="I37" s="108">
        <f>SUM(I35,I33)</f>
        <v>36307621</v>
      </c>
      <c r="J37" s="96"/>
      <c r="K37" s="67" t="s">
        <v>37</v>
      </c>
      <c r="L37" s="68">
        <f>'(JAP4) Rate Spread'!K24*1000</f>
        <v>41747507.322730549</v>
      </c>
      <c r="M37" s="69">
        <f>L37/SUM(F22,F37)-1</f>
        <v>7.0708877123104585E-3</v>
      </c>
      <c r="N37" s="46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ht="16.5" thickTop="1">
      <c r="A38" s="65"/>
      <c r="B38" s="72"/>
      <c r="C38" s="87"/>
      <c r="D38" s="82"/>
      <c r="E38" s="89"/>
      <c r="F38" s="93">
        <f>'[2]Average Costs'!$E$26</f>
        <v>36052421</v>
      </c>
      <c r="G38" s="82"/>
      <c r="H38" s="89"/>
      <c r="I38" s="93"/>
      <c r="J38" s="93"/>
      <c r="K38" s="322" t="s">
        <v>388</v>
      </c>
      <c r="L38" s="319">
        <f>-SUM(I35,I20)</f>
        <v>-9132847</v>
      </c>
      <c r="M38" s="320"/>
      <c r="N38" s="46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>
      <c r="A39" s="118"/>
      <c r="B39" s="72"/>
      <c r="C39" s="87"/>
      <c r="D39" s="124"/>
      <c r="E39" s="89"/>
      <c r="F39" s="93">
        <f>F37-F38</f>
        <v>-2</v>
      </c>
      <c r="G39" s="124"/>
      <c r="H39" s="89"/>
      <c r="I39" s="93"/>
      <c r="J39" s="93"/>
      <c r="K39" s="322" t="s">
        <v>389</v>
      </c>
      <c r="L39" s="319">
        <f>-F31-F16</f>
        <v>-31920398</v>
      </c>
      <c r="M39" s="320"/>
      <c r="N39" s="46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>
      <c r="A40" s="118"/>
      <c r="B40" s="72"/>
      <c r="C40" s="87"/>
      <c r="D40" s="124"/>
      <c r="E40" s="89"/>
      <c r="F40" s="93"/>
      <c r="G40" s="124"/>
      <c r="H40" s="89"/>
      <c r="I40" s="93"/>
      <c r="J40" s="93"/>
      <c r="K40" s="322" t="s">
        <v>391</v>
      </c>
      <c r="L40" s="319">
        <f>-I32-I17</f>
        <v>-470029</v>
      </c>
      <c r="M40" s="324"/>
      <c r="N40" s="46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>
      <c r="A41" s="119"/>
      <c r="B41" s="72"/>
      <c r="C41" s="87"/>
      <c r="D41" s="124"/>
      <c r="E41" s="89"/>
      <c r="F41" s="93"/>
      <c r="G41" s="124"/>
      <c r="H41" s="89"/>
      <c r="I41" s="93"/>
      <c r="J41" s="93"/>
      <c r="K41" s="322" t="s">
        <v>390</v>
      </c>
      <c r="L41" s="319">
        <f>SUM(L37:L40)</f>
        <v>224233.32273054868</v>
      </c>
      <c r="M41" s="321">
        <f>L41/(F31+F16)</f>
        <v>7.0247658795027767E-3</v>
      </c>
      <c r="N41" s="46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>
      <c r="A42" s="72"/>
      <c r="B42" s="72"/>
      <c r="C42" s="87"/>
      <c r="D42" s="124"/>
      <c r="E42" s="89"/>
      <c r="F42" s="93"/>
      <c r="G42" s="124"/>
      <c r="H42" s="89"/>
      <c r="I42" s="93"/>
      <c r="J42" s="64"/>
      <c r="K42" s="317" t="s">
        <v>38</v>
      </c>
      <c r="L42" s="74">
        <f>I37-L37--I22</f>
        <v>-270.32273054867983</v>
      </c>
      <c r="M42" s="106" t="s">
        <v>0</v>
      </c>
      <c r="N42" s="46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>
      <c r="A43" s="72"/>
      <c r="B43" s="72"/>
      <c r="C43" s="87"/>
      <c r="D43" s="124"/>
      <c r="E43" s="89"/>
      <c r="F43" s="93"/>
      <c r="G43" s="124"/>
      <c r="H43" s="89"/>
      <c r="I43" s="93"/>
      <c r="J43" s="64"/>
      <c r="K43" s="77"/>
      <c r="L43" s="76"/>
      <c r="M43" s="46"/>
      <c r="N43" s="46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>
      <c r="A44" s="72"/>
      <c r="B44" s="72"/>
      <c r="C44" s="87"/>
      <c r="D44" s="124"/>
      <c r="E44" s="89"/>
      <c r="F44" s="93"/>
      <c r="G44" s="124"/>
      <c r="H44" s="89"/>
      <c r="I44" s="93"/>
      <c r="J44" s="64"/>
      <c r="K44" s="455" t="s">
        <v>398</v>
      </c>
      <c r="L44" s="244"/>
      <c r="M44" s="244">
        <f>L42/(C31+C16)</f>
        <v>-4.2969091734448869E-7</v>
      </c>
      <c r="N44" s="46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>
      <c r="A45" s="72"/>
      <c r="B45" s="72"/>
      <c r="C45" s="87"/>
      <c r="D45" s="124"/>
      <c r="E45" s="89"/>
      <c r="F45" s="93"/>
      <c r="G45" s="124"/>
      <c r="H45" s="89"/>
      <c r="I45" s="93"/>
      <c r="J45" s="90"/>
      <c r="L45" s="47"/>
      <c r="M45" s="47"/>
      <c r="N45" s="46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spans="1:31">
      <c r="A46" s="72"/>
      <c r="B46" s="104"/>
      <c r="C46" s="87"/>
      <c r="D46" s="124"/>
      <c r="E46" s="89"/>
      <c r="F46" s="93"/>
      <c r="G46" s="124"/>
      <c r="H46" s="89"/>
      <c r="I46" s="93"/>
      <c r="J46" s="341"/>
      <c r="L46" s="47"/>
      <c r="M46" s="47"/>
      <c r="N46" s="46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</row>
  </sheetData>
  <mergeCells count="17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</mergeCells>
  <printOptions horizontalCentered="1"/>
  <pageMargins left="0.7" right="0.7" top="0.75" bottom="0.75" header="0.3" footer="0.3"/>
  <pageSetup scale="56" orientation="landscape" r:id="rId1"/>
  <headerFooter alignWithMargins="0">
    <oddFooter>&amp;L&amp;F
&amp;A&amp;R2018 ERF Rate Design Workpapers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AN48"/>
  <sheetViews>
    <sheetView zoomScale="70" zoomScaleNormal="70" zoomScaleSheetLayoutView="80" workbookViewId="0">
      <pane ySplit="10" topLeftCell="A11" activePane="bottomLeft" state="frozen"/>
      <selection activeCell="D153" sqref="D153:E171"/>
      <selection pane="bottomLeft" activeCell="A11" sqref="A11"/>
    </sheetView>
  </sheetViews>
  <sheetFormatPr defaultColWidth="10.25" defaultRowHeight="15.75"/>
  <cols>
    <col min="1" max="1" width="27.875" style="47" bestFit="1" customWidth="1"/>
    <col min="2" max="2" width="1.375" style="47" bestFit="1" customWidth="1"/>
    <col min="3" max="3" width="13.25" style="47" bestFit="1" customWidth="1"/>
    <col min="4" max="4" width="10.75" style="47" bestFit="1" customWidth="1"/>
    <col min="5" max="5" width="2" style="47" bestFit="1" customWidth="1"/>
    <col min="6" max="6" width="10.625" style="47" bestFit="1" customWidth="1"/>
    <col min="7" max="7" width="10.75" style="47" bestFit="1" customWidth="1"/>
    <col min="8" max="8" width="2" style="47" bestFit="1" customWidth="1"/>
    <col min="9" max="9" width="10.625" style="47" bestFit="1" customWidth="1"/>
    <col min="10" max="10" width="1.625" style="47" customWidth="1"/>
    <col min="11" max="11" width="15.25" style="47" bestFit="1" customWidth="1"/>
    <col min="12" max="12" width="9.125" style="53" bestFit="1" customWidth="1"/>
    <col min="13" max="13" width="6.125" style="53" bestFit="1" customWidth="1"/>
    <col min="14" max="14" width="7.125" style="53" bestFit="1" customWidth="1"/>
    <col min="15" max="17" width="1.375" style="47" bestFit="1" customWidth="1"/>
    <col min="18" max="18" width="14.125" style="47" bestFit="1" customWidth="1"/>
    <col min="19" max="19" width="1.375" style="47" bestFit="1" customWidth="1"/>
    <col min="20" max="20" width="13.25" style="47" bestFit="1" customWidth="1"/>
    <col min="21" max="21" width="13" style="47" bestFit="1" customWidth="1"/>
    <col min="22" max="22" width="12.25" style="47" bestFit="1" customWidth="1"/>
    <col min="23" max="23" width="5.5" style="47" bestFit="1" customWidth="1"/>
    <col min="24" max="24" width="1.375" style="47" bestFit="1" customWidth="1"/>
    <col min="25" max="25" width="10.25" style="47" customWidth="1"/>
    <col min="26" max="26" width="12.125" style="47" customWidth="1"/>
    <col min="27" max="16384" width="10.25" style="47"/>
  </cols>
  <sheetData>
    <row r="1" spans="1:40" ht="18">
      <c r="A1" s="513" t="s">
        <v>53</v>
      </c>
      <c r="B1" s="513"/>
      <c r="C1" s="513"/>
      <c r="D1" s="513"/>
      <c r="E1" s="513"/>
      <c r="F1" s="513"/>
      <c r="G1" s="513"/>
      <c r="H1" s="513"/>
      <c r="I1" s="513"/>
      <c r="J1" s="45"/>
      <c r="K1" s="28"/>
      <c r="L1" s="46"/>
      <c r="M1" s="46"/>
      <c r="N1" s="4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40" ht="18">
      <c r="A2" s="513" t="s">
        <v>30</v>
      </c>
      <c r="B2" s="513"/>
      <c r="C2" s="513"/>
      <c r="D2" s="513"/>
      <c r="E2" s="513"/>
      <c r="F2" s="513"/>
      <c r="G2" s="513"/>
      <c r="H2" s="513"/>
      <c r="I2" s="513"/>
      <c r="J2" s="45"/>
      <c r="K2" s="28"/>
      <c r="L2" s="46"/>
      <c r="M2" s="46"/>
      <c r="N2" s="46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40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48"/>
      <c r="K3" s="28"/>
      <c r="L3" s="46"/>
      <c r="M3" s="46"/>
      <c r="N3" s="46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40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49"/>
      <c r="K4" s="28"/>
      <c r="L4" s="46"/>
      <c r="M4" s="46"/>
      <c r="N4" s="46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40">
      <c r="A5" s="50" t="s">
        <v>191</v>
      </c>
      <c r="B5" s="51"/>
      <c r="C5" s="51"/>
      <c r="D5" s="52"/>
      <c r="E5" s="52"/>
      <c r="F5" s="51"/>
      <c r="G5" s="52"/>
      <c r="H5" s="51"/>
      <c r="I5" s="51"/>
      <c r="J5" s="51"/>
      <c r="K5" s="28"/>
      <c r="L5" s="46"/>
      <c r="M5" s="46"/>
      <c r="N5" s="46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40">
      <c r="A6" s="50"/>
      <c r="B6" s="51"/>
      <c r="C6" s="51"/>
      <c r="D6" s="52"/>
      <c r="E6" s="52"/>
      <c r="F6" s="51"/>
      <c r="G6" s="52"/>
      <c r="H6" s="51"/>
      <c r="I6" s="51"/>
      <c r="J6" s="51"/>
      <c r="K6" s="28"/>
      <c r="L6" s="46"/>
      <c r="M6" s="46"/>
      <c r="N6" s="46"/>
      <c r="O6" s="46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40">
      <c r="A7" s="51"/>
      <c r="B7" s="51"/>
      <c r="C7" s="51"/>
      <c r="D7" s="52"/>
      <c r="E7" s="52"/>
      <c r="F7" s="51"/>
      <c r="G7" s="52"/>
      <c r="H7" s="51"/>
      <c r="I7" s="51"/>
      <c r="J7" s="51"/>
      <c r="K7" s="28"/>
      <c r="L7" s="46"/>
      <c r="M7" s="46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40">
      <c r="A8" s="54"/>
      <c r="B8" s="54"/>
      <c r="C8" s="55"/>
      <c r="D8" s="56"/>
      <c r="E8" s="56"/>
      <c r="G8" s="56"/>
      <c r="H8" s="57"/>
      <c r="I8" s="57"/>
      <c r="J8" s="57"/>
      <c r="K8" s="28"/>
      <c r="L8" s="46"/>
      <c r="M8" s="46"/>
      <c r="N8" s="46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0" ht="50.45" customHeight="1">
      <c r="A9" s="54"/>
      <c r="B9" s="54"/>
      <c r="C9" s="477" t="s">
        <v>1022</v>
      </c>
      <c r="D9" s="516" t="str">
        <f>'(JAP4) Res RD'!$D$9</f>
        <v>Present Base
Effective May 1, 2018</v>
      </c>
      <c r="E9" s="517"/>
      <c r="F9" s="518"/>
      <c r="G9" s="516" t="str">
        <f>'(JAP4) Res RD'!$G$9</f>
        <v>Proposed Base 
+ ERF (Schedule 141)
Effective March 2019</v>
      </c>
      <c r="H9" s="517"/>
      <c r="I9" s="518"/>
      <c r="J9" s="57"/>
      <c r="K9" s="28"/>
      <c r="L9" s="46"/>
      <c r="M9" s="46"/>
      <c r="N9" s="46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0">
      <c r="A10" s="54"/>
      <c r="B10" s="54"/>
      <c r="C10" s="58" t="s">
        <v>32</v>
      </c>
      <c r="D10" s="59" t="s">
        <v>33</v>
      </c>
      <c r="E10" s="60"/>
      <c r="F10" s="57" t="s">
        <v>34</v>
      </c>
      <c r="G10" s="59" t="s">
        <v>33</v>
      </c>
      <c r="H10" s="59"/>
      <c r="I10" s="59" t="s">
        <v>34</v>
      </c>
      <c r="J10" s="59"/>
      <c r="K10" s="28"/>
      <c r="L10" s="46"/>
      <c r="M10" s="46"/>
      <c r="N10" s="46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0">
      <c r="C11" s="71"/>
      <c r="D11" s="65" t="s">
        <v>0</v>
      </c>
      <c r="E11" s="71"/>
      <c r="F11" s="61"/>
      <c r="G11" s="72" t="s">
        <v>0</v>
      </c>
      <c r="H11" s="71"/>
      <c r="I11" s="341" t="s">
        <v>0</v>
      </c>
      <c r="J11" s="341"/>
      <c r="K11" s="28"/>
      <c r="L11" s="46"/>
      <c r="M11" s="46"/>
      <c r="N11" s="46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G11" s="63"/>
    </row>
    <row r="12" spans="1:40">
      <c r="A12" s="115" t="s">
        <v>187</v>
      </c>
      <c r="B12" s="72"/>
      <c r="C12" s="72" t="s">
        <v>0</v>
      </c>
      <c r="D12" s="341"/>
      <c r="E12" s="72"/>
      <c r="F12" s="72"/>
      <c r="G12" s="341"/>
      <c r="H12" s="72"/>
      <c r="I12" s="72"/>
      <c r="J12" s="72"/>
      <c r="K12" s="28"/>
      <c r="L12" s="46"/>
      <c r="M12" s="46"/>
      <c r="N12" s="46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G12" s="63"/>
    </row>
    <row r="13" spans="1:40">
      <c r="A13" s="116" t="s">
        <v>188</v>
      </c>
      <c r="B13" s="72"/>
      <c r="C13" s="72"/>
      <c r="D13" s="341"/>
      <c r="E13" s="72"/>
      <c r="F13" s="72"/>
      <c r="G13" s="341"/>
      <c r="H13" s="72"/>
      <c r="I13" s="72"/>
      <c r="J13" s="72"/>
      <c r="K13" s="28"/>
      <c r="L13" s="46"/>
      <c r="M13" s="46"/>
      <c r="N13" s="46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G13" s="63"/>
    </row>
    <row r="14" spans="1:40">
      <c r="A14" s="116" t="s">
        <v>142</v>
      </c>
      <c r="B14" s="72"/>
      <c r="C14" s="87">
        <f>'[2]Sch 449 - Transportation'!$C$14</f>
        <v>240</v>
      </c>
      <c r="D14" s="120">
        <f>'(JAP4)-Tariff Summary'!D167</f>
        <v>2120</v>
      </c>
      <c r="E14" s="89"/>
      <c r="F14" s="341">
        <f>ROUND(D14*$C14,0)</f>
        <v>508800</v>
      </c>
      <c r="G14" s="120">
        <f>ROUND(D14*(1+$L$28),0)</f>
        <v>2140</v>
      </c>
      <c r="H14" s="89"/>
      <c r="I14" s="341">
        <f>ROUND(G14*$C14,0)</f>
        <v>513600</v>
      </c>
      <c r="J14" s="90"/>
      <c r="K14" s="525" t="s">
        <v>85</v>
      </c>
      <c r="L14" s="525"/>
      <c r="M14" s="525"/>
      <c r="N14" s="88"/>
      <c r="P14" s="63"/>
      <c r="Q14" s="208"/>
      <c r="R14" s="63"/>
      <c r="S14" s="208"/>
      <c r="T14" s="63"/>
      <c r="U14" s="63"/>
      <c r="V14" s="208"/>
      <c r="W14" s="205"/>
      <c r="X14" s="63"/>
      <c r="Y14" s="63"/>
      <c r="AG14" s="28"/>
      <c r="AH14" s="28"/>
      <c r="AI14" s="28"/>
      <c r="AJ14" s="28"/>
      <c r="AK14" s="28"/>
      <c r="AL14" s="28"/>
      <c r="AN14" s="63"/>
    </row>
    <row r="15" spans="1:40">
      <c r="A15" s="72" t="s">
        <v>89</v>
      </c>
      <c r="B15" s="72"/>
      <c r="C15" s="87"/>
      <c r="D15" s="121"/>
      <c r="E15" s="89"/>
      <c r="F15" s="341"/>
      <c r="G15" s="121"/>
      <c r="H15" s="89"/>
      <c r="I15" s="341"/>
      <c r="J15" s="72"/>
      <c r="M15" s="88"/>
      <c r="N15" s="88"/>
      <c r="P15" s="63"/>
      <c r="Q15" s="208"/>
      <c r="R15" s="63"/>
      <c r="S15" s="208"/>
      <c r="T15" s="63"/>
      <c r="U15" s="63"/>
      <c r="V15" s="208"/>
      <c r="W15" s="205"/>
      <c r="X15" s="63"/>
      <c r="Y15" s="63"/>
      <c r="AG15" s="28"/>
      <c r="AH15" s="28"/>
      <c r="AI15" s="28"/>
      <c r="AJ15" s="28"/>
      <c r="AK15" s="28"/>
      <c r="AL15" s="28"/>
      <c r="AN15" s="63"/>
    </row>
    <row r="16" spans="1:40">
      <c r="A16" s="118" t="s">
        <v>51</v>
      </c>
      <c r="B16" s="72"/>
      <c r="C16" s="87">
        <f>'[2]Sch 449 - Transportation'!$C$6</f>
        <v>1993136106</v>
      </c>
      <c r="D16" s="121">
        <v>0</v>
      </c>
      <c r="E16" s="89"/>
      <c r="F16" s="341">
        <f>ROUND(D16*$C16,0)</f>
        <v>0</v>
      </c>
      <c r="G16" s="121">
        <v>0</v>
      </c>
      <c r="H16" s="89"/>
      <c r="I16" s="341">
        <f>ROUND(G16*$C16,0)</f>
        <v>0</v>
      </c>
      <c r="J16" s="90"/>
      <c r="K16" s="525"/>
      <c r="L16" s="525"/>
      <c r="M16" s="525"/>
      <c r="N16" s="88"/>
      <c r="O16" s="53"/>
      <c r="X16" s="28"/>
      <c r="Y16" s="28"/>
      <c r="Z16" s="28"/>
      <c r="AA16" s="28"/>
      <c r="AB16" s="28"/>
      <c r="AC16" s="28"/>
      <c r="AD16" s="28"/>
      <c r="AE16" s="28"/>
      <c r="AG16" s="63"/>
    </row>
    <row r="17" spans="1:33">
      <c r="A17" s="118" t="s">
        <v>82</v>
      </c>
      <c r="B17" s="62"/>
      <c r="C17" s="87">
        <v>0</v>
      </c>
      <c r="D17" s="121">
        <v>0</v>
      </c>
      <c r="E17" s="121"/>
      <c r="F17" s="341">
        <f>ROUND(D17*$C17,0)</f>
        <v>0</v>
      </c>
      <c r="G17" s="121">
        <v>0</v>
      </c>
      <c r="H17" s="89"/>
      <c r="I17" s="341">
        <f>ROUND(G17*$C17,0)</f>
        <v>0</v>
      </c>
      <c r="J17" s="90"/>
      <c r="X17" s="28"/>
      <c r="Y17" s="28"/>
      <c r="Z17" s="28"/>
      <c r="AA17" s="28"/>
      <c r="AB17" s="28"/>
      <c r="AC17" s="28"/>
      <c r="AD17" s="28"/>
      <c r="AE17" s="28"/>
      <c r="AG17" s="63"/>
    </row>
    <row r="18" spans="1:33">
      <c r="A18" s="117" t="s">
        <v>84</v>
      </c>
      <c r="B18" s="86"/>
      <c r="C18" s="95">
        <f>'[2]Sch 449 - Transportation'!$C$35</f>
        <v>464588.32400003076</v>
      </c>
      <c r="D18" s="121">
        <f>ROUND(F18/C18,6)</f>
        <v>0.11282200000000001</v>
      </c>
      <c r="E18" s="65"/>
      <c r="F18" s="107">
        <f>'[2]Sch 449 - Transportation'!$C$37</f>
        <v>52416</v>
      </c>
      <c r="G18" s="439">
        <f>ROUND(D18*(1+$L$28),6)</f>
        <v>0.113872</v>
      </c>
      <c r="H18" s="65"/>
      <c r="I18" s="107">
        <f>ROUND(G18*$C18,0)</f>
        <v>52904</v>
      </c>
      <c r="J18" s="64"/>
      <c r="K18" s="525" t="s">
        <v>85</v>
      </c>
      <c r="L18" s="525"/>
      <c r="M18" s="525"/>
      <c r="N18" s="205"/>
      <c r="X18" s="28"/>
      <c r="Y18" s="28"/>
      <c r="Z18" s="28"/>
      <c r="AA18" s="28"/>
      <c r="AB18" s="28"/>
      <c r="AC18" s="28"/>
      <c r="AD18" s="28"/>
      <c r="AE18" s="28"/>
      <c r="AG18" s="63"/>
    </row>
    <row r="19" spans="1:33">
      <c r="A19" s="119" t="s">
        <v>35</v>
      </c>
      <c r="B19" s="86"/>
      <c r="C19" s="70">
        <f>SUM(C16:C18)</f>
        <v>1993600694.3240001</v>
      </c>
      <c r="D19" s="121"/>
      <c r="E19" s="65"/>
      <c r="F19" s="341">
        <f>SUM(F16:F18)</f>
        <v>52416</v>
      </c>
      <c r="G19" s="121"/>
      <c r="H19" s="65"/>
      <c r="I19" s="341">
        <f>SUM(I16:I18)</f>
        <v>52904</v>
      </c>
      <c r="J19" s="64"/>
      <c r="M19" s="205"/>
      <c r="N19" s="205"/>
      <c r="X19" s="28"/>
      <c r="Y19" s="28"/>
      <c r="Z19" s="28"/>
      <c r="AA19" s="28"/>
      <c r="AB19" s="28"/>
      <c r="AC19" s="28"/>
      <c r="AD19" s="28"/>
      <c r="AE19" s="28"/>
      <c r="AG19" s="63"/>
    </row>
    <row r="20" spans="1:33">
      <c r="A20" s="119"/>
      <c r="B20" s="86"/>
      <c r="C20" s="70"/>
      <c r="D20" s="121"/>
      <c r="E20" s="65"/>
      <c r="F20" s="341"/>
      <c r="G20" s="121"/>
      <c r="H20" s="65"/>
      <c r="I20" s="341"/>
      <c r="J20" s="64"/>
      <c r="M20" s="205"/>
      <c r="N20" s="205"/>
      <c r="X20" s="28"/>
      <c r="Y20" s="28"/>
      <c r="Z20" s="28"/>
      <c r="AA20" s="28"/>
      <c r="AB20" s="28"/>
      <c r="AC20" s="28"/>
      <c r="AD20" s="28"/>
      <c r="AE20" s="28"/>
      <c r="AG20" s="63"/>
    </row>
    <row r="21" spans="1:33">
      <c r="A21" s="72" t="s">
        <v>898</v>
      </c>
      <c r="B21" s="72"/>
      <c r="C21" s="70">
        <f>'[2]Sch 449 - Transportation'!$C$19</f>
        <v>3509277</v>
      </c>
      <c r="D21" s="98"/>
      <c r="E21" s="99"/>
      <c r="F21" s="341">
        <v>0</v>
      </c>
      <c r="G21" s="121"/>
      <c r="H21" s="65"/>
      <c r="I21" s="341">
        <v>0</v>
      </c>
      <c r="J21" s="90"/>
      <c r="M21" s="205"/>
      <c r="N21" s="97"/>
      <c r="O21" s="43" t="s">
        <v>0</v>
      </c>
      <c r="X21" s="28"/>
      <c r="Y21" s="28"/>
      <c r="Z21" s="28"/>
      <c r="AA21" s="28"/>
      <c r="AB21" s="28"/>
      <c r="AC21" s="28"/>
      <c r="AD21" s="28"/>
      <c r="AE21" s="28"/>
      <c r="AG21" s="63"/>
    </row>
    <row r="22" spans="1:33">
      <c r="A22" s="72"/>
      <c r="B22" s="72"/>
      <c r="C22" s="70"/>
      <c r="D22" s="98"/>
      <c r="E22" s="99"/>
      <c r="F22" s="90"/>
      <c r="G22" s="211"/>
      <c r="H22" s="99"/>
      <c r="I22" s="90"/>
      <c r="J22" s="90"/>
      <c r="M22" s="205"/>
      <c r="N22" s="97"/>
      <c r="O22" s="43"/>
      <c r="X22" s="28"/>
      <c r="Y22" s="28"/>
      <c r="Z22" s="28"/>
      <c r="AA22" s="28"/>
      <c r="AB22" s="28"/>
      <c r="AC22" s="28"/>
      <c r="AD22" s="28"/>
      <c r="AE22" s="28"/>
      <c r="AG22" s="63"/>
    </row>
    <row r="23" spans="1:33">
      <c r="A23" s="116" t="s">
        <v>189</v>
      </c>
      <c r="B23" s="72"/>
      <c r="C23" s="87"/>
      <c r="D23" s="150"/>
      <c r="E23" s="89"/>
      <c r="F23" s="341">
        <f>'[2]Sch 449 - Transportation'!$C$32</f>
        <v>7814835</v>
      </c>
      <c r="G23" s="121"/>
      <c r="H23" s="65"/>
      <c r="I23" s="341">
        <f>F23</f>
        <v>7814835</v>
      </c>
      <c r="J23" s="90"/>
      <c r="K23" s="449"/>
      <c r="M23" s="88"/>
      <c r="N23" s="88"/>
      <c r="O23" s="53"/>
      <c r="X23" s="28"/>
      <c r="Y23" s="28"/>
      <c r="Z23" s="28"/>
      <c r="AA23" s="28"/>
      <c r="AB23" s="28"/>
      <c r="AC23" s="28"/>
      <c r="AD23" s="28"/>
      <c r="AE23" s="28"/>
      <c r="AG23" s="63"/>
    </row>
    <row r="24" spans="1:33">
      <c r="A24" s="117"/>
      <c r="B24" s="86"/>
      <c r="C24" s="70"/>
      <c r="D24" s="121"/>
      <c r="E24" s="65"/>
      <c r="F24" s="341"/>
      <c r="G24" s="121"/>
      <c r="H24" s="65"/>
      <c r="I24" s="341"/>
      <c r="J24" s="64"/>
      <c r="M24" s="46"/>
      <c r="N24" s="46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3" ht="16.5" thickBot="1">
      <c r="A25" s="72" t="s">
        <v>39</v>
      </c>
      <c r="B25" s="72"/>
      <c r="C25" s="70"/>
      <c r="D25" s="98"/>
      <c r="E25" s="99"/>
      <c r="F25" s="108">
        <f>SUM(F21,F19,F14,F23)</f>
        <v>8376051</v>
      </c>
      <c r="G25" s="98"/>
      <c r="H25" s="99"/>
      <c r="I25" s="108">
        <f>SUM(I21,I19,I14,I23)</f>
        <v>8381339</v>
      </c>
      <c r="J25" s="96"/>
      <c r="M25" s="46"/>
      <c r="N25" s="46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3" ht="16.5" thickTop="1">
      <c r="A26" s="65"/>
      <c r="B26" s="72"/>
      <c r="C26" s="87"/>
      <c r="D26" s="82"/>
      <c r="E26" s="89"/>
      <c r="F26" s="93"/>
      <c r="G26" s="82"/>
      <c r="H26" s="89"/>
      <c r="I26" s="93"/>
      <c r="J26" s="93"/>
      <c r="M26" s="46"/>
      <c r="N26" s="46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3">
      <c r="A27" s="118"/>
      <c r="B27" s="72"/>
      <c r="C27" s="87"/>
      <c r="D27" s="124"/>
      <c r="E27" s="89"/>
      <c r="F27" s="93">
        <f>'[2]Average Costs'!$E$31</f>
        <v>8376051</v>
      </c>
      <c r="G27" s="124"/>
      <c r="H27" s="89"/>
      <c r="I27" s="93"/>
      <c r="J27" s="93"/>
      <c r="K27" s="28"/>
      <c r="L27" s="46"/>
      <c r="M27" s="46"/>
      <c r="N27" s="46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3">
      <c r="A28" s="118"/>
      <c r="B28" s="72"/>
      <c r="C28" s="87"/>
      <c r="D28" s="124"/>
      <c r="E28" s="89"/>
      <c r="F28" s="93">
        <f>F27-F25</f>
        <v>0</v>
      </c>
      <c r="G28" s="124"/>
      <c r="H28" s="89"/>
      <c r="I28" s="93"/>
      <c r="J28" s="93"/>
      <c r="K28" s="47" t="s">
        <v>85</v>
      </c>
      <c r="L28" s="438">
        <f>'(JAP4) Rate Spread'!I37</f>
        <v>9.3041373563052723E-3</v>
      </c>
      <c r="M28" s="46"/>
      <c r="N28" s="46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3">
      <c r="A29" s="119"/>
      <c r="B29" s="72"/>
      <c r="C29" s="87"/>
      <c r="D29" s="124"/>
      <c r="E29" s="89"/>
      <c r="F29" s="93"/>
      <c r="G29" s="124"/>
      <c r="H29" s="89"/>
      <c r="I29" s="93"/>
      <c r="J29" s="93"/>
      <c r="K29" s="28"/>
      <c r="L29" s="46"/>
      <c r="M29" s="46"/>
      <c r="N29" s="46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3">
      <c r="A30" s="115" t="s">
        <v>192</v>
      </c>
      <c r="B30" s="72"/>
      <c r="C30" s="72" t="s">
        <v>0</v>
      </c>
      <c r="D30" s="341"/>
      <c r="E30" s="72"/>
      <c r="F30" s="72"/>
      <c r="G30" s="341"/>
      <c r="H30" s="72"/>
      <c r="I30" s="72"/>
      <c r="J30" s="72"/>
      <c r="K30" s="28"/>
      <c r="L30" s="46"/>
      <c r="M30" s="46"/>
      <c r="N30" s="46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3">
      <c r="A31" s="116" t="s">
        <v>80</v>
      </c>
      <c r="B31" s="72"/>
      <c r="C31" s="72"/>
      <c r="D31" s="341"/>
      <c r="E31" s="72"/>
      <c r="F31" s="72"/>
      <c r="G31" s="341"/>
      <c r="H31" s="72"/>
      <c r="I31" s="72"/>
      <c r="J31" s="72"/>
      <c r="K31" s="28"/>
      <c r="L31" s="46"/>
      <c r="M31" s="46"/>
      <c r="N31" s="46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3">
      <c r="A32" s="116" t="s">
        <v>181</v>
      </c>
      <c r="B32" s="72"/>
      <c r="C32" s="87">
        <v>96</v>
      </c>
      <c r="D32" s="120"/>
      <c r="E32" s="89"/>
      <c r="F32" s="341"/>
      <c r="G32" s="120"/>
      <c r="H32" s="89"/>
      <c r="I32" s="341"/>
      <c r="J32" s="90"/>
      <c r="K32" s="525"/>
      <c r="L32" s="525"/>
      <c r="M32" s="525"/>
      <c r="N32" s="46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>
      <c r="A33" s="72" t="s">
        <v>89</v>
      </c>
      <c r="B33" s="72"/>
      <c r="C33" s="87"/>
      <c r="D33" s="121"/>
      <c r="E33" s="89"/>
      <c r="F33" s="341"/>
      <c r="G33" s="121"/>
      <c r="H33" s="89"/>
      <c r="I33" s="341"/>
      <c r="J33" s="72"/>
      <c r="M33" s="88"/>
      <c r="N33" s="46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>
      <c r="A34" s="118" t="s">
        <v>51</v>
      </c>
      <c r="B34" s="72"/>
      <c r="C34" s="87">
        <f>'[2]Firm Resale'!$C$8</f>
        <v>7166880</v>
      </c>
      <c r="D34" s="121">
        <v>3.5139999999999998E-2</v>
      </c>
      <c r="E34" s="89"/>
      <c r="F34" s="341">
        <f>ROUND(D34*$C34,0)</f>
        <v>251844</v>
      </c>
      <c r="G34" s="121">
        <f>D34</f>
        <v>3.5139999999999998E-2</v>
      </c>
      <c r="H34" s="89"/>
      <c r="I34" s="341">
        <f>ROUND(G34*$C34,0)</f>
        <v>251844</v>
      </c>
      <c r="J34" s="90"/>
      <c r="K34" s="525"/>
      <c r="L34" s="525"/>
      <c r="M34" s="525"/>
      <c r="N34" s="46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>
      <c r="A35" s="118" t="s">
        <v>82</v>
      </c>
      <c r="B35" s="62"/>
      <c r="C35" s="87">
        <f>'[2]Temperature Adjustment'!$B$30</f>
        <v>21773.578241899639</v>
      </c>
      <c r="D35" s="121">
        <v>3.5139999999999998E-2</v>
      </c>
      <c r="E35" s="121"/>
      <c r="F35" s="341">
        <f>ROUND(D35*$C35,0)</f>
        <v>765</v>
      </c>
      <c r="G35" s="121">
        <f>D35</f>
        <v>3.5139999999999998E-2</v>
      </c>
      <c r="H35" s="89"/>
      <c r="I35" s="341">
        <f>ROUND(G35*$C35,0)</f>
        <v>765</v>
      </c>
      <c r="J35" s="90"/>
    </row>
    <row r="36" spans="1:31">
      <c r="A36" s="117" t="s">
        <v>84</v>
      </c>
      <c r="B36" s="86"/>
      <c r="C36" s="95">
        <f>'[2]Firm Resale'!$C$25</f>
        <v>49002</v>
      </c>
      <c r="D36" s="121">
        <f>ROUND(F36/C36,6)</f>
        <v>5.2651000000000003E-2</v>
      </c>
      <c r="E36" s="65"/>
      <c r="F36" s="107">
        <f>'[2]Firm Resale'!$C$27</f>
        <v>2580</v>
      </c>
      <c r="G36" s="121">
        <f>D36</f>
        <v>5.2651000000000003E-2</v>
      </c>
      <c r="H36" s="65"/>
      <c r="I36" s="107">
        <f>ROUND(G36*$C36,0)</f>
        <v>2580</v>
      </c>
      <c r="J36" s="64"/>
      <c r="K36" s="525"/>
      <c r="L36" s="525"/>
      <c r="M36" s="525"/>
    </row>
    <row r="37" spans="1:31">
      <c r="A37" s="119" t="s">
        <v>35</v>
      </c>
      <c r="B37" s="86"/>
      <c r="C37" s="70">
        <f>SUM(C34:C36)</f>
        <v>7237655.5782418996</v>
      </c>
      <c r="D37" s="121"/>
      <c r="E37" s="65"/>
      <c r="F37" s="341">
        <f>SUM(F34:F36)</f>
        <v>255189</v>
      </c>
      <c r="G37" s="121"/>
      <c r="H37" s="65"/>
      <c r="I37" s="341">
        <f>SUM(I34:I36)</f>
        <v>255189</v>
      </c>
      <c r="J37" s="64"/>
      <c r="M37" s="205"/>
    </row>
    <row r="38" spans="1:31">
      <c r="A38" s="119"/>
      <c r="B38" s="86"/>
      <c r="C38" s="70"/>
      <c r="D38" s="121"/>
      <c r="E38" s="65"/>
      <c r="F38" s="341"/>
      <c r="G38" s="121"/>
      <c r="H38" s="65"/>
      <c r="I38" s="341"/>
      <c r="J38" s="64"/>
      <c r="M38" s="205"/>
    </row>
    <row r="39" spans="1:31">
      <c r="A39" s="72" t="s">
        <v>193</v>
      </c>
      <c r="B39" s="72"/>
      <c r="C39" s="87">
        <f>'[2]Firm Resale'!$C$10</f>
        <v>14133</v>
      </c>
      <c r="D39" s="150">
        <v>5.25</v>
      </c>
      <c r="E39" s="89"/>
      <c r="F39" s="341">
        <f>ROUND(D39*$C39,0)</f>
        <v>74198</v>
      </c>
      <c r="G39" s="150">
        <f>D39</f>
        <v>5.25</v>
      </c>
      <c r="H39" s="89"/>
      <c r="I39" s="341">
        <f>ROUND(G39*$C39,0)</f>
        <v>74198</v>
      </c>
      <c r="J39" s="90"/>
      <c r="M39" s="205"/>
    </row>
    <row r="40" spans="1:31">
      <c r="A40" s="72"/>
      <c r="B40" s="72"/>
      <c r="C40" s="70"/>
      <c r="D40" s="98"/>
      <c r="E40" s="99"/>
      <c r="F40" s="90"/>
      <c r="G40" s="98"/>
      <c r="H40" s="99"/>
      <c r="I40" s="90"/>
      <c r="J40" s="90"/>
      <c r="M40" s="205"/>
    </row>
    <row r="41" spans="1:31">
      <c r="A41" s="116" t="s">
        <v>154</v>
      </c>
      <c r="B41" s="72"/>
      <c r="C41" s="87">
        <f>'[2]Firm Resale'!$C$12</f>
        <v>1869560</v>
      </c>
      <c r="D41" s="149">
        <v>2.5000000000000001E-4</v>
      </c>
      <c r="E41" s="89"/>
      <c r="F41" s="341">
        <f>ROUND(D41*$C41,0)</f>
        <v>467</v>
      </c>
      <c r="G41" s="149">
        <f>D41</f>
        <v>2.5000000000000001E-4</v>
      </c>
      <c r="H41" s="89"/>
      <c r="I41" s="341">
        <f>ROUND(G41*$C41,0)</f>
        <v>467</v>
      </c>
      <c r="J41" s="90"/>
      <c r="K41" s="449"/>
      <c r="M41" s="88"/>
    </row>
    <row r="42" spans="1:31">
      <c r="A42" s="116"/>
      <c r="B42" s="72"/>
      <c r="C42" s="87"/>
      <c r="D42" s="149"/>
      <c r="E42" s="89"/>
      <c r="F42" s="341"/>
      <c r="G42" s="149"/>
      <c r="H42" s="89"/>
      <c r="I42" s="341"/>
      <c r="J42" s="90"/>
      <c r="K42" s="449"/>
      <c r="M42" s="88"/>
    </row>
    <row r="43" spans="1:31">
      <c r="A43" s="116" t="s">
        <v>194</v>
      </c>
      <c r="B43" s="72"/>
      <c r="C43" s="87"/>
      <c r="D43" s="149"/>
      <c r="E43" s="89"/>
      <c r="F43" s="341"/>
      <c r="G43" s="149"/>
      <c r="H43" s="89"/>
      <c r="I43" s="341">
        <f>F45*$L$48</f>
        <v>3069.0069235267192</v>
      </c>
      <c r="J43" s="90"/>
      <c r="K43" s="525"/>
      <c r="L43" s="525"/>
      <c r="M43" s="525"/>
    </row>
    <row r="44" spans="1:31">
      <c r="A44" s="117"/>
      <c r="B44" s="86"/>
      <c r="C44" s="70"/>
      <c r="D44" s="121"/>
      <c r="E44" s="65"/>
      <c r="F44" s="341"/>
      <c r="G44" s="121"/>
      <c r="H44" s="65"/>
      <c r="I44" s="341"/>
      <c r="J44" s="64"/>
      <c r="M44" s="46"/>
    </row>
    <row r="45" spans="1:31" ht="16.5" thickBot="1">
      <c r="A45" s="72" t="s">
        <v>39</v>
      </c>
      <c r="B45" s="72"/>
      <c r="C45" s="70"/>
      <c r="D45" s="98"/>
      <c r="E45" s="99"/>
      <c r="F45" s="108">
        <f>SUM(F39,F37,F32,F41)</f>
        <v>329854</v>
      </c>
      <c r="G45" s="98"/>
      <c r="H45" s="99"/>
      <c r="I45" s="108">
        <f>SUM(I39,I37,I32,I41,I43)</f>
        <v>332923.0069235267</v>
      </c>
      <c r="J45" s="96"/>
      <c r="K45" s="67" t="s">
        <v>37</v>
      </c>
      <c r="L45" s="68">
        <f>'(JAP4) Rate Spread'!J32*1000+F45</f>
        <v>332923.0069235267</v>
      </c>
      <c r="M45" s="69">
        <f>L45/SUM(F45)-1</f>
        <v>9.3041373563051977E-3</v>
      </c>
    </row>
    <row r="46" spans="1:31" ht="16.5" thickTop="1">
      <c r="A46" s="65"/>
      <c r="B46" s="72"/>
      <c r="C46" s="87"/>
      <c r="D46" s="82"/>
      <c r="E46" s="89"/>
      <c r="F46" s="93"/>
      <c r="G46" s="82"/>
      <c r="H46" s="89"/>
      <c r="I46" s="93"/>
      <c r="J46" s="93"/>
      <c r="K46" s="73" t="s">
        <v>38</v>
      </c>
      <c r="L46" s="74">
        <f>L45-I45</f>
        <v>0</v>
      </c>
      <c r="M46" s="106" t="s">
        <v>0</v>
      </c>
    </row>
    <row r="47" spans="1:31">
      <c r="F47" s="393">
        <f>'[2]Average Costs'!$E$35</f>
        <v>329856</v>
      </c>
    </row>
    <row r="48" spans="1:31">
      <c r="F48" s="395">
        <f>F47-F45</f>
        <v>2</v>
      </c>
      <c r="K48" s="47" t="s">
        <v>85</v>
      </c>
      <c r="L48" s="438">
        <f>'(JAP4) Rate Spread'!I37</f>
        <v>9.3041373563052723E-3</v>
      </c>
    </row>
  </sheetData>
  <mergeCells count="13">
    <mergeCell ref="A1:I1"/>
    <mergeCell ref="A2:I2"/>
    <mergeCell ref="A3:I3"/>
    <mergeCell ref="A4:I4"/>
    <mergeCell ref="D9:F9"/>
    <mergeCell ref="G9:I9"/>
    <mergeCell ref="K34:M34"/>
    <mergeCell ref="K36:M36"/>
    <mergeCell ref="K43:M43"/>
    <mergeCell ref="K14:M14"/>
    <mergeCell ref="K16:M16"/>
    <mergeCell ref="K18:M18"/>
    <mergeCell ref="K32:M32"/>
  </mergeCells>
  <printOptions horizontalCentered="1"/>
  <pageMargins left="0.7" right="0.7" top="0.75" bottom="0.75" header="0.3" footer="0.3"/>
  <pageSetup scale="52" orientation="landscape" r:id="rId1"/>
  <headerFooter alignWithMargins="0">
    <oddFooter>&amp;L&amp;F
&amp;A&amp;R2018 ERF Rate Design Workpapers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50"/>
  <sheetViews>
    <sheetView zoomScale="80" zoomScaleNormal="80" workbookViewId="0">
      <pane xSplit="3" ySplit="25" topLeftCell="D409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D153" sqref="D153:E171"/>
    </sheetView>
  </sheetViews>
  <sheetFormatPr defaultColWidth="8.75" defaultRowHeight="15.75"/>
  <cols>
    <col min="1" max="1" width="60.5" style="47" bestFit="1" customWidth="1"/>
    <col min="2" max="2" width="2.5" style="47" customWidth="1"/>
    <col min="3" max="3" width="12.25" style="47" bestFit="1" customWidth="1"/>
    <col min="4" max="4" width="10.75" style="47" bestFit="1" customWidth="1"/>
    <col min="5" max="5" width="2.5" style="47" customWidth="1"/>
    <col min="6" max="6" width="11.625" style="47" bestFit="1" customWidth="1"/>
    <col min="7" max="7" width="10.75" style="47" bestFit="1" customWidth="1"/>
    <col min="8" max="8" width="11.625" style="47" bestFit="1" customWidth="1"/>
    <col min="9" max="9" width="2.5" style="47" customWidth="1"/>
    <col min="10" max="11" width="11.25" style="47" bestFit="1" customWidth="1"/>
    <col min="12" max="12" width="9.125" style="47" bestFit="1" customWidth="1"/>
    <col min="13" max="13" width="2.5" style="47" customWidth="1"/>
    <col min="14" max="15" width="11.625" style="47" bestFit="1" customWidth="1"/>
    <col min="16" max="16" width="9.125" style="47" bestFit="1" customWidth="1"/>
    <col min="17" max="17" width="2.5" style="47" customWidth="1"/>
    <col min="18" max="19" width="11.625" style="47" bestFit="1" customWidth="1"/>
    <col min="20" max="20" width="9.125" style="47" bestFit="1" customWidth="1"/>
    <col min="21" max="16384" width="8.75" style="47"/>
  </cols>
  <sheetData>
    <row r="1" spans="1:21" ht="18">
      <c r="A1" s="513" t="s">
        <v>53</v>
      </c>
      <c r="B1" s="513"/>
      <c r="C1" s="513"/>
      <c r="D1" s="513"/>
      <c r="E1" s="513"/>
      <c r="F1" s="513"/>
      <c r="G1" s="513"/>
      <c r="H1" s="513"/>
      <c r="I1" s="45"/>
    </row>
    <row r="2" spans="1:21" ht="18">
      <c r="A2" s="513" t="s">
        <v>30</v>
      </c>
      <c r="B2" s="513"/>
      <c r="C2" s="513"/>
      <c r="D2" s="513"/>
      <c r="E2" s="513"/>
      <c r="F2" s="513"/>
      <c r="G2" s="513"/>
      <c r="H2" s="513"/>
      <c r="I2" s="45"/>
    </row>
    <row r="3" spans="1:21">
      <c r="A3" s="514" t="str">
        <f>+'(JAP4) Proposed ERF Rev'!B6</f>
        <v>12 MONTHS ENDED JUNE 2018</v>
      </c>
      <c r="B3" s="514"/>
      <c r="C3" s="514"/>
      <c r="D3" s="514"/>
      <c r="E3" s="514"/>
      <c r="F3" s="514"/>
      <c r="G3" s="514"/>
      <c r="H3" s="514"/>
      <c r="I3" s="48"/>
    </row>
    <row r="4" spans="1:21">
      <c r="A4" s="515" t="s">
        <v>31</v>
      </c>
      <c r="B4" s="515"/>
      <c r="C4" s="515"/>
      <c r="D4" s="515"/>
      <c r="E4" s="515"/>
      <c r="F4" s="515"/>
      <c r="G4" s="515"/>
      <c r="H4" s="515"/>
      <c r="I4" s="49"/>
    </row>
    <row r="5" spans="1:21">
      <c r="A5" s="50" t="s">
        <v>195</v>
      </c>
      <c r="B5" s="51"/>
      <c r="C5" s="51"/>
      <c r="D5" s="52"/>
      <c r="E5" s="52"/>
      <c r="F5" s="51"/>
      <c r="G5" s="52"/>
      <c r="H5" s="51"/>
      <c r="I5" s="51"/>
    </row>
    <row r="6" spans="1:21">
      <c r="A6" s="50"/>
      <c r="B6" s="51"/>
      <c r="C6" s="51"/>
      <c r="D6" s="52"/>
      <c r="E6" s="52"/>
      <c r="F6" s="51"/>
      <c r="G6" s="52"/>
      <c r="H6" s="51"/>
      <c r="I6" s="51"/>
    </row>
    <row r="7" spans="1:21">
      <c r="A7" s="51"/>
      <c r="B7" s="51"/>
      <c r="C7" s="51"/>
      <c r="D7" s="52"/>
      <c r="E7" s="52"/>
      <c r="F7" s="51"/>
      <c r="G7" s="52"/>
      <c r="H7" s="51"/>
      <c r="I7" s="51"/>
    </row>
    <row r="8" spans="1:21">
      <c r="A8" s="54"/>
      <c r="B8" s="54"/>
      <c r="C8" s="55"/>
      <c r="D8" s="56"/>
      <c r="E8" s="56"/>
      <c r="G8" s="56"/>
      <c r="H8" s="57"/>
      <c r="I8" s="57"/>
      <c r="J8" s="269"/>
      <c r="K8" s="269"/>
      <c r="L8" s="269"/>
    </row>
    <row r="9" spans="1:21" s="478" customFormat="1" ht="42.6" customHeight="1">
      <c r="A9" s="476"/>
      <c r="B9" s="476"/>
      <c r="C9" s="477" t="s">
        <v>900</v>
      </c>
      <c r="D9" s="545" t="s">
        <v>899</v>
      </c>
      <c r="E9" s="546"/>
      <c r="F9" s="547"/>
      <c r="G9" s="516" t="str">
        <f>'(JAP4) Res RD'!$G$9</f>
        <v>Proposed Base 
+ ERF (Schedule 141)
Effective March 2019</v>
      </c>
      <c r="H9" s="517"/>
      <c r="I9" s="518"/>
      <c r="J9" s="541" t="s">
        <v>50</v>
      </c>
      <c r="K9" s="542"/>
      <c r="L9" s="543"/>
      <c r="N9" s="541" t="s">
        <v>399</v>
      </c>
      <c r="O9" s="542"/>
      <c r="P9" s="543"/>
      <c r="R9" s="541" t="s">
        <v>3</v>
      </c>
      <c r="S9" s="542"/>
      <c r="T9" s="543"/>
    </row>
    <row r="10" spans="1:21" ht="29.25">
      <c r="A10" s="54"/>
      <c r="B10" s="54"/>
      <c r="C10" s="58" t="s">
        <v>1016</v>
      </c>
      <c r="D10" s="59" t="s">
        <v>33</v>
      </c>
      <c r="E10" s="60"/>
      <c r="F10" s="57" t="s">
        <v>34</v>
      </c>
      <c r="G10" s="59" t="s">
        <v>33</v>
      </c>
      <c r="H10" s="59" t="s">
        <v>34</v>
      </c>
      <c r="I10" s="59"/>
      <c r="J10" s="269" t="s">
        <v>203</v>
      </c>
      <c r="K10" s="269" t="s">
        <v>204</v>
      </c>
      <c r="L10" s="269" t="s">
        <v>205</v>
      </c>
      <c r="N10" s="269" t="s">
        <v>203</v>
      </c>
      <c r="O10" s="269" t="s">
        <v>204</v>
      </c>
      <c r="P10" s="269" t="s">
        <v>205</v>
      </c>
      <c r="R10" s="434" t="s">
        <v>203</v>
      </c>
      <c r="S10" s="434" t="s">
        <v>204</v>
      </c>
      <c r="T10" s="434" t="s">
        <v>205</v>
      </c>
      <c r="U10" s="269"/>
    </row>
    <row r="11" spans="1:21">
      <c r="A11" s="72"/>
      <c r="B11" s="72"/>
      <c r="C11" s="78"/>
      <c r="D11" s="94"/>
      <c r="E11" s="72"/>
      <c r="F11" s="341"/>
      <c r="G11" s="101"/>
      <c r="H11" s="341"/>
      <c r="I11" s="341"/>
    </row>
    <row r="12" spans="1:21">
      <c r="A12" s="544" t="s">
        <v>201</v>
      </c>
      <c r="B12" s="544"/>
      <c r="C12" s="544"/>
      <c r="D12" s="544"/>
      <c r="E12" s="544"/>
      <c r="F12" s="544"/>
      <c r="G12" s="544"/>
      <c r="H12" s="544"/>
      <c r="I12" s="341"/>
    </row>
    <row r="13" spans="1:21">
      <c r="A13" s="72" t="str">
        <f>A27</f>
        <v>SCHEDULE 50</v>
      </c>
      <c r="B13" s="72"/>
      <c r="C13" s="266">
        <f>C42</f>
        <v>133</v>
      </c>
      <c r="D13" s="94"/>
      <c r="E13" s="72"/>
      <c r="F13" s="341">
        <f>F46</f>
        <v>6039</v>
      </c>
      <c r="G13" s="101"/>
      <c r="H13" s="341">
        <f>H46</f>
        <v>6070</v>
      </c>
      <c r="I13" s="341"/>
      <c r="J13" s="265">
        <f>SUM(K13:L13)</f>
        <v>61706.667000000001</v>
      </c>
      <c r="K13" s="265">
        <f>C44</f>
        <v>61906.667000000001</v>
      </c>
      <c r="L13" s="265">
        <f>C45</f>
        <v>-200</v>
      </c>
      <c r="N13" s="341">
        <f>SUM(O13:P13)</f>
        <v>6039</v>
      </c>
      <c r="O13" s="341">
        <f>F40</f>
        <v>6035</v>
      </c>
      <c r="P13" s="341">
        <f>ROUND(O13/($O$22-$O$21)*$P$22,0)</f>
        <v>4</v>
      </c>
      <c r="R13" s="63">
        <f>SUM(S13:T13)</f>
        <v>6070</v>
      </c>
      <c r="S13" s="341">
        <f>H40</f>
        <v>6066</v>
      </c>
      <c r="T13" s="341">
        <f>H45</f>
        <v>4</v>
      </c>
    </row>
    <row r="14" spans="1:21">
      <c r="A14" s="72" t="str">
        <f>A48</f>
        <v>SCHEDULE 51</v>
      </c>
      <c r="B14" s="72"/>
      <c r="C14" s="266">
        <f>C110</f>
        <v>5797</v>
      </c>
      <c r="D14" s="94"/>
      <c r="E14" s="72"/>
      <c r="F14" s="341">
        <f>F114</f>
        <v>256147</v>
      </c>
      <c r="G14" s="101"/>
      <c r="H14" s="341">
        <f>H114</f>
        <v>258406</v>
      </c>
      <c r="I14" s="341"/>
      <c r="J14" s="265">
        <f t="shared" ref="J14:J21" si="0">SUM(K14:L14)</f>
        <v>1261828.6555000001</v>
      </c>
      <c r="K14" s="265">
        <f>C112</f>
        <v>1240790.29</v>
      </c>
      <c r="L14" s="265">
        <f>C113</f>
        <v>21038.3655</v>
      </c>
      <c r="N14" s="341">
        <f t="shared" ref="N14:N21" si="1">SUM(O14:P14)</f>
        <v>256147</v>
      </c>
      <c r="O14" s="341">
        <f>F108</f>
        <v>255981</v>
      </c>
      <c r="P14" s="341">
        <f t="shared" ref="P14:P20" si="2">ROUND(O14/($O$22-$O$21)*$P$22,0)</f>
        <v>166</v>
      </c>
      <c r="R14" s="63">
        <f t="shared" ref="R14:R21" si="3">SUM(S14:T14)</f>
        <v>258406</v>
      </c>
      <c r="S14" s="341">
        <f>$H$108</f>
        <v>258238</v>
      </c>
      <c r="T14" s="341">
        <f>+H113</f>
        <v>168</v>
      </c>
    </row>
    <row r="15" spans="1:21">
      <c r="A15" s="72" t="str">
        <f>A116</f>
        <v>SCHEDULE 52</v>
      </c>
      <c r="B15" s="72"/>
      <c r="C15" s="266">
        <f>C140</f>
        <v>29419</v>
      </c>
      <c r="D15" s="94"/>
      <c r="E15" s="72"/>
      <c r="F15" s="341">
        <f>F144</f>
        <v>2591933</v>
      </c>
      <c r="G15" s="101"/>
      <c r="H15" s="341">
        <f>H144</f>
        <v>2620881</v>
      </c>
      <c r="I15" s="341"/>
      <c r="J15" s="265">
        <f t="shared" si="0"/>
        <v>13471058.7015</v>
      </c>
      <c r="K15" s="265">
        <f>C142</f>
        <v>13444707.423</v>
      </c>
      <c r="L15" s="265">
        <f>C143</f>
        <v>26351.278500000015</v>
      </c>
      <c r="N15" s="341">
        <f t="shared" si="1"/>
        <v>2591933</v>
      </c>
      <c r="O15" s="341">
        <f>F138</f>
        <v>2590250</v>
      </c>
      <c r="P15" s="341">
        <f t="shared" si="2"/>
        <v>1683</v>
      </c>
      <c r="R15" s="63">
        <f t="shared" si="3"/>
        <v>2620881</v>
      </c>
      <c r="S15" s="341">
        <f>$H$138</f>
        <v>2619180</v>
      </c>
      <c r="T15" s="341">
        <f>+H143</f>
        <v>1701</v>
      </c>
    </row>
    <row r="16" spans="1:21">
      <c r="A16" s="72" t="str">
        <f>A147</f>
        <v>SCHEDULE 53</v>
      </c>
      <c r="B16" s="72"/>
      <c r="C16" s="266">
        <f>C293</f>
        <v>31325</v>
      </c>
      <c r="D16" s="94"/>
      <c r="E16" s="72"/>
      <c r="F16" s="341">
        <f>F297</f>
        <v>11085735</v>
      </c>
      <c r="G16" s="101"/>
      <c r="H16" s="341">
        <f>H297</f>
        <v>11218506</v>
      </c>
      <c r="I16" s="341"/>
      <c r="J16" s="265">
        <f t="shared" si="0"/>
        <v>38713059.116500005</v>
      </c>
      <c r="K16" s="265">
        <f>C295</f>
        <v>38751344.238000005</v>
      </c>
      <c r="L16" s="265">
        <f>C296</f>
        <v>-38285.121500000125</v>
      </c>
      <c r="N16" s="341">
        <f t="shared" si="1"/>
        <v>11085735</v>
      </c>
      <c r="O16" s="341">
        <f>F291</f>
        <v>11078536</v>
      </c>
      <c r="P16" s="341">
        <f t="shared" si="2"/>
        <v>7199</v>
      </c>
      <c r="R16" s="63">
        <f t="shared" si="3"/>
        <v>11218506</v>
      </c>
      <c r="S16" s="341">
        <f>$H$291</f>
        <v>11211229</v>
      </c>
      <c r="T16" s="341">
        <f>+H296</f>
        <v>7277</v>
      </c>
    </row>
    <row r="17" spans="1:20">
      <c r="A17" s="72" t="str">
        <f>A302</f>
        <v>SCHEDULE 54</v>
      </c>
      <c r="B17" s="72"/>
      <c r="C17" s="266">
        <f>C371</f>
        <v>538</v>
      </c>
      <c r="D17" s="94"/>
      <c r="E17" s="72"/>
      <c r="F17" s="341">
        <f>F375</f>
        <v>577367</v>
      </c>
      <c r="G17" s="101"/>
      <c r="H17" s="341">
        <f>H375</f>
        <v>578906</v>
      </c>
      <c r="I17" s="341"/>
      <c r="J17" s="265">
        <f t="shared" si="0"/>
        <v>7112433.5430000015</v>
      </c>
      <c r="K17" s="265">
        <f>C373</f>
        <v>7152377.1560000014</v>
      </c>
      <c r="L17" s="265">
        <f>C374</f>
        <v>-39943.613000000012</v>
      </c>
      <c r="N17" s="341">
        <f t="shared" si="1"/>
        <v>577367</v>
      </c>
      <c r="O17" s="341">
        <f>F369</f>
        <v>576992</v>
      </c>
      <c r="P17" s="341">
        <f t="shared" si="2"/>
        <v>375</v>
      </c>
      <c r="R17" s="63">
        <f t="shared" si="3"/>
        <v>578906</v>
      </c>
      <c r="S17" s="341">
        <f>$H$369</f>
        <v>578527</v>
      </c>
      <c r="T17" s="341">
        <f>+H374</f>
        <v>379</v>
      </c>
    </row>
    <row r="18" spans="1:20">
      <c r="A18" s="72" t="str">
        <f>A378</f>
        <v>SCHEDULES 55 &amp; 56</v>
      </c>
      <c r="B18" s="72"/>
      <c r="C18" s="266">
        <f>C416</f>
        <v>20087</v>
      </c>
      <c r="D18" s="94"/>
      <c r="E18" s="72"/>
      <c r="F18" s="341">
        <f>F420</f>
        <v>1124350</v>
      </c>
      <c r="G18" s="101"/>
      <c r="H18" s="341">
        <f>H420</f>
        <v>1138156</v>
      </c>
      <c r="I18" s="341"/>
      <c r="J18" s="265">
        <f t="shared" si="0"/>
        <v>3761987.4505000003</v>
      </c>
      <c r="K18" s="265">
        <f>C418</f>
        <v>3764575.7170000002</v>
      </c>
      <c r="L18" s="265">
        <f>C419</f>
        <v>-2588.2664999999834</v>
      </c>
      <c r="N18" s="341">
        <f t="shared" si="1"/>
        <v>1038616</v>
      </c>
      <c r="O18" s="341">
        <f>F414-F413-F412</f>
        <v>1037942</v>
      </c>
      <c r="P18" s="341">
        <f t="shared" si="2"/>
        <v>674</v>
      </c>
      <c r="R18" s="63">
        <f t="shared" si="3"/>
        <v>1051113</v>
      </c>
      <c r="S18" s="341">
        <f>$H$414-$H$412-$H$413</f>
        <v>1050432</v>
      </c>
      <c r="T18" s="341">
        <f>+H419</f>
        <v>681</v>
      </c>
    </row>
    <row r="19" spans="1:20">
      <c r="A19" s="72" t="str">
        <f>A423</f>
        <v>SCHEDULE 57</v>
      </c>
      <c r="B19" s="72"/>
      <c r="C19" s="266">
        <f>C429</f>
        <v>1288</v>
      </c>
      <c r="D19" s="94"/>
      <c r="E19" s="72"/>
      <c r="F19" s="341">
        <f>F433</f>
        <v>530031</v>
      </c>
      <c r="G19" s="101"/>
      <c r="H19" s="341">
        <f>H433</f>
        <v>530305</v>
      </c>
      <c r="I19" s="341"/>
      <c r="J19" s="265">
        <f t="shared" si="0"/>
        <v>4275657.0274999999</v>
      </c>
      <c r="K19" s="265">
        <f>C431</f>
        <v>4194218.4550000001</v>
      </c>
      <c r="L19" s="265">
        <f>C432</f>
        <v>81438.572500000009</v>
      </c>
      <c r="N19" s="341">
        <f t="shared" si="1"/>
        <v>530031</v>
      </c>
      <c r="O19" s="341">
        <f>F427</f>
        <v>529687</v>
      </c>
      <c r="P19" s="341">
        <f t="shared" si="2"/>
        <v>344</v>
      </c>
      <c r="R19" s="63">
        <f t="shared" si="3"/>
        <v>530305</v>
      </c>
      <c r="S19" s="341">
        <f>$H$427</f>
        <v>529957</v>
      </c>
      <c r="T19" s="341">
        <f>+H432</f>
        <v>348</v>
      </c>
    </row>
    <row r="20" spans="1:20">
      <c r="A20" s="72" t="str">
        <f>A436</f>
        <v>SCHEDULES 58 &amp; 59</v>
      </c>
      <c r="B20" s="72"/>
      <c r="C20" s="266">
        <f>C527</f>
        <v>3778</v>
      </c>
      <c r="D20" s="94"/>
      <c r="E20" s="72"/>
      <c r="F20" s="341">
        <f>F531</f>
        <v>417329</v>
      </c>
      <c r="G20" s="101"/>
      <c r="H20" s="341">
        <f>H531</f>
        <v>421434</v>
      </c>
      <c r="I20" s="341"/>
      <c r="J20" s="265">
        <f t="shared" si="0"/>
        <v>2249155.1349999998</v>
      </c>
      <c r="K20" s="265">
        <f>C529</f>
        <v>2251208.102</v>
      </c>
      <c r="L20" s="265">
        <f>C530</f>
        <v>-2052.9670000000128</v>
      </c>
      <c r="N20" s="341">
        <f t="shared" si="1"/>
        <v>400247</v>
      </c>
      <c r="O20" s="341">
        <f>F525-F524</f>
        <v>399987</v>
      </c>
      <c r="P20" s="341">
        <f t="shared" si="2"/>
        <v>260</v>
      </c>
      <c r="R20" s="63">
        <f t="shared" si="3"/>
        <v>404089</v>
      </c>
      <c r="S20" s="341">
        <f>$H$525-$H$524</f>
        <v>403826</v>
      </c>
      <c r="T20" s="341">
        <f>+H530</f>
        <v>263</v>
      </c>
    </row>
    <row r="21" spans="1:20">
      <c r="A21" s="72" t="s">
        <v>400</v>
      </c>
      <c r="B21" s="72"/>
      <c r="C21" s="84"/>
      <c r="D21" s="94"/>
      <c r="E21" s="72"/>
      <c r="F21" s="341">
        <f>F532</f>
        <v>0</v>
      </c>
      <c r="G21" s="101"/>
      <c r="H21" s="341"/>
      <c r="I21" s="341"/>
      <c r="J21" s="265">
        <f t="shared" si="0"/>
        <v>0</v>
      </c>
      <c r="K21" s="265">
        <v>0</v>
      </c>
      <c r="L21" s="265">
        <v>0</v>
      </c>
      <c r="N21" s="341">
        <f t="shared" si="1"/>
        <v>102816</v>
      </c>
      <c r="O21" s="341">
        <f>SUM(F412:F413,F524)</f>
        <v>102816</v>
      </c>
      <c r="P21" s="341">
        <v>0</v>
      </c>
      <c r="R21" s="63">
        <f t="shared" si="3"/>
        <v>104388</v>
      </c>
      <c r="S21" s="341">
        <f>$H$412+$H$413+$H$524</f>
        <v>104388</v>
      </c>
      <c r="T21" s="341">
        <v>0</v>
      </c>
    </row>
    <row r="22" spans="1:20" ht="16.5" thickBot="1">
      <c r="A22" s="72" t="s">
        <v>202</v>
      </c>
      <c r="B22" s="72"/>
      <c r="C22" s="153">
        <f>SUM(C13:C21)</f>
        <v>92365</v>
      </c>
      <c r="D22" s="94"/>
      <c r="E22" s="72"/>
      <c r="F22" s="108">
        <f>SUM(F13:F21)</f>
        <v>16588931</v>
      </c>
      <c r="G22" s="101"/>
      <c r="H22" s="108">
        <f>SUM(H13:H21)</f>
        <v>16772664</v>
      </c>
      <c r="I22" s="341"/>
      <c r="J22" s="153">
        <f>SUM(J13:J21)</f>
        <v>70906886.296500012</v>
      </c>
      <c r="K22" s="153">
        <f>SUM(K13:K21)</f>
        <v>70861128.048000008</v>
      </c>
      <c r="L22" s="153">
        <f>SUM(L13:L21)</f>
        <v>45758.248499999892</v>
      </c>
      <c r="N22" s="108">
        <f>SUM(N13:N21)</f>
        <v>16588931</v>
      </c>
      <c r="O22" s="108">
        <f>SUM(O13:O21)</f>
        <v>16578226</v>
      </c>
      <c r="P22" s="327">
        <f>+'[2]Lighting 50-59'!$C$14</f>
        <v>10706</v>
      </c>
      <c r="R22" s="108">
        <f>SUM(R12:R21)</f>
        <v>16772664</v>
      </c>
      <c r="S22" s="108">
        <f>SUM(S12:S21)</f>
        <v>16761843</v>
      </c>
      <c r="T22" s="108">
        <f>SUM(T12:T21)</f>
        <v>10821</v>
      </c>
    </row>
    <row r="23" spans="1:20" ht="16.5" thickTop="1">
      <c r="A23" s="72"/>
      <c r="B23" s="72"/>
      <c r="C23" s="78"/>
      <c r="D23" s="94"/>
      <c r="E23" s="72"/>
      <c r="F23" s="341"/>
      <c r="G23" s="101"/>
      <c r="H23" s="341"/>
      <c r="I23" s="341"/>
      <c r="O23" s="63"/>
      <c r="P23" s="63"/>
    </row>
    <row r="24" spans="1:20" ht="16.5" thickBot="1">
      <c r="A24" s="72" t="s">
        <v>988</v>
      </c>
      <c r="B24" s="72"/>
      <c r="C24" s="78"/>
      <c r="D24" s="94"/>
      <c r="E24" s="72"/>
      <c r="F24" s="341"/>
      <c r="G24" s="101"/>
      <c r="H24" s="108">
        <f>+'(JAP4) Rate Spread'!K28*1000</f>
        <v>16769390.182105023</v>
      </c>
      <c r="I24" s="341"/>
      <c r="N24" s="328"/>
      <c r="O24" s="375">
        <f>+'(JAP4) Rate Spread'!I28</f>
        <v>1.0878288788169793E-2</v>
      </c>
      <c r="P24" s="205">
        <f>O24</f>
        <v>1.0878288788169793E-2</v>
      </c>
    </row>
    <row r="25" spans="1:20" ht="16.5" thickTop="1">
      <c r="A25" s="72"/>
      <c r="B25" s="72"/>
      <c r="C25" s="78"/>
      <c r="D25" s="94"/>
      <c r="E25" s="72"/>
      <c r="F25" s="341"/>
      <c r="G25" s="101"/>
      <c r="H25" s="64">
        <f>+H24-H22</f>
        <v>-3273.8178949765861</v>
      </c>
      <c r="I25" s="341"/>
      <c r="N25" s="63">
        <f>SUM(O25:P25)</f>
        <v>180459.19298331111</v>
      </c>
      <c r="O25" s="342">
        <f>O24*O22</f>
        <v>180342.73002354495</v>
      </c>
      <c r="P25" s="342">
        <f>P24*P22</f>
        <v>116.4629597661458</v>
      </c>
    </row>
    <row r="26" spans="1:20">
      <c r="A26" s="72"/>
      <c r="B26" s="72"/>
      <c r="C26" s="78"/>
      <c r="D26" s="94"/>
      <c r="E26" s="72"/>
      <c r="F26" s="341"/>
      <c r="G26" s="101"/>
      <c r="H26" s="64"/>
      <c r="I26" s="341"/>
      <c r="N26" s="63">
        <f>SUM(O26:P26)</f>
        <v>16769391.192983311</v>
      </c>
      <c r="O26" s="343">
        <f>O25+O22</f>
        <v>16758568.730023544</v>
      </c>
      <c r="P26" s="343">
        <f>P25+P22</f>
        <v>10822.462959766146</v>
      </c>
    </row>
    <row r="27" spans="1:20">
      <c r="A27" s="544" t="s">
        <v>196</v>
      </c>
      <c r="B27" s="544"/>
      <c r="C27" s="544"/>
      <c r="D27" s="544"/>
      <c r="E27" s="544"/>
      <c r="F27" s="544"/>
      <c r="G27" s="544"/>
      <c r="H27" s="544"/>
      <c r="I27" s="72"/>
    </row>
    <row r="28" spans="1:20">
      <c r="A28" s="72" t="s">
        <v>401</v>
      </c>
      <c r="B28" s="72"/>
      <c r="C28" s="72"/>
      <c r="D28" s="72"/>
      <c r="E28" s="72"/>
      <c r="F28" s="341"/>
      <c r="G28" s="72"/>
      <c r="H28" s="72"/>
      <c r="I28" s="72"/>
    </row>
    <row r="29" spans="1:20">
      <c r="A29" s="72"/>
      <c r="B29" s="72"/>
      <c r="C29" s="72"/>
      <c r="D29" s="72"/>
      <c r="E29" s="72"/>
      <c r="F29" s="341"/>
      <c r="G29" s="72"/>
      <c r="H29" s="72"/>
      <c r="I29" s="72"/>
    </row>
    <row r="30" spans="1:20">
      <c r="A30" s="329" t="s">
        <v>402</v>
      </c>
      <c r="C30" s="265">
        <f>ROUND(+'[2]Light Inventory'!$E$10,0)</f>
        <v>59</v>
      </c>
      <c r="D30" s="330">
        <f>+'(JAP4)-Light Tariff Summary'!E6</f>
        <v>0.68</v>
      </c>
      <c r="F30" s="341">
        <f>IF(D30="n/a",0,ROUND(C30*D30*12,0))</f>
        <v>481</v>
      </c>
      <c r="G30" s="330">
        <f>+'(JAP4) LIGHT RD'!P16</f>
        <v>0.68</v>
      </c>
      <c r="H30" s="341">
        <f>ROUND(G30*$C30*12,0)</f>
        <v>481</v>
      </c>
      <c r="I30" s="341"/>
      <c r="L30" s="330"/>
    </row>
    <row r="31" spans="1:20">
      <c r="A31" s="331"/>
      <c r="C31" s="265"/>
      <c r="D31" s="330"/>
      <c r="F31" s="341"/>
      <c r="G31" s="332"/>
      <c r="H31" s="341"/>
      <c r="I31" s="341"/>
    </row>
    <row r="32" spans="1:20">
      <c r="A32" s="329" t="s">
        <v>403</v>
      </c>
      <c r="C32" s="265">
        <f>ROUND(+'[2]Light Inventory'!$E$11,0)</f>
        <v>5</v>
      </c>
      <c r="D32" s="330">
        <f>+'(JAP4)-Light Tariff Summary'!E7</f>
        <v>5.19</v>
      </c>
      <c r="F32" s="341">
        <f>IF(D32="n/a",0,ROUND(C32*D32*12,0))</f>
        <v>311</v>
      </c>
      <c r="G32" s="330">
        <f>+'(JAP4) LIGHT RD'!P18</f>
        <v>5.23</v>
      </c>
      <c r="H32" s="341">
        <f>ROUND(G32*$C32*12,0)</f>
        <v>314</v>
      </c>
      <c r="I32" s="341"/>
      <c r="L32" s="330"/>
    </row>
    <row r="33" spans="1:19">
      <c r="A33" s="329" t="s">
        <v>404</v>
      </c>
      <c r="C33" s="265">
        <f>ROUND(+'[2]Light Inventory'!$E$12,0)</f>
        <v>19</v>
      </c>
      <c r="D33" s="330">
        <f>+'(JAP4)-Light Tariff Summary'!E8</f>
        <v>7.5</v>
      </c>
      <c r="F33" s="341">
        <f>IF(D33="n/a",0,ROUND(C33*D33*12,0))</f>
        <v>1710</v>
      </c>
      <c r="G33" s="330">
        <f>+'(JAP4) LIGHT RD'!P19</f>
        <v>7.55</v>
      </c>
      <c r="H33" s="341">
        <f>ROUND(G33*$C33*12,0)</f>
        <v>1721</v>
      </c>
      <c r="I33" s="341"/>
      <c r="L33" s="330"/>
    </row>
    <row r="34" spans="1:19">
      <c r="A34" s="329" t="s">
        <v>405</v>
      </c>
      <c r="C34" s="265">
        <f>ROUND(+'[2]Light Inventory'!$E$13,0)</f>
        <v>20</v>
      </c>
      <c r="D34" s="330">
        <f>+'(JAP4)-Light Tariff Summary'!E9</f>
        <v>14.45</v>
      </c>
      <c r="F34" s="341">
        <f>IF(D34="n/a",0,ROUND(C34*D34*12,0))</f>
        <v>3468</v>
      </c>
      <c r="G34" s="330">
        <f>+'(JAP4) LIGHT RD'!P20</f>
        <v>14.52</v>
      </c>
      <c r="H34" s="341">
        <f>ROUND(G34*$C34*12,0)</f>
        <v>3485</v>
      </c>
      <c r="I34" s="341"/>
      <c r="L34" s="330"/>
    </row>
    <row r="35" spans="1:19">
      <c r="A35" s="331"/>
      <c r="C35" s="265"/>
      <c r="D35" s="332"/>
      <c r="F35" s="341"/>
      <c r="G35" s="332"/>
      <c r="H35" s="341"/>
      <c r="I35" s="341"/>
      <c r="L35" s="330"/>
    </row>
    <row r="36" spans="1:19">
      <c r="A36" s="329" t="s">
        <v>406</v>
      </c>
      <c r="C36" s="265">
        <v>0</v>
      </c>
      <c r="D36" s="330">
        <f>+'(JAP4)-Light Tariff Summary'!E11</f>
        <v>3.09</v>
      </c>
      <c r="F36" s="341">
        <f>IF(D36="n/a",0,ROUND(C36*D36*12,0))</f>
        <v>0</v>
      </c>
      <c r="G36" s="330">
        <f>+'(JAP4) LIGHT RD'!P21</f>
        <v>3.0999999999999996</v>
      </c>
      <c r="H36" s="341">
        <f>ROUND(G36*$C36*12,0)</f>
        <v>0</v>
      </c>
      <c r="I36" s="341"/>
      <c r="L36" s="330"/>
    </row>
    <row r="37" spans="1:19">
      <c r="A37" s="329" t="s">
        <v>407</v>
      </c>
      <c r="C37" s="265">
        <f>ROUND(+'[2]Light Inventory'!$E$14,0)</f>
        <v>1</v>
      </c>
      <c r="D37" s="330">
        <f>+'(JAP4)-Light Tariff Summary'!E12</f>
        <v>5.4</v>
      </c>
      <c r="F37" s="341">
        <f>IF(D37="n/a",0,ROUND(C37*D37*12,0))</f>
        <v>65</v>
      </c>
      <c r="G37" s="330">
        <f>+'(JAP4) LIGHT RD'!P22</f>
        <v>5.41</v>
      </c>
      <c r="H37" s="341">
        <f>ROUND(G37*$C37*12,0)</f>
        <v>65</v>
      </c>
      <c r="I37" s="341"/>
      <c r="L37" s="330"/>
    </row>
    <row r="38" spans="1:19">
      <c r="A38" s="329" t="s">
        <v>408</v>
      </c>
      <c r="C38" s="265">
        <v>0</v>
      </c>
      <c r="D38" s="330">
        <f>+'(JAP4)-Light Tariff Summary'!E13</f>
        <v>12.35</v>
      </c>
      <c r="F38" s="341">
        <f>IF(D38="n/a",0,ROUND(C38*D38*12,0))</f>
        <v>0</v>
      </c>
      <c r="G38" s="330">
        <f>+'(JAP4) LIGHT RD'!P23</f>
        <v>12.379999999999999</v>
      </c>
      <c r="H38" s="341">
        <f>ROUND(G38*$C38*12,0)</f>
        <v>0</v>
      </c>
      <c r="I38" s="341"/>
      <c r="L38" s="330"/>
    </row>
    <row r="39" spans="1:19">
      <c r="A39" s="329" t="s">
        <v>409</v>
      </c>
      <c r="C39" s="265">
        <v>0</v>
      </c>
      <c r="D39" s="330">
        <f>+'(JAP4)-Light Tariff Summary'!E14</f>
        <v>21.61</v>
      </c>
      <c r="F39" s="341">
        <f>IF(D39="n/a",0,ROUND(C39*D39*12,0))</f>
        <v>0</v>
      </c>
      <c r="G39" s="330">
        <f>+'(JAP4) LIGHT RD'!P24</f>
        <v>21.669999999999998</v>
      </c>
      <c r="H39" s="341">
        <f>ROUND(G39*$C39*12,0)</f>
        <v>0</v>
      </c>
      <c r="I39" s="341"/>
      <c r="L39" s="330"/>
    </row>
    <row r="40" spans="1:19">
      <c r="A40" s="333" t="s">
        <v>35</v>
      </c>
      <c r="C40" s="334">
        <f>SUM(C30:C39)</f>
        <v>104</v>
      </c>
      <c r="D40" s="335"/>
      <c r="F40" s="152">
        <f>SUM(F30:F39)</f>
        <v>6035</v>
      </c>
      <c r="G40" s="335"/>
      <c r="H40" s="152">
        <f>SUM(H30:H39)</f>
        <v>6066</v>
      </c>
      <c r="I40" s="341"/>
      <c r="L40" s="330"/>
    </row>
    <row r="41" spans="1:19">
      <c r="A41" s="329"/>
      <c r="C41" s="265"/>
      <c r="D41" s="335"/>
      <c r="F41" s="341"/>
      <c r="G41" s="335"/>
      <c r="H41" s="341"/>
      <c r="I41" s="341"/>
      <c r="L41" s="330"/>
    </row>
    <row r="42" spans="1:19">
      <c r="A42" s="116" t="s">
        <v>1023</v>
      </c>
      <c r="B42" s="72"/>
      <c r="C42" s="62">
        <v>133</v>
      </c>
      <c r="D42" s="332"/>
      <c r="F42" s="341"/>
      <c r="G42" s="332"/>
      <c r="H42" s="341"/>
      <c r="I42" s="341"/>
    </row>
    <row r="43" spans="1:19">
      <c r="A43" s="331"/>
      <c r="C43" s="265"/>
      <c r="D43" s="332"/>
      <c r="F43" s="341"/>
      <c r="G43" s="332"/>
      <c r="H43" s="341"/>
      <c r="I43" s="341"/>
    </row>
    <row r="44" spans="1:19">
      <c r="A44" s="337" t="s">
        <v>410</v>
      </c>
      <c r="B44" s="338"/>
      <c r="C44" s="339">
        <f>SUM('[2]Billed kWh'!$E$49,'[2]Billed kWh'!$E$52)</f>
        <v>61906.667000000001</v>
      </c>
      <c r="D44" s="338"/>
      <c r="E44" s="340"/>
      <c r="F44" s="341"/>
      <c r="G44" s="338"/>
      <c r="H44" s="342"/>
      <c r="I44" s="340"/>
      <c r="J44" s="338"/>
      <c r="K44" s="343"/>
      <c r="L44" s="338"/>
      <c r="M44" s="338"/>
      <c r="N44" s="338"/>
      <c r="O44" s="338"/>
      <c r="P44" s="338"/>
      <c r="Q44" s="338"/>
      <c r="R44" s="338"/>
      <c r="S44" s="338"/>
    </row>
    <row r="45" spans="1:19">
      <c r="A45" s="337" t="s">
        <v>411</v>
      </c>
      <c r="C45" s="265">
        <f>SUM('[2]Unbilled Change kWh'!$E$49,'[2]Unbilled Change kWh'!$E$52)</f>
        <v>-200</v>
      </c>
      <c r="D45" s="344">
        <f>ROUND(F45/C45,6)</f>
        <v>-0.02</v>
      </c>
      <c r="E45" s="345"/>
      <c r="F45" s="341">
        <f>$P$13</f>
        <v>4</v>
      </c>
      <c r="G45" s="344">
        <f>ROUND(H45/C45,6)</f>
        <v>-0.02</v>
      </c>
      <c r="H45" s="341">
        <f>ROUND(+F45*(1+$O$24),0)</f>
        <v>4</v>
      </c>
      <c r="I45" s="345"/>
      <c r="J45" s="88"/>
      <c r="K45" s="525"/>
      <c r="L45" s="525"/>
      <c r="M45" s="376"/>
      <c r="N45" s="376"/>
      <c r="O45" s="376"/>
      <c r="P45" s="376"/>
      <c r="Q45" s="376"/>
      <c r="R45" s="376"/>
      <c r="S45" s="376"/>
    </row>
    <row r="46" spans="1:19" ht="16.5" thickBot="1">
      <c r="A46" s="119" t="s">
        <v>36</v>
      </c>
      <c r="C46" s="346">
        <f>SUM(C44:C45)</f>
        <v>61706.667000000001</v>
      </c>
      <c r="D46" s="64"/>
      <c r="F46" s="347">
        <f>SUM(F45,F40)</f>
        <v>6039</v>
      </c>
      <c r="G46" s="64"/>
      <c r="H46" s="347">
        <f>SUM(H45,H40)</f>
        <v>6070</v>
      </c>
    </row>
    <row r="47" spans="1:19" ht="16.5" thickTop="1">
      <c r="A47" s="348"/>
      <c r="C47" s="70"/>
      <c r="D47" s="64"/>
      <c r="E47" s="64"/>
      <c r="F47" s="64"/>
      <c r="G47" s="64"/>
      <c r="H47" s="64"/>
      <c r="I47" s="64"/>
    </row>
    <row r="48" spans="1:19">
      <c r="A48" s="544" t="s">
        <v>47</v>
      </c>
      <c r="B48" s="544"/>
      <c r="C48" s="544"/>
      <c r="D48" s="544"/>
      <c r="E48" s="544"/>
      <c r="F48" s="544"/>
      <c r="G48" s="544"/>
      <c r="H48" s="544"/>
      <c r="I48" s="72"/>
    </row>
    <row r="49" spans="1:14">
      <c r="A49" s="72"/>
      <c r="B49" s="72"/>
      <c r="C49" s="72"/>
      <c r="D49" s="72"/>
      <c r="E49" s="72"/>
      <c r="F49" s="72"/>
      <c r="G49" s="72"/>
      <c r="H49" s="72"/>
      <c r="I49" s="72"/>
    </row>
    <row r="50" spans="1:14">
      <c r="A50" s="449" t="s">
        <v>412</v>
      </c>
      <c r="C50" s="265">
        <f>ROUND(+'[2]Light Inventory'!$E$16,0)</f>
        <v>75</v>
      </c>
      <c r="D50" s="330">
        <f>+'(JAP4)-Light Tariff Summary'!E19</f>
        <v>1.39</v>
      </c>
      <c r="F50" s="341">
        <f t="shared" ref="F50:F103" si="4">IF(D50="n/a",0,ROUND(C50*D50*12,0))</f>
        <v>1251</v>
      </c>
      <c r="G50" s="330">
        <f>+'(JAP4) LIGHT RD'!P27</f>
        <v>1.39</v>
      </c>
      <c r="H50" s="341">
        <f>ROUND(G50*$C50*12,0)</f>
        <v>1251</v>
      </c>
      <c r="I50" s="72"/>
      <c r="L50" s="265"/>
      <c r="N50" s="265"/>
    </row>
    <row r="51" spans="1:14">
      <c r="A51" s="449" t="s">
        <v>413</v>
      </c>
      <c r="B51" s="72"/>
      <c r="C51" s="265">
        <f>ROUND(+'[2]Light Inventory'!$E$17,0)</f>
        <v>94</v>
      </c>
      <c r="D51" s="330">
        <f>+D50</f>
        <v>1.39</v>
      </c>
      <c r="F51" s="341">
        <f t="shared" si="4"/>
        <v>1568</v>
      </c>
      <c r="G51" s="330">
        <f>+G50</f>
        <v>1.39</v>
      </c>
      <c r="H51" s="341">
        <f t="shared" ref="H51:H103" si="5">ROUND(G51*$C51*12,0)</f>
        <v>1568</v>
      </c>
      <c r="I51" s="72"/>
      <c r="L51" s="265"/>
      <c r="N51" s="265"/>
    </row>
    <row r="52" spans="1:14">
      <c r="A52" s="449" t="s">
        <v>414</v>
      </c>
      <c r="B52" s="72"/>
      <c r="C52" s="265">
        <f>ROUND(+'[2]Light Inventory'!$E$18,0)</f>
        <v>72</v>
      </c>
      <c r="D52" s="330">
        <f t="shared" ref="D52:D55" si="6">+D51</f>
        <v>1.39</v>
      </c>
      <c r="F52" s="341">
        <f t="shared" si="4"/>
        <v>1201</v>
      </c>
      <c r="G52" s="330">
        <f>+G51</f>
        <v>1.39</v>
      </c>
      <c r="H52" s="341">
        <f t="shared" si="5"/>
        <v>1201</v>
      </c>
      <c r="I52" s="72"/>
      <c r="L52" s="265"/>
      <c r="N52" s="265"/>
    </row>
    <row r="53" spans="1:14">
      <c r="A53" s="449" t="s">
        <v>415</v>
      </c>
      <c r="B53" s="72"/>
      <c r="C53" s="265">
        <f>ROUND(+'[2]Light Inventory'!$E$19,0)</f>
        <v>58</v>
      </c>
      <c r="D53" s="330">
        <f t="shared" si="6"/>
        <v>1.39</v>
      </c>
      <c r="F53" s="341">
        <f t="shared" si="4"/>
        <v>967</v>
      </c>
      <c r="G53" s="330">
        <f>+G52</f>
        <v>1.39</v>
      </c>
      <c r="H53" s="341">
        <f t="shared" si="5"/>
        <v>967</v>
      </c>
      <c r="I53" s="72"/>
      <c r="L53" s="265"/>
      <c r="N53" s="265"/>
    </row>
    <row r="54" spans="1:14">
      <c r="A54" s="449" t="s">
        <v>416</v>
      </c>
      <c r="B54" s="72"/>
      <c r="C54" s="265">
        <f>ROUND(+'[2]Light Inventory'!$E$20,0)</f>
        <v>1038</v>
      </c>
      <c r="D54" s="330">
        <f t="shared" si="6"/>
        <v>1.39</v>
      </c>
      <c r="F54" s="341">
        <f t="shared" si="4"/>
        <v>17314</v>
      </c>
      <c r="G54" s="330">
        <f>+G53</f>
        <v>1.39</v>
      </c>
      <c r="H54" s="341">
        <f t="shared" si="5"/>
        <v>17314</v>
      </c>
      <c r="I54" s="72"/>
      <c r="L54" s="265"/>
      <c r="N54" s="265"/>
    </row>
    <row r="55" spans="1:14">
      <c r="A55" s="449" t="s">
        <v>417</v>
      </c>
      <c r="B55" s="72"/>
      <c r="C55" s="265">
        <f>ROUND(+'[2]Light Inventory'!$E$21,0)</f>
        <v>315</v>
      </c>
      <c r="D55" s="330">
        <f t="shared" si="6"/>
        <v>1.39</v>
      </c>
      <c r="F55" s="341">
        <f t="shared" si="4"/>
        <v>5254</v>
      </c>
      <c r="G55" s="330">
        <f>+G54</f>
        <v>1.39</v>
      </c>
      <c r="H55" s="341">
        <f t="shared" si="5"/>
        <v>5254</v>
      </c>
      <c r="I55" s="72"/>
      <c r="L55" s="265"/>
      <c r="N55" s="265"/>
    </row>
    <row r="56" spans="1:14">
      <c r="A56" s="449" t="s">
        <v>418</v>
      </c>
      <c r="B56" s="72"/>
      <c r="C56" s="265">
        <f>ROUND(+'[2]Light Inventory'!$E$22,0)</f>
        <v>51</v>
      </c>
      <c r="D56" s="330">
        <f>+'(JAP4)-Light Tariff Summary'!E20</f>
        <v>2.3199999999999998</v>
      </c>
      <c r="F56" s="341">
        <f t="shared" si="4"/>
        <v>1420</v>
      </c>
      <c r="G56" s="330">
        <f>+'(JAP4) LIGHT RD'!P28</f>
        <v>2.3299999999999996</v>
      </c>
      <c r="H56" s="341">
        <f t="shared" si="5"/>
        <v>1426</v>
      </c>
      <c r="I56" s="72"/>
      <c r="L56" s="265"/>
      <c r="N56" s="265"/>
    </row>
    <row r="57" spans="1:14">
      <c r="A57" s="449" t="s">
        <v>419</v>
      </c>
      <c r="B57" s="72"/>
      <c r="C57" s="265">
        <f>ROUND(+'[2]Light Inventory'!$E$23,0)</f>
        <v>82</v>
      </c>
      <c r="D57" s="330">
        <f>+D56</f>
        <v>2.3199999999999998</v>
      </c>
      <c r="F57" s="341">
        <f t="shared" si="4"/>
        <v>2283</v>
      </c>
      <c r="G57" s="330">
        <f>+G56</f>
        <v>2.3299999999999996</v>
      </c>
      <c r="H57" s="341">
        <f t="shared" si="5"/>
        <v>2293</v>
      </c>
      <c r="I57" s="72"/>
      <c r="L57" s="265"/>
      <c r="N57" s="265"/>
    </row>
    <row r="58" spans="1:14">
      <c r="A58" s="449" t="s">
        <v>420</v>
      </c>
      <c r="B58" s="72"/>
      <c r="C58" s="265">
        <f>ROUND(+'[2]Light Inventory'!$E$24,0)</f>
        <v>645</v>
      </c>
      <c r="D58" s="330">
        <f t="shared" ref="D58:D61" si="7">+D57</f>
        <v>2.3199999999999998</v>
      </c>
      <c r="F58" s="341">
        <f t="shared" si="4"/>
        <v>17957</v>
      </c>
      <c r="G58" s="330">
        <f>+G57</f>
        <v>2.3299999999999996</v>
      </c>
      <c r="H58" s="341">
        <f t="shared" si="5"/>
        <v>18034</v>
      </c>
      <c r="I58" s="72"/>
      <c r="L58" s="265"/>
      <c r="N58" s="265"/>
    </row>
    <row r="59" spans="1:14">
      <c r="A59" s="449" t="s">
        <v>421</v>
      </c>
      <c r="B59" s="72"/>
      <c r="C59" s="265">
        <f>ROUND(+'[2]Light Inventory'!$E$25,0)</f>
        <v>88</v>
      </c>
      <c r="D59" s="330">
        <f t="shared" si="7"/>
        <v>2.3199999999999998</v>
      </c>
      <c r="F59" s="341">
        <f t="shared" si="4"/>
        <v>2450</v>
      </c>
      <c r="G59" s="330">
        <f>+G58</f>
        <v>2.3299999999999996</v>
      </c>
      <c r="H59" s="341">
        <f t="shared" si="5"/>
        <v>2460</v>
      </c>
      <c r="I59" s="72"/>
      <c r="L59" s="265"/>
      <c r="N59" s="265"/>
    </row>
    <row r="60" spans="1:14">
      <c r="A60" s="449" t="s">
        <v>422</v>
      </c>
      <c r="B60" s="72"/>
      <c r="C60" s="265">
        <f>ROUND(+'[2]Light Inventory'!$E$26,0)</f>
        <v>10</v>
      </c>
      <c r="D60" s="330">
        <f t="shared" si="7"/>
        <v>2.3199999999999998</v>
      </c>
      <c r="F60" s="341">
        <f t="shared" si="4"/>
        <v>278</v>
      </c>
      <c r="G60" s="330">
        <f>+G59</f>
        <v>2.3299999999999996</v>
      </c>
      <c r="H60" s="341">
        <f t="shared" si="5"/>
        <v>280</v>
      </c>
      <c r="I60" s="72"/>
      <c r="L60" s="265"/>
      <c r="N60" s="265"/>
    </row>
    <row r="61" spans="1:14">
      <c r="A61" s="449" t="s">
        <v>423</v>
      </c>
      <c r="B61" s="72"/>
      <c r="C61" s="265">
        <f>ROUND(+'[2]Light Inventory'!$E$27,0)</f>
        <v>25</v>
      </c>
      <c r="D61" s="330">
        <f t="shared" si="7"/>
        <v>2.3199999999999998</v>
      </c>
      <c r="F61" s="341">
        <f t="shared" si="4"/>
        <v>696</v>
      </c>
      <c r="G61" s="330">
        <f>+G60</f>
        <v>2.3299999999999996</v>
      </c>
      <c r="H61" s="341">
        <f t="shared" si="5"/>
        <v>699</v>
      </c>
      <c r="I61" s="72"/>
      <c r="L61" s="265"/>
      <c r="N61" s="265"/>
    </row>
    <row r="62" spans="1:14">
      <c r="A62" s="449" t="s">
        <v>424</v>
      </c>
      <c r="B62" s="72"/>
      <c r="C62" s="265">
        <f>ROUND(+'[2]Light Inventory'!$E$28,0)</f>
        <v>72</v>
      </c>
      <c r="D62" s="330">
        <f>+'(JAP4)-Light Tariff Summary'!E21</f>
        <v>3.24</v>
      </c>
      <c r="F62" s="341">
        <f t="shared" si="4"/>
        <v>2799</v>
      </c>
      <c r="G62" s="330">
        <f>+'(JAP4) LIGHT RD'!P29</f>
        <v>3.25</v>
      </c>
      <c r="H62" s="341">
        <f t="shared" si="5"/>
        <v>2808</v>
      </c>
      <c r="I62" s="72"/>
      <c r="L62" s="265"/>
      <c r="N62" s="265"/>
    </row>
    <row r="63" spans="1:14">
      <c r="A63" s="449" t="s">
        <v>425</v>
      </c>
      <c r="B63" s="72"/>
      <c r="C63" s="265">
        <f>ROUND(+'[2]Light Inventory'!$E$29,0)</f>
        <v>279</v>
      </c>
      <c r="D63" s="330">
        <f>+D62</f>
        <v>3.24</v>
      </c>
      <c r="F63" s="341">
        <f t="shared" si="4"/>
        <v>10848</v>
      </c>
      <c r="G63" s="330">
        <f>+G62</f>
        <v>3.25</v>
      </c>
      <c r="H63" s="341">
        <f t="shared" si="5"/>
        <v>10881</v>
      </c>
      <c r="I63" s="72"/>
      <c r="L63" s="265"/>
      <c r="N63" s="265"/>
    </row>
    <row r="64" spans="1:14">
      <c r="A64" s="449" t="s">
        <v>426</v>
      </c>
      <c r="B64" s="72"/>
      <c r="C64" s="265">
        <f>ROUND(+'[2]Light Inventory'!$E$30,0)</f>
        <v>168</v>
      </c>
      <c r="D64" s="330">
        <f t="shared" ref="D64:D67" si="8">+D63</f>
        <v>3.24</v>
      </c>
      <c r="F64" s="341">
        <f t="shared" si="4"/>
        <v>6532</v>
      </c>
      <c r="G64" s="330">
        <f>+G63</f>
        <v>3.25</v>
      </c>
      <c r="H64" s="341">
        <f t="shared" si="5"/>
        <v>6552</v>
      </c>
      <c r="I64" s="72"/>
      <c r="L64" s="265"/>
      <c r="N64" s="265"/>
    </row>
    <row r="65" spans="1:14">
      <c r="A65" s="449" t="s">
        <v>427</v>
      </c>
      <c r="B65" s="72"/>
      <c r="C65" s="265">
        <f>ROUND(+'[2]Light Inventory'!$E$31,0)</f>
        <v>22</v>
      </c>
      <c r="D65" s="330">
        <f t="shared" si="8"/>
        <v>3.24</v>
      </c>
      <c r="F65" s="341">
        <f t="shared" si="4"/>
        <v>855</v>
      </c>
      <c r="G65" s="330">
        <f>+G64</f>
        <v>3.25</v>
      </c>
      <c r="H65" s="341">
        <f t="shared" si="5"/>
        <v>858</v>
      </c>
      <c r="I65" s="72"/>
      <c r="L65" s="265"/>
      <c r="N65" s="265"/>
    </row>
    <row r="66" spans="1:14">
      <c r="A66" s="449" t="s">
        <v>428</v>
      </c>
      <c r="B66" s="72"/>
      <c r="C66" s="265">
        <v>0</v>
      </c>
      <c r="D66" s="330">
        <f t="shared" si="8"/>
        <v>3.24</v>
      </c>
      <c r="F66" s="341">
        <f t="shared" si="4"/>
        <v>0</v>
      </c>
      <c r="G66" s="330">
        <f>+G65</f>
        <v>3.25</v>
      </c>
      <c r="H66" s="341">
        <f t="shared" si="5"/>
        <v>0</v>
      </c>
      <c r="I66" s="72"/>
    </row>
    <row r="67" spans="1:14">
      <c r="A67" s="449" t="s">
        <v>429</v>
      </c>
      <c r="B67" s="72"/>
      <c r="C67" s="265">
        <f>ROUND(+'[2]Light Inventory'!$E$32,0)</f>
        <v>15</v>
      </c>
      <c r="D67" s="330">
        <f t="shared" si="8"/>
        <v>3.24</v>
      </c>
      <c r="F67" s="341">
        <f t="shared" si="4"/>
        <v>583</v>
      </c>
      <c r="G67" s="330">
        <f>+G66</f>
        <v>3.25</v>
      </c>
      <c r="H67" s="341">
        <f t="shared" si="5"/>
        <v>585</v>
      </c>
      <c r="I67" s="72"/>
      <c r="L67" s="265"/>
      <c r="N67" s="265"/>
    </row>
    <row r="68" spans="1:14">
      <c r="A68" s="449" t="s">
        <v>430</v>
      </c>
      <c r="B68" s="72"/>
      <c r="C68" s="265">
        <f>ROUND(+'[2]Light Inventory'!$E$33,0)</f>
        <v>2</v>
      </c>
      <c r="D68" s="330">
        <f>+'(JAP4)-Light Tariff Summary'!E22</f>
        <v>4.17</v>
      </c>
      <c r="F68" s="341">
        <f t="shared" si="4"/>
        <v>100</v>
      </c>
      <c r="G68" s="330">
        <f>+'(JAP4) LIGHT RD'!P30</f>
        <v>4.18</v>
      </c>
      <c r="H68" s="341">
        <f t="shared" si="5"/>
        <v>100</v>
      </c>
      <c r="I68" s="72"/>
      <c r="L68" s="265"/>
      <c r="N68" s="265"/>
    </row>
    <row r="69" spans="1:14">
      <c r="A69" s="449" t="s">
        <v>431</v>
      </c>
      <c r="B69" s="72"/>
      <c r="C69" s="265">
        <f>ROUND(+'[2]Light Inventory'!$E$34,0)</f>
        <v>23</v>
      </c>
      <c r="D69" s="330">
        <f>+D68</f>
        <v>4.17</v>
      </c>
      <c r="F69" s="341">
        <f t="shared" si="4"/>
        <v>1151</v>
      </c>
      <c r="G69" s="330">
        <f>+G68</f>
        <v>4.18</v>
      </c>
      <c r="H69" s="341">
        <f t="shared" si="5"/>
        <v>1154</v>
      </c>
      <c r="I69" s="72"/>
      <c r="L69" s="265"/>
      <c r="N69" s="265"/>
    </row>
    <row r="70" spans="1:14">
      <c r="A70" s="449" t="s">
        <v>432</v>
      </c>
      <c r="B70" s="72"/>
      <c r="C70" s="265">
        <f>ROUND(+'[2]Light Inventory'!$E$35,0)</f>
        <v>21</v>
      </c>
      <c r="D70" s="330">
        <f t="shared" ref="D70:D73" si="9">+D69</f>
        <v>4.17</v>
      </c>
      <c r="F70" s="341">
        <f t="shared" si="4"/>
        <v>1051</v>
      </c>
      <c r="G70" s="330">
        <f>+G69</f>
        <v>4.18</v>
      </c>
      <c r="H70" s="341">
        <f t="shared" si="5"/>
        <v>1053</v>
      </c>
      <c r="I70" s="72"/>
      <c r="L70" s="265"/>
      <c r="N70" s="265"/>
    </row>
    <row r="71" spans="1:14">
      <c r="A71" s="449" t="s">
        <v>433</v>
      </c>
      <c r="B71" s="72"/>
      <c r="C71" s="265">
        <f>ROUND(+'[2]Light Inventory'!$E$36,0)</f>
        <v>125</v>
      </c>
      <c r="D71" s="330">
        <f t="shared" si="9"/>
        <v>4.17</v>
      </c>
      <c r="F71" s="341">
        <f t="shared" si="4"/>
        <v>6255</v>
      </c>
      <c r="G71" s="330">
        <f>+G70</f>
        <v>4.18</v>
      </c>
      <c r="H71" s="341">
        <f t="shared" si="5"/>
        <v>6270</v>
      </c>
      <c r="I71" s="72"/>
      <c r="L71" s="265"/>
      <c r="N71" s="265"/>
    </row>
    <row r="72" spans="1:14">
      <c r="A72" s="449" t="s">
        <v>434</v>
      </c>
      <c r="B72" s="72"/>
      <c r="C72" s="265">
        <v>0</v>
      </c>
      <c r="D72" s="330">
        <f t="shared" si="9"/>
        <v>4.17</v>
      </c>
      <c r="F72" s="341">
        <f t="shared" si="4"/>
        <v>0</v>
      </c>
      <c r="G72" s="330">
        <f>+G71</f>
        <v>4.18</v>
      </c>
      <c r="H72" s="341">
        <f t="shared" si="5"/>
        <v>0</v>
      </c>
      <c r="I72" s="72"/>
    </row>
    <row r="73" spans="1:14">
      <c r="A73" s="449" t="s">
        <v>435</v>
      </c>
      <c r="B73" s="72"/>
      <c r="C73" s="265">
        <f>ROUND(+'[2]Light Inventory'!$E$37,0)</f>
        <v>85</v>
      </c>
      <c r="D73" s="330">
        <f t="shared" si="9"/>
        <v>4.17</v>
      </c>
      <c r="F73" s="341">
        <f t="shared" si="4"/>
        <v>4253</v>
      </c>
      <c r="G73" s="330">
        <f>+G72</f>
        <v>4.18</v>
      </c>
      <c r="H73" s="341">
        <f t="shared" si="5"/>
        <v>4264</v>
      </c>
      <c r="I73" s="72"/>
      <c r="L73" s="265"/>
      <c r="N73" s="265"/>
    </row>
    <row r="74" spans="1:14">
      <c r="A74" s="449" t="s">
        <v>436</v>
      </c>
      <c r="B74" s="72"/>
      <c r="C74" s="265">
        <f>ROUND(+'[2]Light Inventory'!$E$38,0)</f>
        <v>10</v>
      </c>
      <c r="D74" s="330">
        <f>+'(JAP4)-Light Tariff Summary'!E23</f>
        <v>5.09</v>
      </c>
      <c r="F74" s="341">
        <f t="shared" si="4"/>
        <v>611</v>
      </c>
      <c r="G74" s="330">
        <f>+'(JAP4) LIGHT RD'!P31</f>
        <v>5.0999999999999996</v>
      </c>
      <c r="H74" s="341">
        <f t="shared" si="5"/>
        <v>612</v>
      </c>
      <c r="I74" s="72"/>
      <c r="L74" s="265"/>
      <c r="N74" s="265"/>
    </row>
    <row r="75" spans="1:14">
      <c r="A75" s="449" t="s">
        <v>437</v>
      </c>
      <c r="B75" s="72"/>
      <c r="C75" s="265">
        <f>ROUND(+'[2]Light Inventory'!$E$39,0)</f>
        <v>15</v>
      </c>
      <c r="D75" s="330">
        <f>+D74</f>
        <v>5.09</v>
      </c>
      <c r="F75" s="341">
        <f t="shared" si="4"/>
        <v>916</v>
      </c>
      <c r="G75" s="330">
        <f>+G74</f>
        <v>5.0999999999999996</v>
      </c>
      <c r="H75" s="341">
        <f t="shared" si="5"/>
        <v>918</v>
      </c>
      <c r="I75" s="72"/>
      <c r="L75" s="265"/>
      <c r="N75" s="265"/>
    </row>
    <row r="76" spans="1:14">
      <c r="A76" s="449" t="s">
        <v>438</v>
      </c>
      <c r="B76" s="72"/>
      <c r="C76" s="265">
        <f>ROUND(+'[2]Light Inventory'!$E$40,0)</f>
        <v>17</v>
      </c>
      <c r="D76" s="330">
        <f t="shared" ref="D76:D79" si="10">+D75</f>
        <v>5.09</v>
      </c>
      <c r="F76" s="341">
        <f t="shared" si="4"/>
        <v>1038</v>
      </c>
      <c r="G76" s="330">
        <f>+G75</f>
        <v>5.0999999999999996</v>
      </c>
      <c r="H76" s="341">
        <f t="shared" si="5"/>
        <v>1040</v>
      </c>
      <c r="I76" s="72"/>
      <c r="L76" s="265"/>
      <c r="N76" s="265"/>
    </row>
    <row r="77" spans="1:14">
      <c r="A77" s="449" t="s">
        <v>439</v>
      </c>
      <c r="B77" s="72"/>
      <c r="C77" s="265">
        <f>ROUND(+'[2]Light Inventory'!$E$41,0)</f>
        <v>4</v>
      </c>
      <c r="D77" s="330">
        <f t="shared" si="10"/>
        <v>5.09</v>
      </c>
      <c r="F77" s="341">
        <f t="shared" si="4"/>
        <v>244</v>
      </c>
      <c r="G77" s="330">
        <f>+G76</f>
        <v>5.0999999999999996</v>
      </c>
      <c r="H77" s="341">
        <f t="shared" si="5"/>
        <v>245</v>
      </c>
      <c r="I77" s="72"/>
      <c r="L77" s="265"/>
      <c r="N77" s="265"/>
    </row>
    <row r="78" spans="1:14">
      <c r="A78" s="449" t="s">
        <v>440</v>
      </c>
      <c r="B78" s="72"/>
      <c r="C78" s="265">
        <v>0</v>
      </c>
      <c r="D78" s="330">
        <f t="shared" si="10"/>
        <v>5.09</v>
      </c>
      <c r="F78" s="341">
        <f t="shared" si="4"/>
        <v>0</v>
      </c>
      <c r="G78" s="330">
        <f>+G77</f>
        <v>5.0999999999999996</v>
      </c>
      <c r="H78" s="341">
        <f t="shared" si="5"/>
        <v>0</v>
      </c>
      <c r="I78" s="72"/>
    </row>
    <row r="79" spans="1:14">
      <c r="A79" s="449" t="s">
        <v>441</v>
      </c>
      <c r="B79" s="72"/>
      <c r="C79" s="265">
        <f>ROUND(+'[2]Light Inventory'!$E$42,0)</f>
        <v>2</v>
      </c>
      <c r="D79" s="330">
        <f t="shared" si="10"/>
        <v>5.09</v>
      </c>
      <c r="F79" s="341">
        <f t="shared" si="4"/>
        <v>122</v>
      </c>
      <c r="G79" s="330">
        <f>+G78</f>
        <v>5.0999999999999996</v>
      </c>
      <c r="H79" s="341">
        <f t="shared" si="5"/>
        <v>122</v>
      </c>
      <c r="I79" s="72"/>
      <c r="L79" s="265"/>
      <c r="N79" s="265"/>
    </row>
    <row r="80" spans="1:14">
      <c r="A80" s="449" t="s">
        <v>442</v>
      </c>
      <c r="B80" s="72"/>
      <c r="C80" s="265">
        <v>0</v>
      </c>
      <c r="D80" s="330">
        <f>+'(JAP4)-Light Tariff Summary'!E24</f>
        <v>6.02</v>
      </c>
      <c r="F80" s="341">
        <f t="shared" si="4"/>
        <v>0</v>
      </c>
      <c r="G80" s="330">
        <f>+'(JAP4) LIGHT RD'!P32</f>
        <v>6.0399999999999991</v>
      </c>
      <c r="H80" s="341">
        <f t="shared" si="5"/>
        <v>0</v>
      </c>
      <c r="I80" s="72"/>
    </row>
    <row r="81" spans="1:14">
      <c r="A81" s="449" t="s">
        <v>443</v>
      </c>
      <c r="B81" s="72"/>
      <c r="C81" s="265">
        <v>0</v>
      </c>
      <c r="D81" s="330">
        <f>+D80</f>
        <v>6.02</v>
      </c>
      <c r="F81" s="341">
        <f t="shared" si="4"/>
        <v>0</v>
      </c>
      <c r="G81" s="330">
        <f>+G80</f>
        <v>6.0399999999999991</v>
      </c>
      <c r="H81" s="341">
        <f t="shared" si="5"/>
        <v>0</v>
      </c>
      <c r="I81" s="72"/>
    </row>
    <row r="82" spans="1:14">
      <c r="A82" s="449" t="s">
        <v>444</v>
      </c>
      <c r="B82" s="72"/>
      <c r="C82" s="265">
        <v>0</v>
      </c>
      <c r="D82" s="330">
        <f t="shared" ref="D82:D85" si="11">+D81</f>
        <v>6.02</v>
      </c>
      <c r="F82" s="341">
        <f t="shared" si="4"/>
        <v>0</v>
      </c>
      <c r="G82" s="330">
        <f>+G81</f>
        <v>6.0399999999999991</v>
      </c>
      <c r="H82" s="341">
        <f t="shared" si="5"/>
        <v>0</v>
      </c>
      <c r="I82" s="72"/>
    </row>
    <row r="83" spans="1:14">
      <c r="A83" s="449" t="s">
        <v>445</v>
      </c>
      <c r="B83" s="72"/>
      <c r="C83" s="265">
        <f>ROUND(+'[2]Light Inventory'!$E$43,0)</f>
        <v>91</v>
      </c>
      <c r="D83" s="330">
        <f t="shared" si="11"/>
        <v>6.02</v>
      </c>
      <c r="F83" s="341">
        <f t="shared" si="4"/>
        <v>6574</v>
      </c>
      <c r="G83" s="330">
        <f>+G82</f>
        <v>6.0399999999999991</v>
      </c>
      <c r="H83" s="341">
        <f t="shared" si="5"/>
        <v>6596</v>
      </c>
      <c r="I83" s="72"/>
      <c r="L83" s="265"/>
      <c r="N83" s="265"/>
    </row>
    <row r="84" spans="1:14">
      <c r="A84" s="449" t="s">
        <v>446</v>
      </c>
      <c r="B84" s="72"/>
      <c r="C84" s="265">
        <f>ROUND(+'[2]Light Inventory'!$E$44,0)</f>
        <v>67</v>
      </c>
      <c r="D84" s="330">
        <f t="shared" si="11"/>
        <v>6.02</v>
      </c>
      <c r="F84" s="341">
        <f t="shared" si="4"/>
        <v>4840</v>
      </c>
      <c r="G84" s="330">
        <f>+G83</f>
        <v>6.0399999999999991</v>
      </c>
      <c r="H84" s="341">
        <f t="shared" si="5"/>
        <v>4856</v>
      </c>
      <c r="I84" s="72"/>
      <c r="L84" s="265"/>
      <c r="N84" s="265"/>
    </row>
    <row r="85" spans="1:14">
      <c r="A85" s="449" t="s">
        <v>447</v>
      </c>
      <c r="B85" s="72"/>
      <c r="C85" s="265">
        <f>ROUND(+'[2]Light Inventory'!$E$45,0)</f>
        <v>6</v>
      </c>
      <c r="D85" s="330">
        <f t="shared" si="11"/>
        <v>6.02</v>
      </c>
      <c r="F85" s="341">
        <f t="shared" si="4"/>
        <v>433</v>
      </c>
      <c r="G85" s="330">
        <f>+G84</f>
        <v>6.0399999999999991</v>
      </c>
      <c r="H85" s="341">
        <f t="shared" si="5"/>
        <v>435</v>
      </c>
      <c r="I85" s="72"/>
      <c r="L85" s="265"/>
      <c r="N85" s="265"/>
    </row>
    <row r="86" spans="1:14">
      <c r="A86" s="449" t="s">
        <v>448</v>
      </c>
      <c r="B86" s="72"/>
      <c r="C86" s="265">
        <v>0</v>
      </c>
      <c r="D86" s="330">
        <f>+'(JAP4)-Light Tariff Summary'!E25</f>
        <v>6.95</v>
      </c>
      <c r="F86" s="341">
        <f t="shared" si="4"/>
        <v>0</v>
      </c>
      <c r="G86" s="330">
        <f>+'(JAP4) LIGHT RD'!P33</f>
        <v>6.97</v>
      </c>
      <c r="H86" s="341">
        <f t="shared" si="5"/>
        <v>0</v>
      </c>
      <c r="I86" s="72"/>
    </row>
    <row r="87" spans="1:14">
      <c r="A87" s="449" t="s">
        <v>449</v>
      </c>
      <c r="B87" s="72"/>
      <c r="C87" s="265">
        <v>0</v>
      </c>
      <c r="D87" s="330">
        <f>+D86</f>
        <v>6.95</v>
      </c>
      <c r="F87" s="341">
        <f t="shared" si="4"/>
        <v>0</v>
      </c>
      <c r="G87" s="330">
        <f>+G86</f>
        <v>6.97</v>
      </c>
      <c r="H87" s="341">
        <f t="shared" si="5"/>
        <v>0</v>
      </c>
      <c r="I87" s="72"/>
    </row>
    <row r="88" spans="1:14">
      <c r="A88" s="449" t="s">
        <v>450</v>
      </c>
      <c r="B88" s="72"/>
      <c r="C88" s="265">
        <v>0</v>
      </c>
      <c r="D88" s="330">
        <f t="shared" ref="D88:D91" si="12">+D87</f>
        <v>6.95</v>
      </c>
      <c r="F88" s="341">
        <f t="shared" si="4"/>
        <v>0</v>
      </c>
      <c r="G88" s="330">
        <f>+G87</f>
        <v>6.97</v>
      </c>
      <c r="H88" s="341">
        <f t="shared" si="5"/>
        <v>0</v>
      </c>
      <c r="I88" s="72"/>
    </row>
    <row r="89" spans="1:14">
      <c r="A89" s="449" t="s">
        <v>451</v>
      </c>
      <c r="B89" s="72"/>
      <c r="C89" s="265">
        <v>0</v>
      </c>
      <c r="D89" s="330">
        <f t="shared" si="12"/>
        <v>6.95</v>
      </c>
      <c r="F89" s="341">
        <f t="shared" si="4"/>
        <v>0</v>
      </c>
      <c r="G89" s="330">
        <f>+G88</f>
        <v>6.97</v>
      </c>
      <c r="H89" s="341">
        <f t="shared" si="5"/>
        <v>0</v>
      </c>
      <c r="I89" s="72"/>
    </row>
    <row r="90" spans="1:14">
      <c r="A90" s="449" t="s">
        <v>452</v>
      </c>
      <c r="B90" s="72"/>
      <c r="C90" s="265">
        <v>0</v>
      </c>
      <c r="D90" s="330">
        <f t="shared" si="12"/>
        <v>6.95</v>
      </c>
      <c r="F90" s="341">
        <f t="shared" si="4"/>
        <v>0</v>
      </c>
      <c r="G90" s="330">
        <f>+G89</f>
        <v>6.97</v>
      </c>
      <c r="H90" s="341">
        <f t="shared" si="5"/>
        <v>0</v>
      </c>
      <c r="I90" s="72"/>
    </row>
    <row r="91" spans="1:14">
      <c r="A91" s="449" t="s">
        <v>453</v>
      </c>
      <c r="B91" s="72"/>
      <c r="C91" s="265">
        <v>0</v>
      </c>
      <c r="D91" s="330">
        <f t="shared" si="12"/>
        <v>6.95</v>
      </c>
      <c r="F91" s="341">
        <f t="shared" si="4"/>
        <v>0</v>
      </c>
      <c r="G91" s="330">
        <f>+G90</f>
        <v>6.97</v>
      </c>
      <c r="H91" s="341">
        <f t="shared" si="5"/>
        <v>0</v>
      </c>
      <c r="I91" s="72"/>
    </row>
    <row r="92" spans="1:14">
      <c r="A92" s="449" t="s">
        <v>454</v>
      </c>
      <c r="B92" s="72"/>
      <c r="C92" s="265">
        <v>0</v>
      </c>
      <c r="D92" s="330">
        <f>+'(JAP4)-Light Tariff Summary'!E26</f>
        <v>7.87</v>
      </c>
      <c r="F92" s="341">
        <f t="shared" si="4"/>
        <v>0</v>
      </c>
      <c r="G92" s="330">
        <f>+'(JAP4) LIGHT RD'!P34</f>
        <v>7.89</v>
      </c>
      <c r="H92" s="341">
        <f t="shared" si="5"/>
        <v>0</v>
      </c>
      <c r="I92" s="72"/>
    </row>
    <row r="93" spans="1:14">
      <c r="A93" s="449" t="s">
        <v>455</v>
      </c>
      <c r="B93" s="72"/>
      <c r="C93" s="265">
        <v>0</v>
      </c>
      <c r="D93" s="330">
        <f>+D92</f>
        <v>7.87</v>
      </c>
      <c r="F93" s="341">
        <f t="shared" si="4"/>
        <v>0</v>
      </c>
      <c r="G93" s="330">
        <f>+G92</f>
        <v>7.89</v>
      </c>
      <c r="H93" s="341">
        <f t="shared" si="5"/>
        <v>0</v>
      </c>
      <c r="I93" s="72"/>
    </row>
    <row r="94" spans="1:14">
      <c r="A94" s="449" t="s">
        <v>456</v>
      </c>
      <c r="B94" s="72"/>
      <c r="C94" s="265">
        <v>0</v>
      </c>
      <c r="D94" s="330">
        <f t="shared" ref="D94:D97" si="13">+D93</f>
        <v>7.87</v>
      </c>
      <c r="F94" s="341">
        <f t="shared" si="4"/>
        <v>0</v>
      </c>
      <c r="G94" s="330">
        <f>+G93</f>
        <v>7.89</v>
      </c>
      <c r="H94" s="341">
        <f t="shared" si="5"/>
        <v>0</v>
      </c>
      <c r="I94" s="72"/>
    </row>
    <row r="95" spans="1:14">
      <c r="A95" s="449" t="s">
        <v>457</v>
      </c>
      <c r="B95" s="72"/>
      <c r="C95" s="265">
        <f>ROUND(+'[2]Light Inventory'!$E$46,0)</f>
        <v>10</v>
      </c>
      <c r="D95" s="330">
        <f t="shared" si="13"/>
        <v>7.87</v>
      </c>
      <c r="F95" s="341">
        <f t="shared" si="4"/>
        <v>944</v>
      </c>
      <c r="G95" s="330">
        <f>+G94</f>
        <v>7.89</v>
      </c>
      <c r="H95" s="341">
        <f t="shared" si="5"/>
        <v>947</v>
      </c>
      <c r="I95" s="72"/>
      <c r="L95" s="265"/>
      <c r="N95" s="265"/>
    </row>
    <row r="96" spans="1:14">
      <c r="A96" s="449" t="s">
        <v>458</v>
      </c>
      <c r="B96" s="72"/>
      <c r="C96" s="265">
        <v>0</v>
      </c>
      <c r="D96" s="330">
        <f t="shared" si="13"/>
        <v>7.87</v>
      </c>
      <c r="F96" s="341">
        <f t="shared" si="4"/>
        <v>0</v>
      </c>
      <c r="G96" s="330">
        <f>+G95</f>
        <v>7.89</v>
      </c>
      <c r="H96" s="341">
        <f t="shared" si="5"/>
        <v>0</v>
      </c>
      <c r="I96" s="72"/>
    </row>
    <row r="97" spans="1:19">
      <c r="A97" s="449" t="s">
        <v>459</v>
      </c>
      <c r="B97" s="72"/>
      <c r="C97" s="265">
        <v>0</v>
      </c>
      <c r="D97" s="330">
        <f t="shared" si="13"/>
        <v>7.87</v>
      </c>
      <c r="F97" s="341">
        <f t="shared" si="4"/>
        <v>0</v>
      </c>
      <c r="G97" s="330">
        <f>+G96</f>
        <v>7.89</v>
      </c>
      <c r="H97" s="341">
        <f t="shared" si="5"/>
        <v>0</v>
      </c>
      <c r="I97" s="72"/>
    </row>
    <row r="98" spans="1:19">
      <c r="A98" s="449" t="s">
        <v>460</v>
      </c>
      <c r="B98" s="72"/>
      <c r="C98" s="265">
        <v>0</v>
      </c>
      <c r="D98" s="330">
        <f>+'(JAP4)-Light Tariff Summary'!E27</f>
        <v>8.8000000000000007</v>
      </c>
      <c r="F98" s="341">
        <f t="shared" si="4"/>
        <v>0</v>
      </c>
      <c r="G98" s="330">
        <f>+'(JAP4) LIGHT RD'!P35</f>
        <v>8.82</v>
      </c>
      <c r="H98" s="341">
        <f t="shared" si="5"/>
        <v>0</v>
      </c>
      <c r="I98" s="72"/>
    </row>
    <row r="99" spans="1:19">
      <c r="A99" s="449" t="s">
        <v>461</v>
      </c>
      <c r="B99" s="72"/>
      <c r="C99" s="265">
        <v>0</v>
      </c>
      <c r="D99" s="330">
        <f>+D98</f>
        <v>8.8000000000000007</v>
      </c>
      <c r="F99" s="341">
        <f t="shared" si="4"/>
        <v>0</v>
      </c>
      <c r="G99" s="330">
        <f>+G98</f>
        <v>8.82</v>
      </c>
      <c r="H99" s="341">
        <f t="shared" si="5"/>
        <v>0</v>
      </c>
      <c r="I99" s="72"/>
    </row>
    <row r="100" spans="1:19">
      <c r="A100" s="449" t="s">
        <v>462</v>
      </c>
      <c r="B100" s="72"/>
      <c r="C100" s="265">
        <f>ROUND(+'[2]Light Inventory'!$E$47,0)</f>
        <v>58</v>
      </c>
      <c r="D100" s="330">
        <f t="shared" ref="D100:D103" si="14">+D99</f>
        <v>8.8000000000000007</v>
      </c>
      <c r="F100" s="341">
        <f t="shared" si="4"/>
        <v>6125</v>
      </c>
      <c r="G100" s="330">
        <f>+G99</f>
        <v>8.82</v>
      </c>
      <c r="H100" s="341">
        <f t="shared" si="5"/>
        <v>6139</v>
      </c>
      <c r="I100" s="72"/>
      <c r="L100" s="265"/>
      <c r="N100" s="265"/>
    </row>
    <row r="101" spans="1:19">
      <c r="A101" s="449" t="s">
        <v>463</v>
      </c>
      <c r="B101" s="72"/>
      <c r="C101" s="265">
        <v>0</v>
      </c>
      <c r="D101" s="330">
        <f t="shared" si="14"/>
        <v>8.8000000000000007</v>
      </c>
      <c r="F101" s="341">
        <f t="shared" si="4"/>
        <v>0</v>
      </c>
      <c r="G101" s="330">
        <f>+G100</f>
        <v>8.82</v>
      </c>
      <c r="H101" s="341">
        <f t="shared" si="5"/>
        <v>0</v>
      </c>
      <c r="I101" s="72"/>
      <c r="L101" s="265"/>
      <c r="N101" s="265"/>
    </row>
    <row r="102" spans="1:19">
      <c r="A102" s="449" t="s">
        <v>464</v>
      </c>
      <c r="B102" s="72"/>
      <c r="C102" s="265">
        <v>0</v>
      </c>
      <c r="D102" s="330">
        <f t="shared" si="14"/>
        <v>8.8000000000000007</v>
      </c>
      <c r="F102" s="341">
        <f t="shared" si="4"/>
        <v>0</v>
      </c>
      <c r="G102" s="330">
        <f>+G101</f>
        <v>8.82</v>
      </c>
      <c r="H102" s="341">
        <f t="shared" si="5"/>
        <v>0</v>
      </c>
      <c r="I102" s="341"/>
    </row>
    <row r="103" spans="1:19">
      <c r="A103" s="449" t="s">
        <v>465</v>
      </c>
      <c r="B103" s="72"/>
      <c r="C103" s="265">
        <v>0</v>
      </c>
      <c r="D103" s="330">
        <f t="shared" si="14"/>
        <v>8.8000000000000007</v>
      </c>
      <c r="F103" s="341">
        <f t="shared" si="4"/>
        <v>0</v>
      </c>
      <c r="G103" s="330">
        <f>+G102</f>
        <v>8.82</v>
      </c>
      <c r="H103" s="341">
        <f t="shared" si="5"/>
        <v>0</v>
      </c>
      <c r="I103" s="341"/>
    </row>
    <row r="104" spans="1:19">
      <c r="A104" s="72"/>
      <c r="B104" s="72"/>
      <c r="C104" s="62"/>
      <c r="D104" s="349"/>
      <c r="E104" s="72"/>
      <c r="F104" s="341"/>
      <c r="G104" s="349"/>
      <c r="H104" s="341"/>
      <c r="I104" s="341"/>
    </row>
    <row r="105" spans="1:19">
      <c r="A105" s="449" t="s">
        <v>466</v>
      </c>
      <c r="C105" s="341">
        <v>0</v>
      </c>
      <c r="D105" s="350">
        <f>+'(JAP4)-Light Tariff Summary'!E16</f>
        <v>1.328E-2</v>
      </c>
      <c r="E105" s="340"/>
      <c r="F105" s="341">
        <f>ROUND(C105*D105*12,0)</f>
        <v>0</v>
      </c>
      <c r="G105" s="454">
        <f>+'(JAP4) LIGHT RD'!P200</f>
        <v>1.329E-2</v>
      </c>
      <c r="H105" s="341">
        <f>ROUND(C105*G105*12,0)</f>
        <v>0</v>
      </c>
      <c r="I105" s="341"/>
    </row>
    <row r="106" spans="1:19">
      <c r="A106" s="449" t="s">
        <v>467</v>
      </c>
      <c r="B106" s="72"/>
      <c r="C106" s="394">
        <f>+'[2]Light Inventory'!$E$217</f>
        <v>16561747</v>
      </c>
      <c r="D106" s="350">
        <f>+'(JAP4)-Light Tariff Summary'!E17</f>
        <v>7.3999999999999999E-4</v>
      </c>
      <c r="E106" s="340"/>
      <c r="F106" s="341">
        <f>ROUND(C106*D106*12,0)</f>
        <v>147068</v>
      </c>
      <c r="G106" s="454">
        <f>+'(JAP4) LIGHT RD'!P201</f>
        <v>7.5000000000000002E-4</v>
      </c>
      <c r="H106" s="341">
        <f>ROUND(C106*G106*12,0)</f>
        <v>149056</v>
      </c>
      <c r="I106" s="341"/>
    </row>
    <row r="107" spans="1:19">
      <c r="A107" s="449"/>
      <c r="B107" s="72"/>
      <c r="C107" s="341"/>
      <c r="D107" s="351"/>
      <c r="E107" s="340"/>
      <c r="F107" s="341"/>
      <c r="G107" s="351"/>
      <c r="H107" s="341"/>
      <c r="I107" s="341"/>
    </row>
    <row r="108" spans="1:19">
      <c r="A108" s="333" t="s">
        <v>35</v>
      </c>
      <c r="C108" s="352">
        <f>SUM(C50:C103)</f>
        <v>3645</v>
      </c>
      <c r="D108" s="335"/>
      <c r="F108" s="353">
        <f>SUM(F50:F106)</f>
        <v>255981</v>
      </c>
      <c r="G108" s="335"/>
      <c r="H108" s="353">
        <f>SUM(H50:H106)</f>
        <v>258238</v>
      </c>
      <c r="I108" s="341"/>
    </row>
    <row r="109" spans="1:19">
      <c r="A109" s="333"/>
      <c r="C109" s="62"/>
      <c r="D109" s="335"/>
      <c r="F109" s="341"/>
      <c r="G109" s="335"/>
      <c r="H109" s="341"/>
      <c r="I109" s="341"/>
    </row>
    <row r="110" spans="1:19">
      <c r="A110" s="116" t="str">
        <f>+$A$42</f>
        <v>Annual Average Customer Count</v>
      </c>
      <c r="B110" s="72"/>
      <c r="C110" s="62">
        <v>5797</v>
      </c>
      <c r="D110" s="338"/>
      <c r="E110" s="340"/>
      <c r="F110" s="341"/>
      <c r="G110" s="338"/>
      <c r="H110" s="341"/>
      <c r="I110" s="341"/>
    </row>
    <row r="111" spans="1:19">
      <c r="A111" s="116"/>
      <c r="B111" s="72"/>
      <c r="C111" s="87"/>
      <c r="D111" s="338"/>
      <c r="E111" s="340"/>
      <c r="F111" s="341"/>
      <c r="G111" s="338"/>
      <c r="H111" s="341"/>
      <c r="I111" s="341"/>
    </row>
    <row r="112" spans="1:19">
      <c r="A112" s="337" t="s">
        <v>410</v>
      </c>
      <c r="B112" s="338"/>
      <c r="C112" s="354">
        <f>+'[2]Billed kWh'!$E$53</f>
        <v>1240790.29</v>
      </c>
      <c r="D112" s="338"/>
      <c r="E112" s="340"/>
      <c r="F112" s="341"/>
      <c r="G112" s="338"/>
      <c r="H112" s="341"/>
      <c r="I112" s="342"/>
      <c r="J112" s="338"/>
      <c r="M112" s="338"/>
      <c r="N112" s="338"/>
      <c r="O112" s="338"/>
      <c r="P112" s="338"/>
      <c r="Q112" s="338"/>
      <c r="R112" s="338"/>
      <c r="S112" s="338"/>
    </row>
    <row r="113" spans="1:19">
      <c r="A113" s="337" t="s">
        <v>411</v>
      </c>
      <c r="C113" s="62">
        <f>+'[2]Unbilled Change kWh'!$E$53</f>
        <v>21038.3655</v>
      </c>
      <c r="D113" s="344">
        <f>ROUND(F113/C113,6)</f>
        <v>7.8899999999999994E-3</v>
      </c>
      <c r="E113" s="345"/>
      <c r="F113" s="341">
        <f>$P$14</f>
        <v>166</v>
      </c>
      <c r="G113" s="344">
        <f>ROUND(H113/C113,6)</f>
        <v>7.9850000000000008E-3</v>
      </c>
      <c r="H113" s="341">
        <f>ROUND(+F113*(1+$O$24),0)</f>
        <v>168</v>
      </c>
      <c r="I113" s="345"/>
      <c r="J113" s="88"/>
      <c r="K113" s="525"/>
      <c r="L113" s="525"/>
      <c r="M113" s="376"/>
      <c r="N113" s="376"/>
      <c r="O113" s="376"/>
      <c r="P113" s="376"/>
      <c r="Q113" s="376"/>
      <c r="R113" s="376"/>
      <c r="S113" s="376"/>
    </row>
    <row r="114" spans="1:19" ht="16.5" thickBot="1">
      <c r="A114" s="119" t="s">
        <v>36</v>
      </c>
      <c r="B114" s="72"/>
      <c r="C114" s="355">
        <f>SUM(C112:C113)</f>
        <v>1261828.6555000001</v>
      </c>
      <c r="D114" s="64"/>
      <c r="F114" s="108">
        <f>SUM(F108:F113)</f>
        <v>256147</v>
      </c>
      <c r="G114" s="64"/>
      <c r="H114" s="108">
        <f>SUM(H108:H113)</f>
        <v>258406</v>
      </c>
    </row>
    <row r="115" spans="1:19" ht="16.5" thickTop="1">
      <c r="A115" s="72"/>
      <c r="B115" s="72"/>
      <c r="C115" s="72"/>
      <c r="D115" s="356" t="s">
        <v>0</v>
      </c>
      <c r="E115" s="72"/>
      <c r="F115" s="72"/>
      <c r="G115" s="356" t="s">
        <v>0</v>
      </c>
      <c r="H115" s="341" t="s">
        <v>0</v>
      </c>
      <c r="I115" s="341"/>
    </row>
    <row r="116" spans="1:19">
      <c r="A116" s="544" t="s">
        <v>197</v>
      </c>
      <c r="B116" s="544"/>
      <c r="C116" s="544"/>
      <c r="D116" s="544"/>
      <c r="E116" s="544"/>
      <c r="F116" s="544"/>
      <c r="G116" s="544"/>
      <c r="H116" s="544"/>
      <c r="I116" s="72"/>
    </row>
    <row r="117" spans="1:19">
      <c r="A117" s="116" t="s">
        <v>468</v>
      </c>
      <c r="B117" s="72"/>
      <c r="C117" s="72"/>
      <c r="D117" s="72"/>
      <c r="E117" s="72"/>
      <c r="F117" s="72"/>
      <c r="G117" s="72"/>
      <c r="H117" s="72"/>
      <c r="I117" s="72"/>
    </row>
    <row r="118" spans="1:19">
      <c r="A118" s="118" t="s">
        <v>469</v>
      </c>
      <c r="B118" s="72"/>
      <c r="C118" s="265">
        <v>0</v>
      </c>
      <c r="D118" s="330">
        <f>+'(JAP4)-Light Tariff Summary'!E32</f>
        <v>1.54</v>
      </c>
      <c r="E118" s="72"/>
      <c r="F118" s="341">
        <f t="shared" ref="F118:F125" si="15">IF(D118="n/a",0,ROUND(C118*D118*12,0))</f>
        <v>0</v>
      </c>
      <c r="G118" s="330">
        <f>+'(JAP4) LIGHT RD'!P38</f>
        <v>1.54</v>
      </c>
      <c r="H118" s="341">
        <f t="shared" ref="H118:H125" si="16">ROUND(G118*$C118*12,0)</f>
        <v>0</v>
      </c>
      <c r="I118" s="72"/>
      <c r="J118" s="136"/>
    </row>
    <row r="119" spans="1:19">
      <c r="A119" s="117" t="s">
        <v>470</v>
      </c>
      <c r="B119" s="72"/>
      <c r="C119" s="265">
        <f>ROUND(+'[2]Light Inventory'!$E$49,0)</f>
        <v>710</v>
      </c>
      <c r="D119" s="330">
        <f>+'(JAP4)-Light Tariff Summary'!E33</f>
        <v>2.16</v>
      </c>
      <c r="E119" s="72"/>
      <c r="F119" s="341">
        <f t="shared" si="15"/>
        <v>18403</v>
      </c>
      <c r="G119" s="330">
        <f>+'(JAP4) LIGHT RD'!P39</f>
        <v>2.17</v>
      </c>
      <c r="H119" s="341">
        <f t="shared" si="16"/>
        <v>18488</v>
      </c>
      <c r="I119" s="72"/>
      <c r="J119" s="136"/>
      <c r="L119" s="265"/>
      <c r="N119" s="265"/>
    </row>
    <row r="120" spans="1:19">
      <c r="A120" s="117" t="s">
        <v>471</v>
      </c>
      <c r="B120" s="72"/>
      <c r="C120" s="265">
        <f>ROUND(+'[2]Light Inventory'!$E$50,0)</f>
        <v>10433</v>
      </c>
      <c r="D120" s="330">
        <f>+'(JAP4)-Light Tariff Summary'!E34</f>
        <v>3.09</v>
      </c>
      <c r="E120" s="72"/>
      <c r="F120" s="341">
        <f t="shared" si="15"/>
        <v>386856</v>
      </c>
      <c r="G120" s="330">
        <f>+'(JAP4) LIGHT RD'!P40</f>
        <v>3.0999999999999996</v>
      </c>
      <c r="H120" s="341">
        <f t="shared" si="16"/>
        <v>388108</v>
      </c>
      <c r="I120" s="72"/>
      <c r="J120" s="136"/>
      <c r="L120" s="265"/>
      <c r="N120" s="265"/>
    </row>
    <row r="121" spans="1:19">
      <c r="A121" s="117" t="s">
        <v>472</v>
      </c>
      <c r="B121" s="72"/>
      <c r="C121" s="265">
        <f>ROUND(+'[2]Light Inventory'!$E$51,0)</f>
        <v>4662</v>
      </c>
      <c r="D121" s="330">
        <f>+'(JAP4)-Light Tariff Summary'!E35</f>
        <v>4.63</v>
      </c>
      <c r="E121" s="72"/>
      <c r="F121" s="341">
        <f t="shared" si="15"/>
        <v>259021</v>
      </c>
      <c r="G121" s="330">
        <f>+'(JAP4) LIGHT RD'!P41</f>
        <v>4.6399999999999997</v>
      </c>
      <c r="H121" s="341">
        <f t="shared" si="16"/>
        <v>259580</v>
      </c>
      <c r="I121" s="72"/>
      <c r="J121" s="136"/>
      <c r="L121" s="265"/>
      <c r="N121" s="265"/>
    </row>
    <row r="122" spans="1:19">
      <c r="A122" s="117" t="s">
        <v>473</v>
      </c>
      <c r="B122" s="72"/>
      <c r="C122" s="265">
        <f>ROUND(+'[2]Light Inventory'!$E$52,0)</f>
        <v>1031</v>
      </c>
      <c r="D122" s="330">
        <f>+'(JAP4)-Light Tariff Summary'!E36</f>
        <v>6.17</v>
      </c>
      <c r="E122" s="72"/>
      <c r="F122" s="341">
        <f t="shared" si="15"/>
        <v>76335</v>
      </c>
      <c r="G122" s="330">
        <f>+'(JAP4) LIGHT RD'!P42</f>
        <v>6.1899999999999995</v>
      </c>
      <c r="H122" s="341">
        <f t="shared" si="16"/>
        <v>76583</v>
      </c>
      <c r="I122" s="72"/>
      <c r="J122" s="136"/>
      <c r="L122" s="265"/>
      <c r="N122" s="265"/>
    </row>
    <row r="123" spans="1:19">
      <c r="A123" s="117" t="s">
        <v>474</v>
      </c>
      <c r="B123" s="72"/>
      <c r="C123" s="265">
        <f>ROUND(+'[2]Light Inventory'!$E$53,0)</f>
        <v>1478</v>
      </c>
      <c r="D123" s="330">
        <f>+'(JAP4)-Light Tariff Summary'!E37</f>
        <v>7.72</v>
      </c>
      <c r="E123" s="72"/>
      <c r="F123" s="341">
        <f t="shared" si="15"/>
        <v>136922</v>
      </c>
      <c r="G123" s="330">
        <f>+'(JAP4) LIGHT RD'!P43</f>
        <v>7.7399999999999993</v>
      </c>
      <c r="H123" s="341">
        <f t="shared" si="16"/>
        <v>137277</v>
      </c>
      <c r="I123" s="72"/>
      <c r="J123" s="136"/>
      <c r="L123" s="265"/>
      <c r="N123" s="265"/>
    </row>
    <row r="124" spans="1:19">
      <c r="A124" s="117" t="s">
        <v>475</v>
      </c>
      <c r="B124" s="72"/>
      <c r="C124" s="265">
        <f>ROUND(+'[2]Light Inventory'!$E$54,0)</f>
        <v>150</v>
      </c>
      <c r="D124" s="330">
        <f>+'(JAP4)-Light Tariff Summary'!E38</f>
        <v>9.57</v>
      </c>
      <c r="E124" s="72"/>
      <c r="F124" s="341">
        <f t="shared" si="15"/>
        <v>17226</v>
      </c>
      <c r="G124" s="330">
        <f>+'(JAP4) LIGHT RD'!P44</f>
        <v>9.6</v>
      </c>
      <c r="H124" s="341">
        <f t="shared" si="16"/>
        <v>17280</v>
      </c>
      <c r="I124" s="72"/>
      <c r="J124" s="136"/>
      <c r="L124" s="265"/>
      <c r="N124" s="265"/>
    </row>
    <row r="125" spans="1:19">
      <c r="A125" s="117" t="s">
        <v>476</v>
      </c>
      <c r="B125" s="72"/>
      <c r="C125" s="265">
        <f>ROUND(+'[2]Light Inventory'!$E$55,0)</f>
        <v>613</v>
      </c>
      <c r="D125" s="330">
        <f>+'(JAP4)-Light Tariff Summary'!E39</f>
        <v>12.35</v>
      </c>
      <c r="E125" s="72"/>
      <c r="F125" s="341">
        <f t="shared" si="15"/>
        <v>90847</v>
      </c>
      <c r="G125" s="330">
        <f>+'(JAP4) LIGHT RD'!P45</f>
        <v>12.379999999999999</v>
      </c>
      <c r="H125" s="341">
        <f t="shared" si="16"/>
        <v>91067</v>
      </c>
      <c r="I125" s="72"/>
      <c r="J125" s="136"/>
      <c r="L125" s="265"/>
      <c r="N125" s="265"/>
    </row>
    <row r="126" spans="1:19">
      <c r="A126" s="117"/>
      <c r="B126" s="72"/>
      <c r="D126" s="330"/>
      <c r="E126" s="72"/>
      <c r="F126" s="341"/>
      <c r="G126" s="330"/>
      <c r="H126" s="72"/>
      <c r="I126" s="72"/>
    </row>
    <row r="127" spans="1:19">
      <c r="A127" s="117" t="s">
        <v>477</v>
      </c>
      <c r="B127" s="72"/>
      <c r="C127" s="265">
        <f>ROUND(+'[2]Light Inventory'!$E$56,0)</f>
        <v>68</v>
      </c>
      <c r="D127" s="330">
        <f>+'(JAP4)-Light Tariff Summary'!E41</f>
        <v>2.16</v>
      </c>
      <c r="E127" s="72"/>
      <c r="F127" s="341">
        <f t="shared" ref="F127:F133" si="17">IF(D127="n/a",0,ROUND(C127*D127*12,0))</f>
        <v>1763</v>
      </c>
      <c r="G127" s="330">
        <f>+'(JAP4) LIGHT RD'!P47</f>
        <v>2.17</v>
      </c>
      <c r="H127" s="341">
        <f t="shared" ref="H127:H133" si="18">ROUND(G127*$C127*12,0)</f>
        <v>1771</v>
      </c>
      <c r="I127" s="72"/>
      <c r="J127" s="136"/>
      <c r="L127" s="265"/>
      <c r="N127" s="265"/>
    </row>
    <row r="128" spans="1:19">
      <c r="A128" s="117" t="s">
        <v>478</v>
      </c>
      <c r="B128" s="72"/>
      <c r="C128" s="265">
        <f>ROUND(+'[2]Light Inventory'!$E$57,0)</f>
        <v>4</v>
      </c>
      <c r="D128" s="330">
        <f>+'(JAP4)-Light Tariff Summary'!E42</f>
        <v>3.09</v>
      </c>
      <c r="E128" s="72"/>
      <c r="F128" s="341">
        <f t="shared" si="17"/>
        <v>148</v>
      </c>
      <c r="G128" s="330">
        <f>+'(JAP4) LIGHT RD'!P48</f>
        <v>3.0999999999999996</v>
      </c>
      <c r="H128" s="341">
        <f t="shared" si="18"/>
        <v>149</v>
      </c>
      <c r="I128" s="72"/>
      <c r="J128" s="136"/>
      <c r="L128" s="265"/>
      <c r="N128" s="265"/>
    </row>
    <row r="129" spans="1:19">
      <c r="A129" s="117" t="s">
        <v>479</v>
      </c>
      <c r="B129" s="72"/>
      <c r="C129" s="265">
        <f>ROUND(+'[2]Light Inventory'!$E$58,0)</f>
        <v>205</v>
      </c>
      <c r="D129" s="330">
        <f>+'(JAP4)-Light Tariff Summary'!E43</f>
        <v>4.63</v>
      </c>
      <c r="E129" s="72"/>
      <c r="F129" s="341">
        <f t="shared" si="17"/>
        <v>11390</v>
      </c>
      <c r="G129" s="330">
        <f>+'(JAP4) LIGHT RD'!P49</f>
        <v>4.6399999999999997</v>
      </c>
      <c r="H129" s="341">
        <f t="shared" si="18"/>
        <v>11414</v>
      </c>
      <c r="I129" s="72"/>
      <c r="J129" s="136"/>
      <c r="L129" s="265"/>
      <c r="N129" s="265"/>
    </row>
    <row r="130" spans="1:19">
      <c r="A130" s="118" t="s">
        <v>480</v>
      </c>
      <c r="B130" s="72"/>
      <c r="C130" s="265">
        <f>ROUND(+'[2]Light Inventory'!$E$59,0)</f>
        <v>222</v>
      </c>
      <c r="D130" s="330">
        <f>+'(JAP4)-Light Tariff Summary'!E44</f>
        <v>5.4</v>
      </c>
      <c r="E130" s="72"/>
      <c r="F130" s="341">
        <f t="shared" si="17"/>
        <v>14386</v>
      </c>
      <c r="G130" s="330">
        <f>+'(JAP4) LIGHT RD'!P50</f>
        <v>5.41</v>
      </c>
      <c r="H130" s="341">
        <f t="shared" si="18"/>
        <v>14412</v>
      </c>
      <c r="I130" s="72"/>
      <c r="J130" s="136"/>
      <c r="L130" s="265"/>
      <c r="N130" s="265"/>
    </row>
    <row r="131" spans="1:19">
      <c r="A131" s="117" t="s">
        <v>481</v>
      </c>
      <c r="B131" s="72"/>
      <c r="C131" s="265">
        <f>ROUND(+'[2]Light Inventory'!$E$60,0)</f>
        <v>61</v>
      </c>
      <c r="D131" s="330">
        <f>+'(JAP4)-Light Tariff Summary'!E45</f>
        <v>7.72</v>
      </c>
      <c r="E131" s="72"/>
      <c r="F131" s="341">
        <f t="shared" si="17"/>
        <v>5651</v>
      </c>
      <c r="G131" s="330">
        <f>+'(JAP4) LIGHT RD'!P51</f>
        <v>7.7399999999999993</v>
      </c>
      <c r="H131" s="341">
        <f t="shared" si="18"/>
        <v>5666</v>
      </c>
      <c r="I131" s="72"/>
      <c r="J131" s="136"/>
      <c r="L131" s="265"/>
      <c r="N131" s="265"/>
    </row>
    <row r="132" spans="1:19">
      <c r="A132" s="117" t="s">
        <v>482</v>
      </c>
      <c r="B132" s="72"/>
      <c r="C132" s="265">
        <f>ROUND(+'[2]Light Inventory'!$E$61,0)</f>
        <v>57</v>
      </c>
      <c r="D132" s="330">
        <f>+'(JAP4)-Light Tariff Summary'!E46</f>
        <v>12.35</v>
      </c>
      <c r="E132" s="72"/>
      <c r="F132" s="341">
        <f t="shared" si="17"/>
        <v>8447</v>
      </c>
      <c r="G132" s="330">
        <f>+'(JAP4) LIGHT RD'!P52</f>
        <v>12.379999999999999</v>
      </c>
      <c r="H132" s="341">
        <f t="shared" si="18"/>
        <v>8468</v>
      </c>
      <c r="I132" s="72"/>
      <c r="J132" s="136"/>
      <c r="L132" s="265"/>
      <c r="N132" s="265"/>
    </row>
    <row r="133" spans="1:19">
      <c r="A133" s="118" t="s">
        <v>483</v>
      </c>
      <c r="B133" s="72"/>
      <c r="C133" s="265">
        <f>ROUND(+'[2]Light Inventory'!$E$62,0)</f>
        <v>18</v>
      </c>
      <c r="D133" s="330">
        <f>+'(JAP4)-Light Tariff Summary'!E47</f>
        <v>30.87</v>
      </c>
      <c r="E133" s="72"/>
      <c r="F133" s="341">
        <f t="shared" si="17"/>
        <v>6668</v>
      </c>
      <c r="G133" s="330">
        <f>+'(JAP4) LIGHT RD'!P53</f>
        <v>30.95</v>
      </c>
      <c r="H133" s="341">
        <f t="shared" si="18"/>
        <v>6685</v>
      </c>
      <c r="I133" s="72"/>
      <c r="J133" s="136"/>
      <c r="L133" s="265"/>
      <c r="N133" s="265"/>
    </row>
    <row r="134" spans="1:19">
      <c r="A134" s="333"/>
      <c r="C134" s="357"/>
      <c r="D134" s="335"/>
      <c r="F134" s="358"/>
      <c r="G134" s="335"/>
      <c r="H134" s="358"/>
      <c r="I134" s="72"/>
    </row>
    <row r="135" spans="1:19">
      <c r="A135" s="449" t="s">
        <v>466</v>
      </c>
      <c r="C135" s="341">
        <v>0</v>
      </c>
      <c r="D135" s="350">
        <f>+'(JAP4)-Light Tariff Summary'!E29</f>
        <v>1.4930000000000001E-2</v>
      </c>
      <c r="E135" s="340"/>
      <c r="F135" s="341">
        <f>IF(D135="n/a",0,ROUND(C135*D135*12,0))</f>
        <v>0</v>
      </c>
      <c r="G135" s="454">
        <f>+'(JAP4) LIGHT RD'!P203</f>
        <v>1.4970000000000001E-2</v>
      </c>
      <c r="H135" s="341">
        <f>ROUND(C135*G135*12,0)</f>
        <v>0</v>
      </c>
      <c r="I135" s="341"/>
      <c r="J135" s="136"/>
    </row>
    <row r="136" spans="1:19">
      <c r="A136" s="449" t="s">
        <v>467</v>
      </c>
      <c r="B136" s="72"/>
      <c r="C136" s="394">
        <f>+'[2]Light Inventory'!$E$218</f>
        <v>54260348</v>
      </c>
      <c r="D136" s="350">
        <f>+'(JAP4)-Light Tariff Summary'!E30</f>
        <v>2.3900000000000002E-3</v>
      </c>
      <c r="E136" s="340"/>
      <c r="F136" s="341">
        <f>IF(D136="n/a",0,ROUND(C136*D136*12,0))</f>
        <v>1556187</v>
      </c>
      <c r="G136" s="454">
        <f>+'(JAP4) LIGHT RD'!P204</f>
        <v>2.4300000000000003E-3</v>
      </c>
      <c r="H136" s="341">
        <f>ROUND(C136*G136*12,0)</f>
        <v>1582232</v>
      </c>
      <c r="I136" s="341"/>
      <c r="J136" s="136"/>
    </row>
    <row r="137" spans="1:19">
      <c r="A137" s="116"/>
      <c r="B137" s="72"/>
      <c r="C137" s="87"/>
      <c r="D137" s="338"/>
      <c r="E137" s="340"/>
      <c r="F137" s="341"/>
      <c r="G137" s="338"/>
      <c r="H137" s="342"/>
      <c r="I137" s="341"/>
    </row>
    <row r="138" spans="1:19">
      <c r="A138" s="333" t="s">
        <v>35</v>
      </c>
      <c r="C138" s="339">
        <f>SUM(C118:C133)</f>
        <v>19712</v>
      </c>
      <c r="D138" s="335"/>
      <c r="F138" s="152">
        <f>SUM(F118:F136)</f>
        <v>2590250</v>
      </c>
      <c r="G138" s="335"/>
      <c r="H138" s="152">
        <f>SUM(H118:H136)</f>
        <v>2619180</v>
      </c>
      <c r="I138" s="72"/>
    </row>
    <row r="139" spans="1:19">
      <c r="A139" s="333"/>
      <c r="C139" s="266"/>
      <c r="D139" s="335"/>
      <c r="F139" s="358"/>
      <c r="G139" s="335"/>
      <c r="H139" s="358"/>
      <c r="I139" s="72"/>
    </row>
    <row r="140" spans="1:19">
      <c r="A140" s="116" t="str">
        <f>+$A$42</f>
        <v>Annual Average Customer Count</v>
      </c>
      <c r="B140" s="72"/>
      <c r="C140" s="336">
        <v>29419</v>
      </c>
      <c r="D140" s="338"/>
      <c r="E140" s="340"/>
      <c r="F140" s="341"/>
      <c r="G140" s="338"/>
      <c r="H140" s="342"/>
      <c r="I140" s="341"/>
    </row>
    <row r="141" spans="1:19">
      <c r="A141" s="116"/>
      <c r="B141" s="72"/>
      <c r="C141" s="336"/>
      <c r="D141" s="338"/>
      <c r="E141" s="340"/>
      <c r="F141" s="341"/>
      <c r="G141" s="338"/>
      <c r="H141" s="342"/>
      <c r="I141" s="342"/>
      <c r="J141" s="338"/>
      <c r="O141" s="338"/>
      <c r="P141" s="338"/>
      <c r="Q141" s="338"/>
      <c r="R141" s="338"/>
      <c r="S141" s="338"/>
    </row>
    <row r="142" spans="1:19">
      <c r="A142" s="337" t="s">
        <v>410</v>
      </c>
      <c r="B142" s="338"/>
      <c r="C142" s="339">
        <f>+'[2]Billed kWh'!$E$54</f>
        <v>13444707.423</v>
      </c>
      <c r="D142" s="338"/>
      <c r="E142" s="340"/>
      <c r="F142" s="341"/>
      <c r="G142" s="338"/>
      <c r="H142" s="342"/>
      <c r="I142" s="359"/>
    </row>
    <row r="143" spans="1:19">
      <c r="A143" s="337" t="s">
        <v>411</v>
      </c>
      <c r="C143" s="339">
        <f>+'[2]Unbilled Change kWh'!$E$54</f>
        <v>26351.278500000015</v>
      </c>
      <c r="D143" s="344">
        <f>ROUND(F143/C143,6)</f>
        <v>6.3867999999999994E-2</v>
      </c>
      <c r="E143" s="345"/>
      <c r="F143" s="341">
        <f>$P$15</f>
        <v>1683</v>
      </c>
      <c r="G143" s="344">
        <f>ROUND(H143/C143,6)</f>
        <v>6.4550999999999997E-2</v>
      </c>
      <c r="H143" s="341">
        <f>ROUND(+F143*(1+$O$24),0)</f>
        <v>1701</v>
      </c>
      <c r="I143" s="345"/>
      <c r="J143" s="88"/>
      <c r="K143" s="525"/>
      <c r="L143" s="525"/>
      <c r="M143" s="376"/>
      <c r="N143" s="376"/>
      <c r="O143" s="376"/>
      <c r="P143" s="376"/>
      <c r="Q143" s="376"/>
      <c r="R143" s="376"/>
      <c r="S143" s="376"/>
    </row>
    <row r="144" spans="1:19" ht="16.5" thickBot="1">
      <c r="A144" s="119" t="s">
        <v>36</v>
      </c>
      <c r="B144" s="72"/>
      <c r="C144" s="346">
        <f>SUM(C142:C143)</f>
        <v>13471058.7015</v>
      </c>
      <c r="D144" s="64"/>
      <c r="F144" s="347">
        <f>SUM(F138:F143)</f>
        <v>2591933</v>
      </c>
      <c r="G144" s="64"/>
      <c r="H144" s="347">
        <f>SUM(H138:H143)</f>
        <v>2620881</v>
      </c>
    </row>
    <row r="145" spans="1:14" ht="16.5" thickTop="1">
      <c r="A145" s="72"/>
      <c r="B145" s="72"/>
      <c r="C145" s="72"/>
      <c r="D145" s="356"/>
      <c r="E145" s="72"/>
      <c r="F145" s="72"/>
      <c r="G145" s="356"/>
      <c r="H145" s="341"/>
      <c r="I145" s="341"/>
    </row>
    <row r="146" spans="1:14">
      <c r="A146" s="72"/>
      <c r="B146" s="72"/>
      <c r="C146" s="72"/>
      <c r="D146" s="356"/>
      <c r="E146" s="72"/>
      <c r="F146" s="72"/>
      <c r="G146" s="356"/>
      <c r="H146" s="341"/>
      <c r="I146" s="341"/>
    </row>
    <row r="147" spans="1:14">
      <c r="A147" s="544" t="s">
        <v>48</v>
      </c>
      <c r="B147" s="544"/>
      <c r="C147" s="544"/>
      <c r="D147" s="544"/>
      <c r="E147" s="544"/>
      <c r="F147" s="544"/>
      <c r="G147" s="544"/>
      <c r="H147" s="544"/>
      <c r="I147" s="72"/>
    </row>
    <row r="148" spans="1:14">
      <c r="A148" s="116" t="s">
        <v>484</v>
      </c>
      <c r="B148" s="72"/>
      <c r="C148" s="72"/>
      <c r="D148" s="72"/>
      <c r="E148" s="72"/>
      <c r="F148" s="72"/>
      <c r="G148" s="72"/>
      <c r="H148" s="72"/>
      <c r="I148" s="72"/>
    </row>
    <row r="149" spans="1:14">
      <c r="A149" s="117" t="s">
        <v>485</v>
      </c>
      <c r="B149" s="72"/>
      <c r="C149" s="265">
        <f>ROUND(+'[2]Light Inventory'!$E$64,0)</f>
        <v>0</v>
      </c>
      <c r="D149" s="330">
        <f>+'(JAP4)-Light Tariff Summary'!E49</f>
        <v>10.72</v>
      </c>
      <c r="F149" s="341">
        <f t="shared" ref="F149:F157" si="19">IF(D149="n/a",0,ROUND(C149*D149*12,0))</f>
        <v>0</v>
      </c>
      <c r="G149" s="330">
        <f>+'(JAP4) LIGHT RD'!P56</f>
        <v>10.860000000000001</v>
      </c>
      <c r="H149" s="341">
        <f t="shared" ref="H149:H212" si="20">ROUND(G149*$C149*12,0)</f>
        <v>0</v>
      </c>
      <c r="I149" s="72"/>
      <c r="L149" s="265"/>
      <c r="N149" s="265"/>
    </row>
    <row r="150" spans="1:14">
      <c r="A150" s="117" t="s">
        <v>486</v>
      </c>
      <c r="B150" s="72"/>
      <c r="C150" s="265">
        <f>ROUND(+'[2]Light Inventory'!$E$65,0)</f>
        <v>4760</v>
      </c>
      <c r="D150" s="330">
        <f>+'(JAP4)-Light Tariff Summary'!E50</f>
        <v>11.5</v>
      </c>
      <c r="E150" s="72"/>
      <c r="F150" s="341">
        <f t="shared" si="19"/>
        <v>656880</v>
      </c>
      <c r="G150" s="330">
        <f>+'(JAP4) LIGHT RD'!P57</f>
        <v>11.65</v>
      </c>
      <c r="H150" s="341">
        <f t="shared" si="20"/>
        <v>665448</v>
      </c>
      <c r="I150" s="72"/>
      <c r="L150" s="265"/>
      <c r="N150" s="265"/>
    </row>
    <row r="151" spans="1:14">
      <c r="A151" s="117" t="s">
        <v>487</v>
      </c>
      <c r="B151" s="72"/>
      <c r="C151" s="265">
        <f>ROUND(+'[2]Light Inventory'!$E$66,0)</f>
        <v>32740</v>
      </c>
      <c r="D151" s="330">
        <f>+'(JAP4)-Light Tariff Summary'!E51</f>
        <v>12.68</v>
      </c>
      <c r="E151" s="72"/>
      <c r="F151" s="341">
        <f t="shared" si="19"/>
        <v>4981718</v>
      </c>
      <c r="G151" s="330">
        <f>+'(JAP4) LIGHT RD'!P58</f>
        <v>12.84</v>
      </c>
      <c r="H151" s="341">
        <f t="shared" si="20"/>
        <v>5044579</v>
      </c>
      <c r="I151" s="72"/>
      <c r="L151" s="265"/>
      <c r="N151" s="265"/>
    </row>
    <row r="152" spans="1:14">
      <c r="A152" s="117" t="s">
        <v>488</v>
      </c>
      <c r="B152" s="72"/>
      <c r="C152" s="265">
        <f>ROUND(+'[2]Light Inventory'!$E$67,0)</f>
        <v>3919</v>
      </c>
      <c r="D152" s="330">
        <f>+'(JAP4)-Light Tariff Summary'!E52</f>
        <v>14.64</v>
      </c>
      <c r="E152" s="72"/>
      <c r="F152" s="341">
        <f t="shared" si="19"/>
        <v>688490</v>
      </c>
      <c r="G152" s="330">
        <f>+'(JAP4) LIGHT RD'!P59</f>
        <v>14.81</v>
      </c>
      <c r="H152" s="341">
        <f t="shared" si="20"/>
        <v>696485</v>
      </c>
      <c r="I152" s="72"/>
      <c r="L152" s="265"/>
      <c r="N152" s="265"/>
    </row>
    <row r="153" spans="1:14">
      <c r="A153" s="117" t="s">
        <v>489</v>
      </c>
      <c r="B153" s="72"/>
      <c r="C153" s="265">
        <f>ROUND(+'[2]Light Inventory'!$E$68,0)</f>
        <v>5152</v>
      </c>
      <c r="D153" s="330">
        <f>+'(JAP4)-Light Tariff Summary'!E53</f>
        <v>16.61</v>
      </c>
      <c r="E153" s="72"/>
      <c r="F153" s="341">
        <f t="shared" si="19"/>
        <v>1026897</v>
      </c>
      <c r="G153" s="330">
        <f>+'(JAP4) LIGHT RD'!P60</f>
        <v>16.79</v>
      </c>
      <c r="H153" s="341">
        <f t="shared" si="20"/>
        <v>1038025</v>
      </c>
      <c r="I153" s="72"/>
      <c r="L153" s="265"/>
      <c r="N153" s="265"/>
    </row>
    <row r="154" spans="1:14">
      <c r="A154" s="117" t="s">
        <v>490</v>
      </c>
      <c r="B154" s="72"/>
      <c r="C154" s="265">
        <f>ROUND(+'[2]Light Inventory'!$E$69,0)</f>
        <v>1763</v>
      </c>
      <c r="D154" s="330">
        <f>+'(JAP4)-Light Tariff Summary'!E54</f>
        <v>18.57</v>
      </c>
      <c r="E154" s="72"/>
      <c r="F154" s="341">
        <f t="shared" si="19"/>
        <v>392867</v>
      </c>
      <c r="G154" s="330">
        <f>+'(JAP4) LIGHT RD'!P61</f>
        <v>18.760000000000002</v>
      </c>
      <c r="H154" s="341">
        <f t="shared" si="20"/>
        <v>396887</v>
      </c>
      <c r="I154" s="72"/>
      <c r="L154" s="265"/>
      <c r="N154" s="265"/>
    </row>
    <row r="155" spans="1:14">
      <c r="A155" s="117" t="s">
        <v>491</v>
      </c>
      <c r="B155" s="72"/>
      <c r="C155" s="265">
        <f>ROUND(+'[2]Light Inventory'!$E$70,0)</f>
        <v>18</v>
      </c>
      <c r="D155" s="330">
        <f>+'(JAP4)-Light Tariff Summary'!E55</f>
        <v>20.93</v>
      </c>
      <c r="E155" s="72"/>
      <c r="F155" s="341">
        <f t="shared" si="19"/>
        <v>4521</v>
      </c>
      <c r="G155" s="330">
        <f>+'(JAP4) LIGHT RD'!P62</f>
        <v>21.13</v>
      </c>
      <c r="H155" s="341">
        <f t="shared" si="20"/>
        <v>4564</v>
      </c>
      <c r="I155" s="72"/>
      <c r="L155" s="265"/>
      <c r="N155" s="265"/>
    </row>
    <row r="156" spans="1:14">
      <c r="A156" s="117" t="s">
        <v>492</v>
      </c>
      <c r="B156" s="72"/>
      <c r="C156" s="265">
        <f>ROUND(+'[2]Light Inventory'!$E$71,0)</f>
        <v>1013</v>
      </c>
      <c r="D156" s="330">
        <f>+'(JAP4)-Light Tariff Summary'!E56</f>
        <v>24.46</v>
      </c>
      <c r="E156" s="72"/>
      <c r="F156" s="341">
        <f t="shared" si="19"/>
        <v>297336</v>
      </c>
      <c r="G156" s="330">
        <f>+'(JAP4) LIGHT RD'!P63</f>
        <v>24.68</v>
      </c>
      <c r="H156" s="341">
        <f t="shared" si="20"/>
        <v>300010</v>
      </c>
      <c r="I156" s="72"/>
      <c r="L156" s="265"/>
      <c r="N156" s="265"/>
    </row>
    <row r="157" spans="1:14">
      <c r="A157" s="117" t="s">
        <v>493</v>
      </c>
      <c r="B157" s="72"/>
      <c r="D157" s="330">
        <f>+'(JAP4)-Light Tariff Summary'!E57</f>
        <v>48.03</v>
      </c>
      <c r="E157" s="72"/>
      <c r="F157" s="341">
        <f t="shared" si="19"/>
        <v>0</v>
      </c>
      <c r="G157" s="330">
        <f>+'(JAP4) LIGHT RD'!P64</f>
        <v>48.38</v>
      </c>
      <c r="H157" s="341">
        <f t="shared" si="20"/>
        <v>0</v>
      </c>
      <c r="I157" s="72"/>
    </row>
    <row r="158" spans="1:14">
      <c r="A158" s="117"/>
      <c r="B158" s="72"/>
      <c r="D158" s="330"/>
      <c r="E158" s="72"/>
      <c r="F158" s="72"/>
      <c r="G158" s="330"/>
      <c r="H158" s="72"/>
      <c r="I158" s="72"/>
    </row>
    <row r="159" spans="1:14">
      <c r="A159" s="117" t="s">
        <v>494</v>
      </c>
      <c r="B159" s="72"/>
      <c r="D159" s="330">
        <f>+'(JAP4)-Light Tariff Summary'!E59</f>
        <v>14.18</v>
      </c>
      <c r="E159" s="72"/>
      <c r="F159" s="341">
        <f>IF(D159="n/a",0,ROUND(C159*D159*12,0))</f>
        <v>0</v>
      </c>
      <c r="G159" s="330">
        <f>+'(JAP4) LIGHT RD'!P66</f>
        <v>14.37</v>
      </c>
      <c r="H159" s="341">
        <f t="shared" si="20"/>
        <v>0</v>
      </c>
      <c r="I159" s="72"/>
    </row>
    <row r="160" spans="1:14">
      <c r="A160" s="117" t="s">
        <v>495</v>
      </c>
      <c r="B160" s="72"/>
      <c r="D160" s="330">
        <f>+'(JAP4)-Light Tariff Summary'!E60</f>
        <v>15.44</v>
      </c>
      <c r="E160" s="72"/>
      <c r="F160" s="341">
        <f>IF(D160="n/a",0,ROUND(C160*D160*12,0))</f>
        <v>0</v>
      </c>
      <c r="G160" s="330">
        <f>+'(JAP4) LIGHT RD'!P67</f>
        <v>15.639999999999999</v>
      </c>
      <c r="H160" s="341">
        <f t="shared" si="20"/>
        <v>0</v>
      </c>
      <c r="I160" s="72"/>
    </row>
    <row r="161" spans="1:14">
      <c r="A161" s="117" t="s">
        <v>496</v>
      </c>
      <c r="B161" s="72"/>
      <c r="D161" s="330">
        <f>+'(JAP4)-Light Tariff Summary'!E61</f>
        <v>17.52</v>
      </c>
      <c r="E161" s="72"/>
      <c r="F161" s="341">
        <f>IF(D161="n/a",0,ROUND(C161*D161*12,0))</f>
        <v>0</v>
      </c>
      <c r="G161" s="330">
        <f>+'(JAP4) LIGHT RD'!P68</f>
        <v>17.73</v>
      </c>
      <c r="H161" s="341">
        <f t="shared" si="20"/>
        <v>0</v>
      </c>
      <c r="I161" s="72"/>
    </row>
    <row r="162" spans="1:14">
      <c r="A162" s="117" t="s">
        <v>497</v>
      </c>
      <c r="B162" s="72"/>
      <c r="D162" s="330">
        <f>+'(JAP4)-Light Tariff Summary'!E62</f>
        <v>21.69</v>
      </c>
      <c r="E162" s="72"/>
      <c r="F162" s="341">
        <f>IF(D162="n/a",0,ROUND(C162*D162*12,0))</f>
        <v>0</v>
      </c>
      <c r="G162" s="330">
        <f>+'(JAP4) LIGHT RD'!P69</f>
        <v>21.92</v>
      </c>
      <c r="H162" s="341">
        <f t="shared" si="20"/>
        <v>0</v>
      </c>
      <c r="I162" s="72"/>
    </row>
    <row r="163" spans="1:14">
      <c r="A163" s="117" t="s">
        <v>498</v>
      </c>
      <c r="B163" s="72"/>
      <c r="D163" s="330">
        <f>+'(JAP4)-Light Tariff Summary'!E63</f>
        <v>27.95</v>
      </c>
      <c r="E163" s="72"/>
      <c r="F163" s="341">
        <f>IF(D163="n/a",0,ROUND(C163*D163*12,0))</f>
        <v>0</v>
      </c>
      <c r="G163" s="330">
        <f>+'(JAP4) LIGHT RD'!P70</f>
        <v>28.22</v>
      </c>
      <c r="H163" s="341">
        <f t="shared" si="20"/>
        <v>0</v>
      </c>
      <c r="I163" s="72"/>
    </row>
    <row r="164" spans="1:14">
      <c r="A164" s="117"/>
      <c r="B164" s="72"/>
      <c r="D164" s="330"/>
      <c r="E164" s="72"/>
      <c r="F164" s="72"/>
      <c r="G164" s="330"/>
      <c r="H164" s="72"/>
      <c r="I164" s="72"/>
    </row>
    <row r="165" spans="1:14">
      <c r="A165" s="117" t="s">
        <v>499</v>
      </c>
      <c r="B165" s="72"/>
      <c r="C165" s="265">
        <f>ROUND(+'[2]Light Inventory'!$E$72,0)</f>
        <v>162</v>
      </c>
      <c r="D165" s="330">
        <f>+'(JAP4)-Light Tariff Summary'!E65</f>
        <v>9.9700000000000006</v>
      </c>
      <c r="E165" s="72"/>
      <c r="F165" s="341">
        <f t="shared" ref="F165:F218" si="21">IF(D165="n/a",0,ROUND(C165*D165*12,0))</f>
        <v>19382</v>
      </c>
      <c r="G165" s="330">
        <f>+'(JAP4) LIGHT RD'!P72</f>
        <v>10.100000000000001</v>
      </c>
      <c r="H165" s="341">
        <f t="shared" si="20"/>
        <v>19634</v>
      </c>
      <c r="I165" s="72"/>
      <c r="J165" s="63"/>
      <c r="L165" s="265"/>
      <c r="N165" s="265"/>
    </row>
    <row r="166" spans="1:14">
      <c r="A166" s="117" t="s">
        <v>500</v>
      </c>
      <c r="B166" s="72"/>
      <c r="C166" s="265">
        <f>ROUND(+'[2]Light Inventory'!$E$73,0)</f>
        <v>8</v>
      </c>
      <c r="D166" s="330">
        <f>+D165</f>
        <v>9.9700000000000006</v>
      </c>
      <c r="E166" s="72"/>
      <c r="F166" s="341">
        <f t="shared" si="21"/>
        <v>957</v>
      </c>
      <c r="G166" s="330">
        <f>+G165</f>
        <v>10.100000000000001</v>
      </c>
      <c r="H166" s="341">
        <f t="shared" si="20"/>
        <v>970</v>
      </c>
      <c r="I166" s="72"/>
      <c r="L166" s="265"/>
      <c r="N166" s="265"/>
    </row>
    <row r="167" spans="1:14">
      <c r="A167" s="117" t="s">
        <v>501</v>
      </c>
      <c r="B167" s="72"/>
      <c r="C167" s="265">
        <f>ROUND(+'[2]Light Inventory'!$E$74,0)</f>
        <v>4050</v>
      </c>
      <c r="D167" s="330">
        <f t="shared" ref="D167:D218" si="22">+D166</f>
        <v>9.9700000000000006</v>
      </c>
      <c r="E167" s="72"/>
      <c r="F167" s="341">
        <f t="shared" si="21"/>
        <v>484542</v>
      </c>
      <c r="G167" s="330">
        <f>+G166</f>
        <v>10.100000000000001</v>
      </c>
      <c r="H167" s="341">
        <f t="shared" si="20"/>
        <v>490860</v>
      </c>
      <c r="I167" s="72"/>
      <c r="L167" s="265"/>
      <c r="N167" s="265"/>
    </row>
    <row r="168" spans="1:14">
      <c r="A168" s="117" t="s">
        <v>502</v>
      </c>
      <c r="B168" s="72"/>
      <c r="C168" s="265">
        <f>ROUND(+'[2]Light Inventory'!$E$75,0)</f>
        <v>200</v>
      </c>
      <c r="D168" s="330">
        <f t="shared" si="22"/>
        <v>9.9700000000000006</v>
      </c>
      <c r="E168" s="72"/>
      <c r="F168" s="341">
        <f t="shared" si="21"/>
        <v>23928</v>
      </c>
      <c r="G168" s="330">
        <f>+G167</f>
        <v>10.100000000000001</v>
      </c>
      <c r="H168" s="341">
        <f t="shared" si="20"/>
        <v>24240</v>
      </c>
      <c r="I168" s="72"/>
      <c r="L168" s="265"/>
      <c r="N168" s="265"/>
    </row>
    <row r="169" spans="1:14">
      <c r="A169" s="117" t="s">
        <v>503</v>
      </c>
      <c r="B169" s="72"/>
      <c r="C169" s="265">
        <f>ROUND(+'[2]Light Inventory'!$E$76,0)</f>
        <v>11946</v>
      </c>
      <c r="D169" s="330">
        <f t="shared" si="22"/>
        <v>9.9700000000000006</v>
      </c>
      <c r="E169" s="72"/>
      <c r="F169" s="341">
        <f t="shared" si="21"/>
        <v>1429219</v>
      </c>
      <c r="G169" s="330">
        <f>+G168</f>
        <v>10.100000000000001</v>
      </c>
      <c r="H169" s="341">
        <f t="shared" si="20"/>
        <v>1447855</v>
      </c>
      <c r="I169" s="72"/>
      <c r="L169" s="265"/>
      <c r="N169" s="265"/>
    </row>
    <row r="170" spans="1:14">
      <c r="A170" s="117" t="s">
        <v>504</v>
      </c>
      <c r="B170" s="72"/>
      <c r="C170" s="265">
        <f>ROUND(+'[2]Light Inventory'!$E$77,0)</f>
        <v>520</v>
      </c>
      <c r="D170" s="330">
        <f t="shared" si="22"/>
        <v>9.9700000000000006</v>
      </c>
      <c r="E170" s="72"/>
      <c r="F170" s="341">
        <f t="shared" si="21"/>
        <v>62213</v>
      </c>
      <c r="G170" s="330">
        <f>+G169</f>
        <v>10.100000000000001</v>
      </c>
      <c r="H170" s="341">
        <f t="shared" si="20"/>
        <v>63024</v>
      </c>
      <c r="I170" s="72"/>
      <c r="L170" s="265"/>
      <c r="N170" s="265"/>
    </row>
    <row r="171" spans="1:14">
      <c r="A171" s="117" t="s">
        <v>505</v>
      </c>
      <c r="B171" s="72"/>
      <c r="C171" s="265">
        <f>ROUND(+'[2]Light Inventory'!$E$78,0)</f>
        <v>2</v>
      </c>
      <c r="D171" s="330">
        <f>+'(JAP4)-Light Tariff Summary'!E66</f>
        <v>11.03</v>
      </c>
      <c r="E171" s="72"/>
      <c r="F171" s="341">
        <f t="shared" si="21"/>
        <v>265</v>
      </c>
      <c r="G171" s="330">
        <f>+'(JAP4) LIGHT RD'!P73</f>
        <v>11.17</v>
      </c>
      <c r="H171" s="341">
        <f t="shared" si="20"/>
        <v>268</v>
      </c>
      <c r="I171" s="72"/>
      <c r="J171" s="63"/>
      <c r="L171" s="265"/>
      <c r="N171" s="265"/>
    </row>
    <row r="172" spans="1:14">
      <c r="A172" s="117" t="s">
        <v>506</v>
      </c>
      <c r="B172" s="72"/>
      <c r="D172" s="330">
        <f t="shared" si="22"/>
        <v>11.03</v>
      </c>
      <c r="E172" s="72"/>
      <c r="F172" s="341">
        <f t="shared" si="21"/>
        <v>0</v>
      </c>
      <c r="G172" s="330">
        <f>+G171</f>
        <v>11.17</v>
      </c>
      <c r="H172" s="341">
        <f t="shared" si="20"/>
        <v>0</v>
      </c>
      <c r="I172" s="72"/>
      <c r="J172" s="63"/>
    </row>
    <row r="173" spans="1:14">
      <c r="A173" s="117" t="s">
        <v>507</v>
      </c>
      <c r="B173" s="72"/>
      <c r="C173" s="265">
        <f>ROUND(+'[2]Light Inventory'!$E$79,0)</f>
        <v>3</v>
      </c>
      <c r="D173" s="330">
        <f t="shared" si="22"/>
        <v>11.03</v>
      </c>
      <c r="E173" s="72"/>
      <c r="F173" s="341">
        <f t="shared" si="21"/>
        <v>397</v>
      </c>
      <c r="G173" s="330">
        <f>+G172</f>
        <v>11.17</v>
      </c>
      <c r="H173" s="341">
        <f t="shared" si="20"/>
        <v>402</v>
      </c>
      <c r="I173" s="72"/>
      <c r="L173" s="265"/>
      <c r="N173" s="265"/>
    </row>
    <row r="174" spans="1:14">
      <c r="A174" s="117" t="s">
        <v>508</v>
      </c>
      <c r="B174" s="72"/>
      <c r="D174" s="330">
        <f t="shared" si="22"/>
        <v>11.03</v>
      </c>
      <c r="E174" s="72"/>
      <c r="F174" s="341">
        <f t="shared" si="21"/>
        <v>0</v>
      </c>
      <c r="G174" s="330">
        <f>+G173</f>
        <v>11.17</v>
      </c>
      <c r="H174" s="341">
        <f t="shared" si="20"/>
        <v>0</v>
      </c>
      <c r="I174" s="72"/>
    </row>
    <row r="175" spans="1:14">
      <c r="A175" s="117" t="s">
        <v>509</v>
      </c>
      <c r="B175" s="72"/>
      <c r="C175" s="265">
        <f>ROUND(+'[2]Light Inventory'!$E$80,0)</f>
        <v>12</v>
      </c>
      <c r="D175" s="330">
        <f t="shared" si="22"/>
        <v>11.03</v>
      </c>
      <c r="E175" s="72"/>
      <c r="F175" s="341">
        <f t="shared" si="21"/>
        <v>1588</v>
      </c>
      <c r="G175" s="330">
        <f>+G174</f>
        <v>11.17</v>
      </c>
      <c r="H175" s="341">
        <f t="shared" si="20"/>
        <v>1608</v>
      </c>
      <c r="I175" s="72"/>
      <c r="L175" s="265"/>
      <c r="N175" s="265"/>
    </row>
    <row r="176" spans="1:14">
      <c r="A176" s="117" t="s">
        <v>510</v>
      </c>
      <c r="B176" s="72"/>
      <c r="C176" s="265">
        <f>ROUND(+'[2]Light Inventory'!$E$81,0)</f>
        <v>1</v>
      </c>
      <c r="D176" s="330">
        <f t="shared" si="22"/>
        <v>11.03</v>
      </c>
      <c r="E176" s="72"/>
      <c r="F176" s="341">
        <f t="shared" si="21"/>
        <v>132</v>
      </c>
      <c r="G176" s="330">
        <f>+G175</f>
        <v>11.17</v>
      </c>
      <c r="H176" s="341">
        <f t="shared" si="20"/>
        <v>134</v>
      </c>
      <c r="I176" s="72"/>
      <c r="L176" s="265"/>
      <c r="N176" s="265"/>
    </row>
    <row r="177" spans="1:14">
      <c r="A177" s="117" t="s">
        <v>511</v>
      </c>
      <c r="B177" s="72"/>
      <c r="C177" s="265">
        <f>ROUND(+'[2]Light Inventory'!$E$82,0)</f>
        <v>87</v>
      </c>
      <c r="D177" s="330">
        <f>+'(JAP4)-Light Tariff Summary'!E67</f>
        <v>12.1</v>
      </c>
      <c r="E177" s="72"/>
      <c r="F177" s="341">
        <f t="shared" si="21"/>
        <v>12632</v>
      </c>
      <c r="G177" s="330">
        <f>+'(JAP4) LIGHT RD'!P74</f>
        <v>12.24</v>
      </c>
      <c r="H177" s="341">
        <f t="shared" si="20"/>
        <v>12779</v>
      </c>
      <c r="I177" s="72"/>
      <c r="L177" s="265"/>
      <c r="N177" s="265"/>
    </row>
    <row r="178" spans="1:14">
      <c r="A178" s="117" t="s">
        <v>512</v>
      </c>
      <c r="B178" s="72"/>
      <c r="C178" s="265">
        <f>ROUND(+'[2]Light Inventory'!$E$83,0)</f>
        <v>284</v>
      </c>
      <c r="D178" s="330">
        <f t="shared" si="22"/>
        <v>12.1</v>
      </c>
      <c r="E178" s="72"/>
      <c r="F178" s="341">
        <f t="shared" si="21"/>
        <v>41237</v>
      </c>
      <c r="G178" s="330">
        <f>+G177</f>
        <v>12.24</v>
      </c>
      <c r="H178" s="341">
        <f t="shared" si="20"/>
        <v>41714</v>
      </c>
      <c r="I178" s="72"/>
      <c r="L178" s="265"/>
      <c r="N178" s="265"/>
    </row>
    <row r="179" spans="1:14">
      <c r="A179" s="117" t="s">
        <v>513</v>
      </c>
      <c r="B179" s="72"/>
      <c r="C179" s="265">
        <f>ROUND(+'[2]Light Inventory'!$E$84,0)</f>
        <v>1462</v>
      </c>
      <c r="D179" s="330">
        <f t="shared" si="22"/>
        <v>12.1</v>
      </c>
      <c r="E179" s="72"/>
      <c r="F179" s="341">
        <f t="shared" si="21"/>
        <v>212282</v>
      </c>
      <c r="G179" s="330">
        <f>+G178</f>
        <v>12.24</v>
      </c>
      <c r="H179" s="341">
        <f t="shared" si="20"/>
        <v>214739</v>
      </c>
      <c r="I179" s="72"/>
      <c r="L179" s="265"/>
      <c r="N179" s="265"/>
    </row>
    <row r="180" spans="1:14">
      <c r="A180" s="117" t="s">
        <v>514</v>
      </c>
      <c r="B180" s="72"/>
      <c r="C180" s="265">
        <f>ROUND(+'[2]Light Inventory'!$E$85,0)</f>
        <v>1</v>
      </c>
      <c r="D180" s="330">
        <f t="shared" si="22"/>
        <v>12.1</v>
      </c>
      <c r="E180" s="72"/>
      <c r="F180" s="341">
        <f t="shared" si="21"/>
        <v>145</v>
      </c>
      <c r="G180" s="330">
        <f>+G179</f>
        <v>12.24</v>
      </c>
      <c r="H180" s="341">
        <f t="shared" si="20"/>
        <v>147</v>
      </c>
      <c r="I180" s="72"/>
      <c r="L180" s="265"/>
      <c r="N180" s="265"/>
    </row>
    <row r="181" spans="1:14">
      <c r="A181" s="117" t="s">
        <v>515</v>
      </c>
      <c r="B181" s="72"/>
      <c r="D181" s="330">
        <f t="shared" si="22"/>
        <v>12.1</v>
      </c>
      <c r="E181" s="72"/>
      <c r="F181" s="341">
        <f t="shared" si="21"/>
        <v>0</v>
      </c>
      <c r="G181" s="330">
        <f>+G180</f>
        <v>12.24</v>
      </c>
      <c r="H181" s="341">
        <f t="shared" si="20"/>
        <v>0</v>
      </c>
      <c r="I181" s="72"/>
    </row>
    <row r="182" spans="1:14">
      <c r="A182" s="117" t="s">
        <v>516</v>
      </c>
      <c r="B182" s="72"/>
      <c r="C182" s="265">
        <f>ROUND(+'[2]Light Inventory'!$E$86,0)</f>
        <v>20</v>
      </c>
      <c r="D182" s="330">
        <f t="shared" si="22"/>
        <v>12.1</v>
      </c>
      <c r="E182" s="72"/>
      <c r="F182" s="341">
        <f t="shared" si="21"/>
        <v>2904</v>
      </c>
      <c r="G182" s="330">
        <f>+G181</f>
        <v>12.24</v>
      </c>
      <c r="H182" s="341">
        <f t="shared" si="20"/>
        <v>2938</v>
      </c>
      <c r="I182" s="72"/>
      <c r="L182" s="265"/>
      <c r="N182" s="265"/>
    </row>
    <row r="183" spans="1:14">
      <c r="A183" s="117" t="s">
        <v>517</v>
      </c>
      <c r="B183" s="72"/>
      <c r="D183" s="330">
        <f>+'(JAP4)-Light Tariff Summary'!E68</f>
        <v>13.16</v>
      </c>
      <c r="E183" s="72"/>
      <c r="F183" s="341">
        <f t="shared" si="21"/>
        <v>0</v>
      </c>
      <c r="G183" s="330">
        <f>+'(JAP4) LIGHT RD'!P75</f>
        <v>13.31</v>
      </c>
      <c r="H183" s="341">
        <f t="shared" si="20"/>
        <v>0</v>
      </c>
      <c r="I183" s="72"/>
    </row>
    <row r="184" spans="1:14">
      <c r="A184" s="117" t="s">
        <v>518</v>
      </c>
      <c r="B184" s="72"/>
      <c r="C184" s="265">
        <f>ROUND(+'[2]Light Inventory'!$E$87,0)</f>
        <v>216</v>
      </c>
      <c r="D184" s="330">
        <f t="shared" si="22"/>
        <v>13.16</v>
      </c>
      <c r="E184" s="72"/>
      <c r="F184" s="341">
        <f t="shared" si="21"/>
        <v>34111</v>
      </c>
      <c r="G184" s="330">
        <f>+G183</f>
        <v>13.31</v>
      </c>
      <c r="H184" s="341">
        <f t="shared" si="20"/>
        <v>34500</v>
      </c>
      <c r="I184" s="72"/>
      <c r="L184" s="265"/>
      <c r="N184" s="265"/>
    </row>
    <row r="185" spans="1:14">
      <c r="A185" s="117" t="s">
        <v>519</v>
      </c>
      <c r="B185" s="72"/>
      <c r="C185" s="265">
        <f>ROUND(+'[2]Light Inventory'!$E$88,0)</f>
        <v>448</v>
      </c>
      <c r="D185" s="330">
        <f t="shared" si="22"/>
        <v>13.16</v>
      </c>
      <c r="E185" s="72"/>
      <c r="F185" s="341">
        <f t="shared" si="21"/>
        <v>70748</v>
      </c>
      <c r="G185" s="330">
        <f>+G184</f>
        <v>13.31</v>
      </c>
      <c r="H185" s="341">
        <f t="shared" si="20"/>
        <v>71555</v>
      </c>
      <c r="I185" s="72"/>
      <c r="L185" s="265"/>
      <c r="N185" s="265"/>
    </row>
    <row r="186" spans="1:14">
      <c r="A186" s="117" t="s">
        <v>520</v>
      </c>
      <c r="B186" s="72"/>
      <c r="C186" s="265">
        <f>ROUND(+'[2]Light Inventory'!$E$89,0)</f>
        <v>1017</v>
      </c>
      <c r="D186" s="330">
        <f t="shared" si="22"/>
        <v>13.16</v>
      </c>
      <c r="E186" s="72"/>
      <c r="F186" s="341">
        <f t="shared" si="21"/>
        <v>160605</v>
      </c>
      <c r="G186" s="330">
        <f>+G185</f>
        <v>13.31</v>
      </c>
      <c r="H186" s="341">
        <f t="shared" si="20"/>
        <v>162435</v>
      </c>
      <c r="I186" s="72"/>
      <c r="L186" s="265"/>
      <c r="N186" s="265"/>
    </row>
    <row r="187" spans="1:14">
      <c r="A187" s="117" t="s">
        <v>521</v>
      </c>
      <c r="B187" s="72"/>
      <c r="D187" s="330">
        <f t="shared" si="22"/>
        <v>13.16</v>
      </c>
      <c r="E187" s="72"/>
      <c r="F187" s="341">
        <f t="shared" si="21"/>
        <v>0</v>
      </c>
      <c r="G187" s="330">
        <f>+G186</f>
        <v>13.31</v>
      </c>
      <c r="H187" s="341">
        <f t="shared" si="20"/>
        <v>0</v>
      </c>
      <c r="I187" s="72"/>
    </row>
    <row r="188" spans="1:14">
      <c r="A188" s="117" t="s">
        <v>522</v>
      </c>
      <c r="B188" s="72"/>
      <c r="C188" s="265">
        <f>ROUND(+'[2]Light Inventory'!$E$90,0)</f>
        <v>4</v>
      </c>
      <c r="D188" s="330">
        <f t="shared" si="22"/>
        <v>13.16</v>
      </c>
      <c r="E188" s="72"/>
      <c r="F188" s="341">
        <f t="shared" si="21"/>
        <v>632</v>
      </c>
      <c r="G188" s="330">
        <f>+G187</f>
        <v>13.31</v>
      </c>
      <c r="H188" s="341">
        <f t="shared" si="20"/>
        <v>639</v>
      </c>
      <c r="I188" s="72"/>
      <c r="L188" s="265"/>
      <c r="N188" s="265"/>
    </row>
    <row r="189" spans="1:14">
      <c r="A189" s="117" t="s">
        <v>523</v>
      </c>
      <c r="B189" s="72"/>
      <c r="C189" s="265">
        <f>ROUND(+'[2]Light Inventory'!$E$91,0)</f>
        <v>70</v>
      </c>
      <c r="D189" s="330">
        <f>+'(JAP4)-Light Tariff Summary'!E69</f>
        <v>14.23</v>
      </c>
      <c r="E189" s="72"/>
      <c r="F189" s="341">
        <f t="shared" si="21"/>
        <v>11953</v>
      </c>
      <c r="G189" s="330">
        <f>+'(JAP4) LIGHT RD'!P76</f>
        <v>14.38</v>
      </c>
      <c r="H189" s="341">
        <f t="shared" si="20"/>
        <v>12079</v>
      </c>
      <c r="I189" s="72"/>
      <c r="L189" s="265"/>
      <c r="N189" s="265"/>
    </row>
    <row r="190" spans="1:14">
      <c r="A190" s="117" t="s">
        <v>524</v>
      </c>
      <c r="B190" s="72"/>
      <c r="C190" s="265">
        <f>ROUND(+'[2]Light Inventory'!$E$92,0)</f>
        <v>1</v>
      </c>
      <c r="D190" s="330">
        <f t="shared" si="22"/>
        <v>14.23</v>
      </c>
      <c r="E190" s="72"/>
      <c r="F190" s="341">
        <f t="shared" si="21"/>
        <v>171</v>
      </c>
      <c r="G190" s="330">
        <f>+G189</f>
        <v>14.38</v>
      </c>
      <c r="H190" s="341">
        <f t="shared" si="20"/>
        <v>173</v>
      </c>
      <c r="I190" s="72"/>
      <c r="L190" s="265"/>
      <c r="N190" s="265"/>
    </row>
    <row r="191" spans="1:14">
      <c r="A191" s="117" t="s">
        <v>525</v>
      </c>
      <c r="B191" s="72"/>
      <c r="C191" s="265">
        <f>ROUND(+'[2]Light Inventory'!$E$93,0)</f>
        <v>1</v>
      </c>
      <c r="D191" s="330">
        <f t="shared" si="22"/>
        <v>14.23</v>
      </c>
      <c r="E191" s="72"/>
      <c r="F191" s="341">
        <f t="shared" si="21"/>
        <v>171</v>
      </c>
      <c r="G191" s="330">
        <f>+G190</f>
        <v>14.38</v>
      </c>
      <c r="H191" s="341">
        <f t="shared" si="20"/>
        <v>173</v>
      </c>
      <c r="I191" s="72"/>
      <c r="L191" s="265"/>
      <c r="N191" s="265"/>
    </row>
    <row r="192" spans="1:14">
      <c r="A192" s="117" t="s">
        <v>526</v>
      </c>
      <c r="B192" s="72"/>
      <c r="D192" s="330">
        <f t="shared" si="22"/>
        <v>14.23</v>
      </c>
      <c r="E192" s="72"/>
      <c r="F192" s="341">
        <f t="shared" si="21"/>
        <v>0</v>
      </c>
      <c r="G192" s="330">
        <f>+G191</f>
        <v>14.38</v>
      </c>
      <c r="H192" s="341">
        <f t="shared" si="20"/>
        <v>0</v>
      </c>
      <c r="I192" s="72"/>
    </row>
    <row r="193" spans="1:14">
      <c r="A193" s="117" t="s">
        <v>527</v>
      </c>
      <c r="B193" s="72"/>
      <c r="D193" s="330">
        <f t="shared" si="22"/>
        <v>14.23</v>
      </c>
      <c r="E193" s="72"/>
      <c r="F193" s="341">
        <f t="shared" si="21"/>
        <v>0</v>
      </c>
      <c r="G193" s="330">
        <f>+G192</f>
        <v>14.38</v>
      </c>
      <c r="H193" s="341">
        <f t="shared" si="20"/>
        <v>0</v>
      </c>
      <c r="I193" s="72"/>
    </row>
    <row r="194" spans="1:14">
      <c r="A194" s="117" t="s">
        <v>528</v>
      </c>
      <c r="B194" s="72"/>
      <c r="D194" s="330">
        <f t="shared" si="22"/>
        <v>14.23</v>
      </c>
      <c r="E194" s="72"/>
      <c r="F194" s="341">
        <f t="shared" si="21"/>
        <v>0</v>
      </c>
      <c r="G194" s="330">
        <f>+G193</f>
        <v>14.38</v>
      </c>
      <c r="H194" s="341">
        <f t="shared" si="20"/>
        <v>0</v>
      </c>
      <c r="I194" s="72"/>
    </row>
    <row r="195" spans="1:14">
      <c r="A195" s="117" t="s">
        <v>529</v>
      </c>
      <c r="B195" s="72"/>
      <c r="D195" s="330">
        <f>+'(JAP4)-Light Tariff Summary'!E70</f>
        <v>15.29</v>
      </c>
      <c r="E195" s="72"/>
      <c r="F195" s="341">
        <f t="shared" si="21"/>
        <v>0</v>
      </c>
      <c r="G195" s="330">
        <f>+'(JAP4) LIGHT RD'!P77</f>
        <v>15.45</v>
      </c>
      <c r="H195" s="341">
        <f t="shared" si="20"/>
        <v>0</v>
      </c>
      <c r="I195" s="72"/>
    </row>
    <row r="196" spans="1:14">
      <c r="A196" s="117" t="s">
        <v>530</v>
      </c>
      <c r="B196" s="72"/>
      <c r="C196" s="265">
        <f>ROUND(+'[2]Light Inventory'!$E$94,0)</f>
        <v>2</v>
      </c>
      <c r="D196" s="330">
        <f t="shared" si="22"/>
        <v>15.29</v>
      </c>
      <c r="E196" s="72"/>
      <c r="F196" s="341">
        <f t="shared" si="21"/>
        <v>367</v>
      </c>
      <c r="G196" s="330">
        <f>+G195</f>
        <v>15.45</v>
      </c>
      <c r="H196" s="341">
        <f t="shared" si="20"/>
        <v>371</v>
      </c>
      <c r="I196" s="72"/>
      <c r="L196" s="265"/>
      <c r="N196" s="265"/>
    </row>
    <row r="197" spans="1:14">
      <c r="A197" s="117" t="s">
        <v>531</v>
      </c>
      <c r="B197" s="72"/>
      <c r="C197" s="265">
        <f>ROUND(+'[2]Light Inventory'!$E$95,0)</f>
        <v>27</v>
      </c>
      <c r="D197" s="330">
        <f t="shared" si="22"/>
        <v>15.29</v>
      </c>
      <c r="E197" s="72"/>
      <c r="F197" s="341">
        <f t="shared" si="21"/>
        <v>4954</v>
      </c>
      <c r="G197" s="330">
        <f>+G196</f>
        <v>15.45</v>
      </c>
      <c r="H197" s="341">
        <f t="shared" si="20"/>
        <v>5006</v>
      </c>
      <c r="I197" s="72"/>
      <c r="L197" s="265"/>
      <c r="N197" s="265"/>
    </row>
    <row r="198" spans="1:14">
      <c r="A198" s="117" t="s">
        <v>532</v>
      </c>
      <c r="B198" s="72"/>
      <c r="C198" s="265">
        <f>ROUND(+'[2]Light Inventory'!$E$96,0)</f>
        <v>128</v>
      </c>
      <c r="D198" s="330">
        <f t="shared" si="22"/>
        <v>15.29</v>
      </c>
      <c r="E198" s="72"/>
      <c r="F198" s="341">
        <f t="shared" si="21"/>
        <v>23485</v>
      </c>
      <c r="G198" s="330">
        <f>+G197</f>
        <v>15.45</v>
      </c>
      <c r="H198" s="341">
        <f t="shared" si="20"/>
        <v>23731</v>
      </c>
      <c r="I198" s="72"/>
      <c r="L198" s="265"/>
      <c r="N198" s="265"/>
    </row>
    <row r="199" spans="1:14">
      <c r="A199" s="117" t="s">
        <v>533</v>
      </c>
      <c r="B199" s="72"/>
      <c r="C199" s="265">
        <f>ROUND(+'[2]Light Inventory'!$E$97,0)</f>
        <v>213</v>
      </c>
      <c r="D199" s="330">
        <f t="shared" si="22"/>
        <v>15.29</v>
      </c>
      <c r="E199" s="72"/>
      <c r="F199" s="341">
        <f t="shared" si="21"/>
        <v>39081</v>
      </c>
      <c r="G199" s="330">
        <f>+G198</f>
        <v>15.45</v>
      </c>
      <c r="H199" s="341">
        <f t="shared" si="20"/>
        <v>39490</v>
      </c>
      <c r="I199" s="72"/>
      <c r="L199" s="265"/>
      <c r="N199" s="265"/>
    </row>
    <row r="200" spans="1:14">
      <c r="A200" s="117" t="s">
        <v>534</v>
      </c>
      <c r="B200" s="72"/>
      <c r="D200" s="330">
        <f t="shared" si="22"/>
        <v>15.29</v>
      </c>
      <c r="E200" s="72"/>
      <c r="F200" s="341">
        <f t="shared" si="21"/>
        <v>0</v>
      </c>
      <c r="G200" s="330">
        <f>+G199</f>
        <v>15.45</v>
      </c>
      <c r="H200" s="341">
        <f t="shared" si="20"/>
        <v>0</v>
      </c>
      <c r="I200" s="72"/>
    </row>
    <row r="201" spans="1:14">
      <c r="A201" s="117" t="s">
        <v>535</v>
      </c>
      <c r="B201" s="72"/>
      <c r="D201" s="330">
        <f>+'(JAP4)-Light Tariff Summary'!E71</f>
        <v>16.36</v>
      </c>
      <c r="E201" s="72"/>
      <c r="F201" s="341">
        <f t="shared" si="21"/>
        <v>0</v>
      </c>
      <c r="G201" s="330">
        <f>+'(JAP4) LIGHT RD'!P78</f>
        <v>16.52</v>
      </c>
      <c r="H201" s="341">
        <f t="shared" si="20"/>
        <v>0</v>
      </c>
      <c r="I201" s="72"/>
    </row>
    <row r="202" spans="1:14">
      <c r="A202" s="117" t="s">
        <v>536</v>
      </c>
      <c r="B202" s="72"/>
      <c r="D202" s="330">
        <f t="shared" si="22"/>
        <v>16.36</v>
      </c>
      <c r="E202" s="72"/>
      <c r="F202" s="341">
        <f t="shared" si="21"/>
        <v>0</v>
      </c>
      <c r="G202" s="330">
        <f>+G201</f>
        <v>16.52</v>
      </c>
      <c r="H202" s="341">
        <f t="shared" si="20"/>
        <v>0</v>
      </c>
      <c r="I202" s="72"/>
    </row>
    <row r="203" spans="1:14">
      <c r="A203" s="117" t="s">
        <v>537</v>
      </c>
      <c r="B203" s="72"/>
      <c r="D203" s="330">
        <f t="shared" si="22"/>
        <v>16.36</v>
      </c>
      <c r="E203" s="72"/>
      <c r="F203" s="341">
        <f t="shared" si="21"/>
        <v>0</v>
      </c>
      <c r="G203" s="330">
        <f>+G202</f>
        <v>16.52</v>
      </c>
      <c r="H203" s="341">
        <f t="shared" si="20"/>
        <v>0</v>
      </c>
      <c r="I203" s="72"/>
    </row>
    <row r="204" spans="1:14">
      <c r="A204" s="117" t="s">
        <v>538</v>
      </c>
      <c r="B204" s="72"/>
      <c r="D204" s="330">
        <f t="shared" si="22"/>
        <v>16.36</v>
      </c>
      <c r="E204" s="72"/>
      <c r="F204" s="341">
        <f t="shared" si="21"/>
        <v>0</v>
      </c>
      <c r="G204" s="330">
        <f>+G203</f>
        <v>16.52</v>
      </c>
      <c r="H204" s="341">
        <f t="shared" si="20"/>
        <v>0</v>
      </c>
      <c r="I204" s="72"/>
    </row>
    <row r="205" spans="1:14">
      <c r="A205" s="117" t="s">
        <v>539</v>
      </c>
      <c r="B205" s="72"/>
      <c r="D205" s="330">
        <f t="shared" si="22"/>
        <v>16.36</v>
      </c>
      <c r="E205" s="72"/>
      <c r="F205" s="341">
        <f t="shared" si="21"/>
        <v>0</v>
      </c>
      <c r="G205" s="330">
        <f>+G204</f>
        <v>16.52</v>
      </c>
      <c r="H205" s="341">
        <f t="shared" si="20"/>
        <v>0</v>
      </c>
      <c r="I205" s="72"/>
    </row>
    <row r="206" spans="1:14">
      <c r="A206" s="117" t="s">
        <v>540</v>
      </c>
      <c r="B206" s="72"/>
      <c r="D206" s="330">
        <f t="shared" si="22"/>
        <v>16.36</v>
      </c>
      <c r="E206" s="72"/>
      <c r="F206" s="341">
        <f t="shared" si="21"/>
        <v>0</v>
      </c>
      <c r="G206" s="330">
        <f>+G205</f>
        <v>16.52</v>
      </c>
      <c r="H206" s="341">
        <f t="shared" si="20"/>
        <v>0</v>
      </c>
      <c r="I206" s="72"/>
    </row>
    <row r="207" spans="1:14">
      <c r="A207" s="117" t="s">
        <v>541</v>
      </c>
      <c r="B207" s="72"/>
      <c r="D207" s="330">
        <f>+'(JAP4)-Light Tariff Summary'!E72</f>
        <v>17.420000000000002</v>
      </c>
      <c r="E207" s="72"/>
      <c r="F207" s="341">
        <f t="shared" si="21"/>
        <v>0</v>
      </c>
      <c r="G207" s="330">
        <f>+'(JAP4) LIGHT RD'!P79</f>
        <v>17.590000000000003</v>
      </c>
      <c r="H207" s="341">
        <f t="shared" si="20"/>
        <v>0</v>
      </c>
      <c r="I207" s="72"/>
    </row>
    <row r="208" spans="1:14">
      <c r="A208" s="117" t="s">
        <v>542</v>
      </c>
      <c r="B208" s="72"/>
      <c r="D208" s="330">
        <f t="shared" si="22"/>
        <v>17.420000000000002</v>
      </c>
      <c r="E208" s="72"/>
      <c r="F208" s="341">
        <f t="shared" si="21"/>
        <v>0</v>
      </c>
      <c r="G208" s="330">
        <f>+G207</f>
        <v>17.590000000000003</v>
      </c>
      <c r="H208" s="341">
        <f t="shared" si="20"/>
        <v>0</v>
      </c>
      <c r="I208" s="72"/>
    </row>
    <row r="209" spans="1:14">
      <c r="A209" s="117" t="s">
        <v>543</v>
      </c>
      <c r="B209" s="72"/>
      <c r="D209" s="330">
        <f t="shared" si="22"/>
        <v>17.420000000000002</v>
      </c>
      <c r="E209" s="72"/>
      <c r="F209" s="341">
        <f t="shared" si="21"/>
        <v>0</v>
      </c>
      <c r="G209" s="330">
        <f>+G208</f>
        <v>17.590000000000003</v>
      </c>
      <c r="H209" s="341">
        <f t="shared" si="20"/>
        <v>0</v>
      </c>
      <c r="I209" s="72"/>
    </row>
    <row r="210" spans="1:14">
      <c r="A210" s="117" t="s">
        <v>544</v>
      </c>
      <c r="B210" s="72"/>
      <c r="C210" s="265">
        <f>ROUND(+'[2]Light Inventory'!$E$98,0)</f>
        <v>23</v>
      </c>
      <c r="D210" s="330">
        <f t="shared" si="22"/>
        <v>17.420000000000002</v>
      </c>
      <c r="E210" s="72"/>
      <c r="F210" s="341">
        <f t="shared" si="21"/>
        <v>4808</v>
      </c>
      <c r="G210" s="330">
        <f>+G209</f>
        <v>17.590000000000003</v>
      </c>
      <c r="H210" s="341">
        <f t="shared" si="20"/>
        <v>4855</v>
      </c>
      <c r="I210" s="72"/>
      <c r="L210" s="265"/>
      <c r="N210" s="265"/>
    </row>
    <row r="211" spans="1:14">
      <c r="A211" s="117" t="s">
        <v>545</v>
      </c>
      <c r="B211" s="72"/>
      <c r="C211" s="265">
        <f>ROUND(+'[2]Light Inventory'!$E$99,0)</f>
        <v>1</v>
      </c>
      <c r="D211" s="330">
        <f t="shared" si="22"/>
        <v>17.420000000000002</v>
      </c>
      <c r="E211" s="72"/>
      <c r="F211" s="341">
        <f t="shared" si="21"/>
        <v>209</v>
      </c>
      <c r="G211" s="330">
        <f>+G210</f>
        <v>17.590000000000003</v>
      </c>
      <c r="H211" s="341">
        <f t="shared" si="20"/>
        <v>211</v>
      </c>
      <c r="I211" s="72"/>
      <c r="L211" s="265"/>
      <c r="N211" s="265"/>
    </row>
    <row r="212" spans="1:14">
      <c r="A212" s="117" t="s">
        <v>546</v>
      </c>
      <c r="B212" s="72"/>
      <c r="D212" s="330">
        <f t="shared" si="22"/>
        <v>17.420000000000002</v>
      </c>
      <c r="E212" s="72"/>
      <c r="F212" s="341">
        <f t="shared" si="21"/>
        <v>0</v>
      </c>
      <c r="G212" s="330">
        <f>+G211</f>
        <v>17.590000000000003</v>
      </c>
      <c r="H212" s="341">
        <f t="shared" si="20"/>
        <v>0</v>
      </c>
      <c r="I212" s="72"/>
    </row>
    <row r="213" spans="1:14">
      <c r="A213" s="117" t="s">
        <v>547</v>
      </c>
      <c r="B213" s="72"/>
      <c r="C213" s="265">
        <f>ROUND(+'[2]Light Inventory'!$E$100,0)</f>
        <v>1</v>
      </c>
      <c r="D213" s="330">
        <f>+'(JAP4)-Light Tariff Summary'!E73</f>
        <v>18.489999999999998</v>
      </c>
      <c r="E213" s="72"/>
      <c r="F213" s="341">
        <f t="shared" si="21"/>
        <v>222</v>
      </c>
      <c r="G213" s="330">
        <f>+'(JAP4) LIGHT RD'!P80</f>
        <v>18.66</v>
      </c>
      <c r="H213" s="341">
        <f t="shared" ref="H213:H218" si="23">ROUND(G213*$C213*12,0)</f>
        <v>224</v>
      </c>
      <c r="I213" s="72"/>
      <c r="L213" s="265"/>
      <c r="N213" s="265"/>
    </row>
    <row r="214" spans="1:14">
      <c r="A214" s="117" t="s">
        <v>548</v>
      </c>
      <c r="B214" s="72"/>
      <c r="D214" s="330">
        <f t="shared" si="22"/>
        <v>18.489999999999998</v>
      </c>
      <c r="E214" s="72"/>
      <c r="F214" s="341">
        <f t="shared" si="21"/>
        <v>0</v>
      </c>
      <c r="G214" s="330">
        <f>+G213</f>
        <v>18.66</v>
      </c>
      <c r="H214" s="341">
        <f t="shared" si="23"/>
        <v>0</v>
      </c>
      <c r="I214" s="72"/>
    </row>
    <row r="215" spans="1:14">
      <c r="A215" s="117" t="s">
        <v>549</v>
      </c>
      <c r="B215" s="72"/>
      <c r="C215" s="265">
        <f>ROUND(+'[2]Light Inventory'!$E$101,0)</f>
        <v>48</v>
      </c>
      <c r="D215" s="330">
        <f t="shared" si="22"/>
        <v>18.489999999999998</v>
      </c>
      <c r="E215" s="72"/>
      <c r="F215" s="341">
        <f t="shared" si="21"/>
        <v>10650</v>
      </c>
      <c r="G215" s="330">
        <f>+G214</f>
        <v>18.66</v>
      </c>
      <c r="H215" s="341">
        <f t="shared" si="23"/>
        <v>10748</v>
      </c>
      <c r="I215" s="72"/>
      <c r="L215" s="265"/>
      <c r="N215" s="265"/>
    </row>
    <row r="216" spans="1:14">
      <c r="A216" s="117" t="s">
        <v>550</v>
      </c>
      <c r="B216" s="72"/>
      <c r="D216" s="330">
        <f t="shared" si="22"/>
        <v>18.489999999999998</v>
      </c>
      <c r="E216" s="72"/>
      <c r="F216" s="341">
        <f t="shared" si="21"/>
        <v>0</v>
      </c>
      <c r="G216" s="330">
        <f>+G215</f>
        <v>18.66</v>
      </c>
      <c r="H216" s="341">
        <f t="shared" si="23"/>
        <v>0</v>
      </c>
      <c r="I216" s="72"/>
    </row>
    <row r="217" spans="1:14">
      <c r="A217" s="117" t="s">
        <v>551</v>
      </c>
      <c r="B217" s="72"/>
      <c r="C217" s="265">
        <f>ROUND(+'[2]Light Inventory'!$E$102,0)</f>
        <v>51</v>
      </c>
      <c r="D217" s="330">
        <f t="shared" si="22"/>
        <v>18.489999999999998</v>
      </c>
      <c r="E217" s="72"/>
      <c r="F217" s="341">
        <f t="shared" si="21"/>
        <v>11316</v>
      </c>
      <c r="G217" s="330">
        <f>+G216</f>
        <v>18.66</v>
      </c>
      <c r="H217" s="341">
        <f t="shared" si="23"/>
        <v>11420</v>
      </c>
      <c r="I217" s="72"/>
      <c r="L217" s="265"/>
      <c r="N217" s="265"/>
    </row>
    <row r="218" spans="1:14">
      <c r="A218" s="117" t="s">
        <v>552</v>
      </c>
      <c r="B218" s="72"/>
      <c r="D218" s="330">
        <f t="shared" si="22"/>
        <v>18.489999999999998</v>
      </c>
      <c r="E218" s="72"/>
      <c r="F218" s="341">
        <f t="shared" si="21"/>
        <v>0</v>
      </c>
      <c r="G218" s="330">
        <f>+G217</f>
        <v>18.66</v>
      </c>
      <c r="H218" s="341">
        <f t="shared" si="23"/>
        <v>0</v>
      </c>
      <c r="I218" s="72"/>
    </row>
    <row r="219" spans="1:14">
      <c r="A219" s="117"/>
      <c r="B219" s="72"/>
      <c r="D219" s="330"/>
      <c r="E219" s="72"/>
      <c r="F219" s="72"/>
      <c r="G219" s="330"/>
      <c r="H219" s="72"/>
      <c r="I219" s="72"/>
    </row>
    <row r="220" spans="1:14">
      <c r="A220" s="117" t="s">
        <v>553</v>
      </c>
      <c r="B220" s="72"/>
      <c r="C220" s="265">
        <f>ROUND(+'[2]Light Inventory'!$E$103,0)</f>
        <v>0</v>
      </c>
      <c r="D220" s="330">
        <f>+'(JAP4)-Light Tariff Summary'!E75</f>
        <v>3.64</v>
      </c>
      <c r="E220" s="72"/>
      <c r="F220" s="341">
        <f t="shared" ref="F220:F228" si="24">IF(D220="n/a",0,ROUND(C220*D220*12,0))</f>
        <v>0</v>
      </c>
      <c r="G220" s="330">
        <f>+'(JAP4) LIGHT RD'!P82</f>
        <v>3.68</v>
      </c>
      <c r="H220" s="341">
        <f t="shared" ref="H220:H228" si="25">ROUND(G220*$C220*12,0)</f>
        <v>0</v>
      </c>
      <c r="I220" s="72"/>
      <c r="L220" s="265"/>
      <c r="N220" s="265"/>
    </row>
    <row r="221" spans="1:14">
      <c r="A221" s="117" t="s">
        <v>554</v>
      </c>
      <c r="B221" s="72"/>
      <c r="C221" s="265">
        <f>ROUND(+'[2]Light Inventory'!$E$104,0)</f>
        <v>57</v>
      </c>
      <c r="D221" s="330">
        <f>+'(JAP4)-Light Tariff Summary'!E76</f>
        <v>4.26</v>
      </c>
      <c r="E221" s="72"/>
      <c r="F221" s="341">
        <f t="shared" si="24"/>
        <v>2914</v>
      </c>
      <c r="G221" s="330">
        <f>+'(JAP4) LIGHT RD'!P83</f>
        <v>4.3</v>
      </c>
      <c r="H221" s="341">
        <f t="shared" si="25"/>
        <v>2941</v>
      </c>
      <c r="I221" s="72"/>
      <c r="L221" s="265"/>
      <c r="N221" s="265"/>
    </row>
    <row r="222" spans="1:14">
      <c r="A222" s="117" t="s">
        <v>555</v>
      </c>
      <c r="B222" s="72"/>
      <c r="C222" s="265">
        <f>ROUND(+'[2]Light Inventory'!$E$105,0)</f>
        <v>271</v>
      </c>
      <c r="D222" s="330">
        <f>+'(JAP4)-Light Tariff Summary'!E77</f>
        <v>5.19</v>
      </c>
      <c r="E222" s="72"/>
      <c r="F222" s="341">
        <f t="shared" si="24"/>
        <v>16878</v>
      </c>
      <c r="G222" s="330">
        <f>+'(JAP4) LIGHT RD'!P84</f>
        <v>5.23</v>
      </c>
      <c r="H222" s="341">
        <f t="shared" si="25"/>
        <v>17008</v>
      </c>
      <c r="I222" s="72"/>
      <c r="L222" s="265"/>
      <c r="N222" s="265"/>
    </row>
    <row r="223" spans="1:14">
      <c r="A223" s="117" t="s">
        <v>556</v>
      </c>
      <c r="B223" s="72"/>
      <c r="C223" s="265">
        <f>ROUND(+'[2]Light Inventory'!$E$106,0)</f>
        <v>154</v>
      </c>
      <c r="D223" s="330">
        <f>+'(JAP4)-Light Tariff Summary'!E78</f>
        <v>6.73</v>
      </c>
      <c r="E223" s="72"/>
      <c r="F223" s="341">
        <f t="shared" si="24"/>
        <v>12437</v>
      </c>
      <c r="G223" s="330">
        <f>+'(JAP4) LIGHT RD'!P85</f>
        <v>6.7700000000000005</v>
      </c>
      <c r="H223" s="341">
        <f t="shared" si="25"/>
        <v>12511</v>
      </c>
      <c r="I223" s="72"/>
      <c r="L223" s="265"/>
      <c r="N223" s="265"/>
    </row>
    <row r="224" spans="1:14">
      <c r="A224" s="117" t="s">
        <v>557</v>
      </c>
      <c r="B224" s="72"/>
      <c r="C224" s="265">
        <f>ROUND(+'[2]Light Inventory'!$E$107,0)</f>
        <v>444</v>
      </c>
      <c r="D224" s="330">
        <f>+'(JAP4)-Light Tariff Summary'!E79</f>
        <v>8.27</v>
      </c>
      <c r="E224" s="72"/>
      <c r="F224" s="341">
        <f t="shared" si="24"/>
        <v>44063</v>
      </c>
      <c r="G224" s="330">
        <f>+'(JAP4) LIGHT RD'!P86</f>
        <v>8.32</v>
      </c>
      <c r="H224" s="341">
        <f t="shared" si="25"/>
        <v>44329</v>
      </c>
      <c r="I224" s="72"/>
      <c r="L224" s="265"/>
      <c r="N224" s="265"/>
    </row>
    <row r="225" spans="1:14">
      <c r="A225" s="117" t="s">
        <v>558</v>
      </c>
      <c r="B225" s="72"/>
      <c r="C225" s="265">
        <f>ROUND(+'[2]Light Inventory'!$E$108,0)</f>
        <v>300</v>
      </c>
      <c r="D225" s="330">
        <f>+'(JAP4)-Light Tariff Summary'!E80</f>
        <v>9.82</v>
      </c>
      <c r="E225" s="72"/>
      <c r="F225" s="341">
        <f t="shared" si="24"/>
        <v>35352</v>
      </c>
      <c r="G225" s="330">
        <f>+'(JAP4) LIGHT RD'!P87</f>
        <v>9.870000000000001</v>
      </c>
      <c r="H225" s="341">
        <f t="shared" si="25"/>
        <v>35532</v>
      </c>
      <c r="I225" s="72"/>
      <c r="L225" s="265"/>
      <c r="N225" s="265"/>
    </row>
    <row r="226" spans="1:14">
      <c r="A226" s="117" t="s">
        <v>559</v>
      </c>
      <c r="B226" s="72"/>
      <c r="C226" s="265">
        <f>ROUND(+'[2]Light Inventory'!$E$109,0)</f>
        <v>7</v>
      </c>
      <c r="D226" s="330">
        <f>+'(JAP4)-Light Tariff Summary'!E81</f>
        <v>11.67</v>
      </c>
      <c r="E226" s="72"/>
      <c r="F226" s="341">
        <f t="shared" si="24"/>
        <v>980</v>
      </c>
      <c r="G226" s="330">
        <f>+'(JAP4) LIGHT RD'!P88</f>
        <v>11.73</v>
      </c>
      <c r="H226" s="341">
        <f t="shared" si="25"/>
        <v>985</v>
      </c>
      <c r="I226" s="72"/>
      <c r="L226" s="265"/>
      <c r="N226" s="265"/>
    </row>
    <row r="227" spans="1:14">
      <c r="A227" s="117" t="s">
        <v>560</v>
      </c>
      <c r="B227" s="72"/>
      <c r="C227" s="265">
        <f>ROUND(+'[2]Light Inventory'!$E$110,0)</f>
        <v>463</v>
      </c>
      <c r="D227" s="330">
        <f>+'(JAP4)-Light Tariff Summary'!E82</f>
        <v>14.45</v>
      </c>
      <c r="E227" s="72"/>
      <c r="F227" s="341">
        <f t="shared" si="24"/>
        <v>80284</v>
      </c>
      <c r="G227" s="330">
        <f>+'(JAP4) LIGHT RD'!P89</f>
        <v>14.52</v>
      </c>
      <c r="H227" s="341">
        <f t="shared" si="25"/>
        <v>80673</v>
      </c>
      <c r="I227" s="72"/>
      <c r="L227" s="265"/>
      <c r="N227" s="265"/>
    </row>
    <row r="228" spans="1:14">
      <c r="A228" s="117" t="s">
        <v>561</v>
      </c>
      <c r="B228" s="72"/>
      <c r="D228" s="330">
        <f>+'(JAP4)-Light Tariff Summary'!E83</f>
        <v>32.97</v>
      </c>
      <c r="E228" s="72"/>
      <c r="F228" s="341">
        <f t="shared" si="24"/>
        <v>0</v>
      </c>
      <c r="G228" s="330">
        <f>+'(JAP4) LIGHT RD'!P90</f>
        <v>33.089999999999996</v>
      </c>
      <c r="H228" s="341">
        <f t="shared" si="25"/>
        <v>0</v>
      </c>
      <c r="I228" s="72"/>
    </row>
    <row r="229" spans="1:14">
      <c r="A229" s="117"/>
      <c r="B229" s="72"/>
      <c r="D229" s="330"/>
      <c r="E229" s="72"/>
      <c r="F229" s="72"/>
      <c r="G229" s="330"/>
      <c r="H229" s="72"/>
      <c r="I229" s="72"/>
    </row>
    <row r="230" spans="1:14">
      <c r="A230" s="117" t="s">
        <v>562</v>
      </c>
      <c r="B230" s="72"/>
      <c r="D230" s="330">
        <f>+'(JAP4)-Light Tariff Summary'!E85</f>
        <v>6.36</v>
      </c>
      <c r="E230" s="72"/>
      <c r="F230" s="341">
        <f t="shared" ref="F230:F235" si="26">IF(D230="n/a",0,ROUND(C230*D230*12,0))</f>
        <v>0</v>
      </c>
      <c r="G230" s="330">
        <f>+'(JAP4) LIGHT RD'!P92</f>
        <v>6.4300000000000006</v>
      </c>
      <c r="H230" s="341">
        <f t="shared" ref="H230:H235" si="27">ROUND(G230*$C230*12,0)</f>
        <v>0</v>
      </c>
      <c r="I230" s="72"/>
    </row>
    <row r="231" spans="1:14">
      <c r="A231" s="117" t="s">
        <v>563</v>
      </c>
      <c r="B231" s="72"/>
      <c r="D231" s="330">
        <f>+'(JAP4)-Light Tariff Summary'!E86</f>
        <v>7.28</v>
      </c>
      <c r="E231" s="72"/>
      <c r="F231" s="341">
        <f t="shared" si="26"/>
        <v>0</v>
      </c>
      <c r="G231" s="330">
        <f>+'(JAP4) LIGHT RD'!P93</f>
        <v>7.3500000000000005</v>
      </c>
      <c r="H231" s="341">
        <f t="shared" si="27"/>
        <v>0</v>
      </c>
      <c r="I231" s="72"/>
    </row>
    <row r="232" spans="1:14">
      <c r="A232" s="117" t="s">
        <v>564</v>
      </c>
      <c r="B232" s="72"/>
      <c r="D232" s="330">
        <f>+'(JAP4)-Light Tariff Summary'!E87</f>
        <v>8.83</v>
      </c>
      <c r="E232" s="72"/>
      <c r="F232" s="341">
        <f t="shared" si="26"/>
        <v>0</v>
      </c>
      <c r="G232" s="330">
        <f>+'(JAP4) LIGHT RD'!P94</f>
        <v>8.91</v>
      </c>
      <c r="H232" s="341">
        <f t="shared" si="27"/>
        <v>0</v>
      </c>
      <c r="I232" s="72"/>
    </row>
    <row r="233" spans="1:14">
      <c r="A233" s="117" t="s">
        <v>565</v>
      </c>
      <c r="B233" s="72"/>
      <c r="C233" s="265">
        <f>ROUND(+'[2]Light Inventory'!$E$111,0)</f>
        <v>4</v>
      </c>
      <c r="D233" s="330">
        <f>+'(JAP4)-Light Tariff Summary'!E88</f>
        <v>9.6</v>
      </c>
      <c r="E233" s="72"/>
      <c r="F233" s="341">
        <f t="shared" si="26"/>
        <v>461</v>
      </c>
      <c r="G233" s="330">
        <f>+'(JAP4) LIGHT RD'!P95</f>
        <v>9.68</v>
      </c>
      <c r="H233" s="341">
        <f t="shared" si="27"/>
        <v>465</v>
      </c>
      <c r="I233" s="72"/>
      <c r="L233" s="265"/>
      <c r="N233" s="265"/>
    </row>
    <row r="234" spans="1:14">
      <c r="A234" s="117" t="s">
        <v>566</v>
      </c>
      <c r="B234" s="72"/>
      <c r="D234" s="330">
        <f>+'(JAP4)-Light Tariff Summary'!E89</f>
        <v>11.91</v>
      </c>
      <c r="E234" s="72"/>
      <c r="F234" s="341">
        <f t="shared" si="26"/>
        <v>0</v>
      </c>
      <c r="G234" s="330">
        <f>+'(JAP4) LIGHT RD'!P96</f>
        <v>12</v>
      </c>
      <c r="H234" s="341">
        <f t="shared" si="27"/>
        <v>0</v>
      </c>
      <c r="I234" s="72"/>
    </row>
    <row r="235" spans="1:14">
      <c r="A235" s="117" t="s">
        <v>567</v>
      </c>
      <c r="B235" s="72"/>
      <c r="D235" s="330">
        <f>+'(JAP4)-Light Tariff Summary'!E90</f>
        <v>16.55</v>
      </c>
      <c r="E235" s="72"/>
      <c r="F235" s="341">
        <f t="shared" si="26"/>
        <v>0</v>
      </c>
      <c r="G235" s="330">
        <f>+'(JAP4) LIGHT RD'!P97</f>
        <v>16.650000000000002</v>
      </c>
      <c r="H235" s="341">
        <f t="shared" si="27"/>
        <v>0</v>
      </c>
      <c r="I235" s="72"/>
    </row>
    <row r="236" spans="1:14">
      <c r="A236" s="117"/>
      <c r="B236" s="72"/>
      <c r="D236" s="330"/>
      <c r="E236" s="72"/>
      <c r="F236" s="72"/>
      <c r="G236" s="330"/>
      <c r="H236" s="72"/>
      <c r="I236" s="72"/>
    </row>
    <row r="237" spans="1:14">
      <c r="A237" s="117" t="s">
        <v>568</v>
      </c>
      <c r="B237" s="72"/>
      <c r="C237" s="265">
        <f>ROUND(+'[2]Light Inventory'!$E$112,0)</f>
        <v>100</v>
      </c>
      <c r="D237" s="330">
        <f>+'(JAP4)-Light Tariff Summary'!E92</f>
        <v>1.81</v>
      </c>
      <c r="E237" s="72"/>
      <c r="F237" s="341">
        <f t="shared" ref="F237:F290" si="28">IF(D237="n/a",0,ROUND(C237*D237*12,0))</f>
        <v>2172</v>
      </c>
      <c r="G237" s="330">
        <f>+'(JAP4) LIGHT RD'!P99</f>
        <v>1.82</v>
      </c>
      <c r="H237" s="341">
        <f t="shared" ref="H237:H290" si="29">ROUND(G237*$C237*12,0)</f>
        <v>2184</v>
      </c>
      <c r="I237" s="72"/>
      <c r="L237" s="265"/>
      <c r="N237" s="265"/>
    </row>
    <row r="238" spans="1:14">
      <c r="A238" s="117" t="s">
        <v>569</v>
      </c>
      <c r="B238" s="72"/>
      <c r="C238" s="265">
        <f>ROUND(+'[2]Light Inventory'!$E$113,0)</f>
        <v>36</v>
      </c>
      <c r="D238" s="330">
        <f t="shared" ref="D238:D242" si="30">+D237</f>
        <v>1.81</v>
      </c>
      <c r="E238" s="72"/>
      <c r="F238" s="341">
        <f t="shared" si="28"/>
        <v>782</v>
      </c>
      <c r="G238" s="330">
        <f>+G237</f>
        <v>1.82</v>
      </c>
      <c r="H238" s="341">
        <f t="shared" si="29"/>
        <v>786</v>
      </c>
      <c r="I238" s="72"/>
      <c r="L238" s="265"/>
      <c r="N238" s="265"/>
    </row>
    <row r="239" spans="1:14">
      <c r="A239" s="117" t="s">
        <v>570</v>
      </c>
      <c r="B239" s="72"/>
      <c r="C239" s="265">
        <f>ROUND(+'[2]Light Inventory'!$E$114,0)</f>
        <v>83</v>
      </c>
      <c r="D239" s="330">
        <f t="shared" si="30"/>
        <v>1.81</v>
      </c>
      <c r="E239" s="72"/>
      <c r="F239" s="341">
        <f t="shared" si="28"/>
        <v>1803</v>
      </c>
      <c r="G239" s="330">
        <f>+G238</f>
        <v>1.82</v>
      </c>
      <c r="H239" s="341">
        <f t="shared" si="29"/>
        <v>1813</v>
      </c>
      <c r="I239" s="72"/>
      <c r="L239" s="265"/>
      <c r="N239" s="265"/>
    </row>
    <row r="240" spans="1:14">
      <c r="A240" s="117" t="s">
        <v>571</v>
      </c>
      <c r="B240" s="72"/>
      <c r="C240" s="265">
        <f>ROUND(+'[2]Light Inventory'!$E$115,0)</f>
        <v>265</v>
      </c>
      <c r="D240" s="330">
        <f t="shared" si="30"/>
        <v>1.81</v>
      </c>
      <c r="E240" s="72"/>
      <c r="F240" s="341">
        <f t="shared" si="28"/>
        <v>5756</v>
      </c>
      <c r="G240" s="330">
        <f>+G239</f>
        <v>1.82</v>
      </c>
      <c r="H240" s="341">
        <f t="shared" si="29"/>
        <v>5788</v>
      </c>
      <c r="I240" s="72"/>
      <c r="L240" s="265"/>
      <c r="N240" s="265"/>
    </row>
    <row r="241" spans="1:14">
      <c r="A241" s="117" t="s">
        <v>572</v>
      </c>
      <c r="B241" s="72"/>
      <c r="C241" s="265">
        <f>ROUND(+'[2]Light Inventory'!$E$116,0)</f>
        <v>93</v>
      </c>
      <c r="D241" s="330">
        <f t="shared" si="30"/>
        <v>1.81</v>
      </c>
      <c r="E241" s="72"/>
      <c r="F241" s="341">
        <f t="shared" si="28"/>
        <v>2020</v>
      </c>
      <c r="G241" s="330">
        <f>+G240</f>
        <v>1.82</v>
      </c>
      <c r="H241" s="341">
        <f t="shared" si="29"/>
        <v>2031</v>
      </c>
      <c r="I241" s="72"/>
      <c r="L241" s="265"/>
      <c r="N241" s="265"/>
    </row>
    <row r="242" spans="1:14">
      <c r="A242" s="117" t="s">
        <v>573</v>
      </c>
      <c r="B242" s="72"/>
      <c r="D242" s="330">
        <f t="shared" si="30"/>
        <v>1.81</v>
      </c>
      <c r="E242" s="72"/>
      <c r="F242" s="341">
        <f t="shared" si="28"/>
        <v>0</v>
      </c>
      <c r="G242" s="330">
        <f>+G241</f>
        <v>1.82</v>
      </c>
      <c r="H242" s="341">
        <f t="shared" si="29"/>
        <v>0</v>
      </c>
      <c r="I242" s="72"/>
    </row>
    <row r="243" spans="1:14">
      <c r="A243" s="117" t="s">
        <v>574</v>
      </c>
      <c r="B243" s="72"/>
      <c r="D243" s="330">
        <f>+'(JAP4)-Light Tariff Summary'!E93</f>
        <v>2.74</v>
      </c>
      <c r="E243" s="72"/>
      <c r="F243" s="341">
        <f t="shared" si="28"/>
        <v>0</v>
      </c>
      <c r="G243" s="330">
        <f>+'(JAP4) LIGHT RD'!P100</f>
        <v>2.75</v>
      </c>
      <c r="H243" s="341">
        <f t="shared" si="29"/>
        <v>0</v>
      </c>
      <c r="I243" s="72"/>
    </row>
    <row r="244" spans="1:14">
      <c r="A244" s="117" t="s">
        <v>575</v>
      </c>
      <c r="B244" s="72"/>
      <c r="C244" s="265">
        <f>ROUND(+'[2]Light Inventory'!$E$117,0)</f>
        <v>6</v>
      </c>
      <c r="D244" s="330">
        <f t="shared" ref="D244:D248" si="31">+D243</f>
        <v>2.74</v>
      </c>
      <c r="E244" s="72"/>
      <c r="F244" s="341">
        <f t="shared" si="28"/>
        <v>197</v>
      </c>
      <c r="G244" s="330">
        <f>+G243</f>
        <v>2.75</v>
      </c>
      <c r="H244" s="341">
        <f t="shared" si="29"/>
        <v>198</v>
      </c>
      <c r="I244" s="72"/>
      <c r="L244" s="265"/>
      <c r="N244" s="265"/>
    </row>
    <row r="245" spans="1:14">
      <c r="A245" s="117" t="s">
        <v>576</v>
      </c>
      <c r="B245" s="72"/>
      <c r="C245" s="265">
        <f>ROUND(+'[2]Light Inventory'!$E$118,0)</f>
        <v>61</v>
      </c>
      <c r="D245" s="330">
        <f t="shared" si="31"/>
        <v>2.74</v>
      </c>
      <c r="E245" s="72"/>
      <c r="F245" s="341">
        <f t="shared" si="28"/>
        <v>2006</v>
      </c>
      <c r="G245" s="330">
        <f>+G244</f>
        <v>2.75</v>
      </c>
      <c r="H245" s="341">
        <f t="shared" si="29"/>
        <v>2013</v>
      </c>
      <c r="I245" s="72"/>
      <c r="L245" s="265"/>
      <c r="N245" s="265"/>
    </row>
    <row r="246" spans="1:14">
      <c r="A246" s="117" t="s">
        <v>577</v>
      </c>
      <c r="B246" s="72"/>
      <c r="D246" s="330">
        <f t="shared" si="31"/>
        <v>2.74</v>
      </c>
      <c r="E246" s="72"/>
      <c r="F246" s="341">
        <f t="shared" si="28"/>
        <v>0</v>
      </c>
      <c r="G246" s="330">
        <f>+G245</f>
        <v>2.75</v>
      </c>
      <c r="H246" s="341">
        <f t="shared" si="29"/>
        <v>0</v>
      </c>
      <c r="I246" s="72"/>
    </row>
    <row r="247" spans="1:14">
      <c r="A247" s="117" t="s">
        <v>578</v>
      </c>
      <c r="B247" s="72"/>
      <c r="C247" s="265">
        <f>ROUND(+'[2]Light Inventory'!$E$119,0)</f>
        <v>547</v>
      </c>
      <c r="D247" s="330">
        <f t="shared" si="31"/>
        <v>2.74</v>
      </c>
      <c r="E247" s="72"/>
      <c r="F247" s="341">
        <f t="shared" si="28"/>
        <v>17985</v>
      </c>
      <c r="G247" s="330">
        <f>+G246</f>
        <v>2.75</v>
      </c>
      <c r="H247" s="341">
        <f t="shared" si="29"/>
        <v>18051</v>
      </c>
      <c r="I247" s="72"/>
      <c r="L247" s="265"/>
      <c r="N247" s="265"/>
    </row>
    <row r="248" spans="1:14">
      <c r="A248" s="117" t="s">
        <v>579</v>
      </c>
      <c r="B248" s="72"/>
      <c r="D248" s="330">
        <f t="shared" si="31"/>
        <v>2.74</v>
      </c>
      <c r="E248" s="72"/>
      <c r="F248" s="341">
        <f t="shared" si="28"/>
        <v>0</v>
      </c>
      <c r="G248" s="330">
        <f>+G247</f>
        <v>2.75</v>
      </c>
      <c r="H248" s="341">
        <f t="shared" si="29"/>
        <v>0</v>
      </c>
      <c r="I248" s="72"/>
    </row>
    <row r="249" spans="1:14">
      <c r="A249" s="117" t="s">
        <v>580</v>
      </c>
      <c r="B249" s="72"/>
      <c r="C249" s="265">
        <f>ROUND(+'[2]Light Inventory'!$E$120,0)</f>
        <v>478</v>
      </c>
      <c r="D249" s="330">
        <f>+'(JAP4)-Light Tariff Summary'!E94</f>
        <v>3.66</v>
      </c>
      <c r="E249" s="72"/>
      <c r="F249" s="341">
        <f t="shared" si="28"/>
        <v>20994</v>
      </c>
      <c r="G249" s="330">
        <f>+'(JAP4) LIGHT RD'!P101</f>
        <v>3.68</v>
      </c>
      <c r="H249" s="341">
        <f t="shared" si="29"/>
        <v>21108</v>
      </c>
      <c r="I249" s="72"/>
      <c r="L249" s="265"/>
      <c r="N249" s="265"/>
    </row>
    <row r="250" spans="1:14">
      <c r="A250" s="117" t="s">
        <v>581</v>
      </c>
      <c r="B250" s="72"/>
      <c r="C250" s="265">
        <f>ROUND(+'[2]Light Inventory'!$E$121,0)</f>
        <v>0</v>
      </c>
      <c r="D250" s="330">
        <f t="shared" ref="D250:D254" si="32">+D249</f>
        <v>3.66</v>
      </c>
      <c r="E250" s="72"/>
      <c r="F250" s="341">
        <f t="shared" si="28"/>
        <v>0</v>
      </c>
      <c r="G250" s="330">
        <f>+G249</f>
        <v>3.68</v>
      </c>
      <c r="H250" s="341">
        <f t="shared" si="29"/>
        <v>0</v>
      </c>
      <c r="I250" s="72"/>
      <c r="L250" s="265"/>
      <c r="N250" s="265"/>
    </row>
    <row r="251" spans="1:14">
      <c r="A251" s="117" t="s">
        <v>582</v>
      </c>
      <c r="B251" s="72"/>
      <c r="C251" s="265">
        <f>ROUND(+'[2]Light Inventory'!$E$122,0)</f>
        <v>376</v>
      </c>
      <c r="D251" s="330">
        <f t="shared" si="32"/>
        <v>3.66</v>
      </c>
      <c r="E251" s="72"/>
      <c r="F251" s="341">
        <f t="shared" si="28"/>
        <v>16514</v>
      </c>
      <c r="G251" s="330">
        <f>+G250</f>
        <v>3.68</v>
      </c>
      <c r="H251" s="341">
        <f t="shared" si="29"/>
        <v>16604</v>
      </c>
      <c r="I251" s="72"/>
      <c r="L251" s="265"/>
      <c r="N251" s="265"/>
    </row>
    <row r="252" spans="1:14">
      <c r="A252" s="117" t="s">
        <v>583</v>
      </c>
      <c r="B252" s="72"/>
      <c r="D252" s="330">
        <f t="shared" si="32"/>
        <v>3.66</v>
      </c>
      <c r="E252" s="72"/>
      <c r="F252" s="341">
        <f t="shared" si="28"/>
        <v>0</v>
      </c>
      <c r="G252" s="330">
        <f>+G251</f>
        <v>3.68</v>
      </c>
      <c r="H252" s="341">
        <f t="shared" si="29"/>
        <v>0</v>
      </c>
      <c r="I252" s="72"/>
    </row>
    <row r="253" spans="1:14">
      <c r="A253" s="117" t="s">
        <v>584</v>
      </c>
      <c r="B253" s="72"/>
      <c r="D253" s="330">
        <f t="shared" si="32"/>
        <v>3.66</v>
      </c>
      <c r="E253" s="72"/>
      <c r="F253" s="341">
        <f t="shared" si="28"/>
        <v>0</v>
      </c>
      <c r="G253" s="330">
        <f>+G252</f>
        <v>3.68</v>
      </c>
      <c r="H253" s="341">
        <f t="shared" si="29"/>
        <v>0</v>
      </c>
      <c r="I253" s="72"/>
    </row>
    <row r="254" spans="1:14">
      <c r="A254" s="117" t="s">
        <v>585</v>
      </c>
      <c r="B254" s="72"/>
      <c r="D254" s="330">
        <f t="shared" si="32"/>
        <v>3.66</v>
      </c>
      <c r="E254" s="72"/>
      <c r="F254" s="341">
        <f t="shared" si="28"/>
        <v>0</v>
      </c>
      <c r="G254" s="330">
        <f>+G253</f>
        <v>3.68</v>
      </c>
      <c r="H254" s="341">
        <f t="shared" si="29"/>
        <v>0</v>
      </c>
      <c r="I254" s="72"/>
    </row>
    <row r="255" spans="1:14">
      <c r="A255" s="117" t="s">
        <v>586</v>
      </c>
      <c r="B255" s="72"/>
      <c r="D255" s="330">
        <f>+'(JAP4)-Light Tariff Summary'!E95</f>
        <v>4.59</v>
      </c>
      <c r="E255" s="72"/>
      <c r="F255" s="341">
        <f t="shared" si="28"/>
        <v>0</v>
      </c>
      <c r="G255" s="330">
        <f>+'(JAP4) LIGHT RD'!P102</f>
        <v>4.6099999999999994</v>
      </c>
      <c r="H255" s="341">
        <f t="shared" si="29"/>
        <v>0</v>
      </c>
      <c r="I255" s="72"/>
    </row>
    <row r="256" spans="1:14">
      <c r="A256" s="117" t="s">
        <v>587</v>
      </c>
      <c r="B256" s="72"/>
      <c r="C256" s="265">
        <f>ROUND(+'[2]Light Inventory'!$E$123,0)</f>
        <v>2</v>
      </c>
      <c r="D256" s="330">
        <f t="shared" ref="D256:D260" si="33">+D255</f>
        <v>4.59</v>
      </c>
      <c r="E256" s="72"/>
      <c r="F256" s="341">
        <f t="shared" si="28"/>
        <v>110</v>
      </c>
      <c r="G256" s="330">
        <f>+G255</f>
        <v>4.6099999999999994</v>
      </c>
      <c r="H256" s="341">
        <f t="shared" si="29"/>
        <v>111</v>
      </c>
      <c r="I256" s="72"/>
      <c r="L256" s="265"/>
      <c r="N256" s="265"/>
    </row>
    <row r="257" spans="1:14">
      <c r="A257" s="117" t="s">
        <v>588</v>
      </c>
      <c r="B257" s="72"/>
      <c r="C257" s="265">
        <f>ROUND(+'[2]Light Inventory'!$E$124,0)</f>
        <v>87</v>
      </c>
      <c r="D257" s="330">
        <f t="shared" si="33"/>
        <v>4.59</v>
      </c>
      <c r="E257" s="72"/>
      <c r="F257" s="341">
        <f t="shared" si="28"/>
        <v>4792</v>
      </c>
      <c r="G257" s="330">
        <f>+G256</f>
        <v>4.6099999999999994</v>
      </c>
      <c r="H257" s="341">
        <f t="shared" si="29"/>
        <v>4813</v>
      </c>
      <c r="I257" s="72"/>
      <c r="L257" s="265"/>
      <c r="N257" s="265"/>
    </row>
    <row r="258" spans="1:14">
      <c r="A258" s="117" t="s">
        <v>589</v>
      </c>
      <c r="B258" s="72"/>
      <c r="C258" s="265">
        <f>ROUND(+'[2]Light Inventory'!$E$125,0)</f>
        <v>23</v>
      </c>
      <c r="D258" s="330">
        <f t="shared" si="33"/>
        <v>4.59</v>
      </c>
      <c r="E258" s="72"/>
      <c r="F258" s="341">
        <f t="shared" si="28"/>
        <v>1267</v>
      </c>
      <c r="G258" s="330">
        <f>+G257</f>
        <v>4.6099999999999994</v>
      </c>
      <c r="H258" s="341">
        <f t="shared" si="29"/>
        <v>1272</v>
      </c>
      <c r="I258" s="72"/>
      <c r="L258" s="265"/>
      <c r="N258" s="265"/>
    </row>
    <row r="259" spans="1:14">
      <c r="A259" s="117" t="s">
        <v>590</v>
      </c>
      <c r="B259" s="72"/>
      <c r="D259" s="330">
        <f t="shared" si="33"/>
        <v>4.59</v>
      </c>
      <c r="E259" s="72"/>
      <c r="F259" s="341">
        <f t="shared" si="28"/>
        <v>0</v>
      </c>
      <c r="G259" s="330">
        <f>+G258</f>
        <v>4.6099999999999994</v>
      </c>
      <c r="H259" s="341">
        <f t="shared" si="29"/>
        <v>0</v>
      </c>
      <c r="I259" s="72"/>
    </row>
    <row r="260" spans="1:14">
      <c r="A260" s="117" t="s">
        <v>591</v>
      </c>
      <c r="B260" s="72"/>
      <c r="D260" s="330">
        <f t="shared" si="33"/>
        <v>4.59</v>
      </c>
      <c r="E260" s="72"/>
      <c r="F260" s="341">
        <f t="shared" si="28"/>
        <v>0</v>
      </c>
      <c r="G260" s="330">
        <f>+G259</f>
        <v>4.6099999999999994</v>
      </c>
      <c r="H260" s="341">
        <f t="shared" si="29"/>
        <v>0</v>
      </c>
      <c r="I260" s="72"/>
    </row>
    <row r="261" spans="1:14">
      <c r="A261" s="117" t="s">
        <v>592</v>
      </c>
      <c r="B261" s="72"/>
      <c r="D261" s="330">
        <f>+'(JAP4)-Light Tariff Summary'!E96</f>
        <v>5.51</v>
      </c>
      <c r="E261" s="72"/>
      <c r="F261" s="341">
        <f t="shared" si="28"/>
        <v>0</v>
      </c>
      <c r="G261" s="330">
        <f>+'(JAP4) LIGHT RD'!P103</f>
        <v>5.5299999999999994</v>
      </c>
      <c r="H261" s="341">
        <f t="shared" si="29"/>
        <v>0</v>
      </c>
      <c r="I261" s="72"/>
    </row>
    <row r="262" spans="1:14">
      <c r="A262" s="117" t="s">
        <v>593</v>
      </c>
      <c r="B262" s="72"/>
      <c r="C262" s="265">
        <f>ROUND(+'[2]Light Inventory'!$E$126,0)</f>
        <v>1</v>
      </c>
      <c r="D262" s="330">
        <f t="shared" ref="D262:D266" si="34">+D261</f>
        <v>5.51</v>
      </c>
      <c r="E262" s="72"/>
      <c r="F262" s="341">
        <f t="shared" si="28"/>
        <v>66</v>
      </c>
      <c r="G262" s="330">
        <f>+G261</f>
        <v>5.5299999999999994</v>
      </c>
      <c r="H262" s="341">
        <f t="shared" si="29"/>
        <v>66</v>
      </c>
      <c r="I262" s="72"/>
      <c r="L262" s="265"/>
      <c r="N262" s="265"/>
    </row>
    <row r="263" spans="1:14">
      <c r="A263" s="117" t="s">
        <v>594</v>
      </c>
      <c r="B263" s="72"/>
      <c r="C263" s="265">
        <f>ROUND(+'[2]Light Inventory'!$E$127,0)</f>
        <v>1298</v>
      </c>
      <c r="D263" s="330">
        <f t="shared" si="34"/>
        <v>5.51</v>
      </c>
      <c r="E263" s="72"/>
      <c r="F263" s="341">
        <f t="shared" si="28"/>
        <v>85824</v>
      </c>
      <c r="G263" s="330">
        <f>+G262</f>
        <v>5.5299999999999994</v>
      </c>
      <c r="H263" s="341">
        <f t="shared" si="29"/>
        <v>86135</v>
      </c>
      <c r="I263" s="72"/>
      <c r="L263" s="265"/>
      <c r="N263" s="265"/>
    </row>
    <row r="264" spans="1:14">
      <c r="A264" s="117" t="s">
        <v>595</v>
      </c>
      <c r="B264" s="72"/>
      <c r="C264" s="265">
        <f>ROUND(+'[2]Light Inventory'!$E$128,0)</f>
        <v>16</v>
      </c>
      <c r="D264" s="330">
        <f t="shared" si="34"/>
        <v>5.51</v>
      </c>
      <c r="E264" s="72"/>
      <c r="F264" s="341">
        <f t="shared" si="28"/>
        <v>1058</v>
      </c>
      <c r="G264" s="330">
        <f>+G263</f>
        <v>5.5299999999999994</v>
      </c>
      <c r="H264" s="341">
        <f t="shared" si="29"/>
        <v>1062</v>
      </c>
      <c r="I264" s="72"/>
      <c r="L264" s="265"/>
      <c r="N264" s="265"/>
    </row>
    <row r="265" spans="1:14">
      <c r="A265" s="117" t="s">
        <v>596</v>
      </c>
      <c r="B265" s="72"/>
      <c r="D265" s="330">
        <f t="shared" si="34"/>
        <v>5.51</v>
      </c>
      <c r="E265" s="72"/>
      <c r="F265" s="341">
        <f t="shared" si="28"/>
        <v>0</v>
      </c>
      <c r="G265" s="330">
        <f>+G264</f>
        <v>5.5299999999999994</v>
      </c>
      <c r="H265" s="341">
        <f t="shared" si="29"/>
        <v>0</v>
      </c>
      <c r="I265" s="72"/>
    </row>
    <row r="266" spans="1:14">
      <c r="A266" s="117" t="s">
        <v>597</v>
      </c>
      <c r="B266" s="72"/>
      <c r="D266" s="330">
        <f t="shared" si="34"/>
        <v>5.51</v>
      </c>
      <c r="E266" s="72"/>
      <c r="F266" s="341">
        <f t="shared" si="28"/>
        <v>0</v>
      </c>
      <c r="G266" s="330">
        <f>+G265</f>
        <v>5.5299999999999994</v>
      </c>
      <c r="H266" s="341">
        <f t="shared" si="29"/>
        <v>0</v>
      </c>
      <c r="I266" s="72"/>
    </row>
    <row r="267" spans="1:14">
      <c r="A267" s="117" t="s">
        <v>598</v>
      </c>
      <c r="B267" s="72"/>
      <c r="C267" s="265">
        <f>ROUND(+'[2]Light Inventory'!$E$129,0)</f>
        <v>5</v>
      </c>
      <c r="D267" s="330">
        <f>+'(JAP4)-Light Tariff Summary'!E97</f>
        <v>6.44</v>
      </c>
      <c r="E267" s="72"/>
      <c r="F267" s="341">
        <f t="shared" si="28"/>
        <v>386</v>
      </c>
      <c r="G267" s="330">
        <f>+'(JAP4) LIGHT RD'!P104</f>
        <v>6.46</v>
      </c>
      <c r="H267" s="341">
        <f t="shared" si="29"/>
        <v>388</v>
      </c>
      <c r="I267" s="72"/>
      <c r="L267" s="265"/>
      <c r="N267" s="265"/>
    </row>
    <row r="268" spans="1:14">
      <c r="A268" s="117" t="s">
        <v>599</v>
      </c>
      <c r="B268" s="72"/>
      <c r="C268" s="265">
        <f>ROUND(+'[2]Light Inventory'!$E$130,0)</f>
        <v>81</v>
      </c>
      <c r="D268" s="330">
        <f t="shared" ref="D268:D272" si="35">+D267</f>
        <v>6.44</v>
      </c>
      <c r="E268" s="72"/>
      <c r="F268" s="341">
        <f t="shared" si="28"/>
        <v>6260</v>
      </c>
      <c r="G268" s="330">
        <f>+G267</f>
        <v>6.46</v>
      </c>
      <c r="H268" s="341">
        <f t="shared" si="29"/>
        <v>6279</v>
      </c>
      <c r="I268" s="72"/>
      <c r="L268" s="265"/>
      <c r="N268" s="265"/>
    </row>
    <row r="269" spans="1:14">
      <c r="A269" s="117" t="s">
        <v>600</v>
      </c>
      <c r="B269" s="72"/>
      <c r="C269" s="265">
        <f>ROUND(+'[2]Light Inventory'!$E$131,0)</f>
        <v>9</v>
      </c>
      <c r="D269" s="330">
        <f t="shared" si="35"/>
        <v>6.44</v>
      </c>
      <c r="E269" s="72"/>
      <c r="F269" s="341">
        <f t="shared" si="28"/>
        <v>696</v>
      </c>
      <c r="G269" s="330">
        <f>+G268</f>
        <v>6.46</v>
      </c>
      <c r="H269" s="341">
        <f t="shared" si="29"/>
        <v>698</v>
      </c>
      <c r="I269" s="72"/>
      <c r="L269" s="265"/>
      <c r="N269" s="265"/>
    </row>
    <row r="270" spans="1:14">
      <c r="A270" s="117" t="s">
        <v>601</v>
      </c>
      <c r="B270" s="72"/>
      <c r="C270" s="265">
        <f>ROUND(+'[2]Light Inventory'!$E$132,0)</f>
        <v>6</v>
      </c>
      <c r="D270" s="330">
        <f t="shared" si="35"/>
        <v>6.44</v>
      </c>
      <c r="E270" s="72"/>
      <c r="F270" s="341">
        <f t="shared" si="28"/>
        <v>464</v>
      </c>
      <c r="G270" s="330">
        <f>+G269</f>
        <v>6.46</v>
      </c>
      <c r="H270" s="341">
        <f t="shared" si="29"/>
        <v>465</v>
      </c>
      <c r="I270" s="72"/>
      <c r="L270" s="265"/>
      <c r="N270" s="265"/>
    </row>
    <row r="271" spans="1:14">
      <c r="A271" s="117" t="s">
        <v>602</v>
      </c>
      <c r="B271" s="72"/>
      <c r="C271" s="265"/>
      <c r="D271" s="330">
        <f t="shared" si="35"/>
        <v>6.44</v>
      </c>
      <c r="E271" s="72"/>
      <c r="F271" s="341">
        <f t="shared" si="28"/>
        <v>0</v>
      </c>
      <c r="G271" s="330">
        <f>+G270</f>
        <v>6.46</v>
      </c>
      <c r="H271" s="341">
        <f t="shared" si="29"/>
        <v>0</v>
      </c>
      <c r="I271" s="72"/>
      <c r="L271" s="265"/>
      <c r="N271" s="265"/>
    </row>
    <row r="272" spans="1:14">
      <c r="A272" s="117" t="s">
        <v>603</v>
      </c>
      <c r="B272" s="72"/>
      <c r="D272" s="330">
        <f t="shared" si="35"/>
        <v>6.44</v>
      </c>
      <c r="E272" s="72"/>
      <c r="F272" s="341">
        <f t="shared" si="28"/>
        <v>0</v>
      </c>
      <c r="G272" s="330">
        <f>+G271</f>
        <v>6.46</v>
      </c>
      <c r="H272" s="341">
        <f t="shared" si="29"/>
        <v>0</v>
      </c>
      <c r="I272" s="72"/>
    </row>
    <row r="273" spans="1:9">
      <c r="A273" s="117" t="s">
        <v>604</v>
      </c>
      <c r="B273" s="72"/>
      <c r="D273" s="330">
        <f>+'(JAP4)-Light Tariff Summary'!E98</f>
        <v>7.37</v>
      </c>
      <c r="E273" s="72"/>
      <c r="F273" s="341">
        <f t="shared" si="28"/>
        <v>0</v>
      </c>
      <c r="G273" s="330">
        <f>+'(JAP4) LIGHT RD'!P105</f>
        <v>7.4</v>
      </c>
      <c r="H273" s="341">
        <f t="shared" si="29"/>
        <v>0</v>
      </c>
      <c r="I273" s="72"/>
    </row>
    <row r="274" spans="1:9">
      <c r="A274" s="117" t="s">
        <v>605</v>
      </c>
      <c r="B274" s="72"/>
      <c r="D274" s="330">
        <f t="shared" ref="D274:D278" si="36">+D273</f>
        <v>7.37</v>
      </c>
      <c r="E274" s="72"/>
      <c r="F274" s="341">
        <f t="shared" si="28"/>
        <v>0</v>
      </c>
      <c r="G274" s="330">
        <f>+G273</f>
        <v>7.4</v>
      </c>
      <c r="H274" s="341">
        <f t="shared" si="29"/>
        <v>0</v>
      </c>
      <c r="I274" s="72"/>
    </row>
    <row r="275" spans="1:9">
      <c r="A275" s="117" t="s">
        <v>606</v>
      </c>
      <c r="B275" s="72"/>
      <c r="D275" s="330">
        <f t="shared" si="36"/>
        <v>7.37</v>
      </c>
      <c r="E275" s="72"/>
      <c r="F275" s="341">
        <f t="shared" si="28"/>
        <v>0</v>
      </c>
      <c r="G275" s="330">
        <f>+G274</f>
        <v>7.4</v>
      </c>
      <c r="H275" s="341">
        <f t="shared" si="29"/>
        <v>0</v>
      </c>
      <c r="I275" s="72"/>
    </row>
    <row r="276" spans="1:9">
      <c r="A276" s="117" t="s">
        <v>607</v>
      </c>
      <c r="B276" s="72"/>
      <c r="D276" s="330">
        <f t="shared" si="36"/>
        <v>7.37</v>
      </c>
      <c r="E276" s="72"/>
      <c r="F276" s="341">
        <f t="shared" si="28"/>
        <v>0</v>
      </c>
      <c r="G276" s="330">
        <f>+G275</f>
        <v>7.4</v>
      </c>
      <c r="H276" s="341">
        <f t="shared" si="29"/>
        <v>0</v>
      </c>
      <c r="I276" s="72"/>
    </row>
    <row r="277" spans="1:9">
      <c r="A277" s="117" t="s">
        <v>608</v>
      </c>
      <c r="B277" s="72"/>
      <c r="D277" s="330">
        <f t="shared" si="36"/>
        <v>7.37</v>
      </c>
      <c r="E277" s="72"/>
      <c r="F277" s="341">
        <f t="shared" si="28"/>
        <v>0</v>
      </c>
      <c r="G277" s="330">
        <f>+G276</f>
        <v>7.4</v>
      </c>
      <c r="H277" s="341">
        <f t="shared" si="29"/>
        <v>0</v>
      </c>
      <c r="I277" s="72"/>
    </row>
    <row r="278" spans="1:9">
      <c r="A278" s="117" t="s">
        <v>609</v>
      </c>
      <c r="B278" s="72"/>
      <c r="D278" s="330">
        <f t="shared" si="36"/>
        <v>7.37</v>
      </c>
      <c r="E278" s="72"/>
      <c r="F278" s="341">
        <f t="shared" si="28"/>
        <v>0</v>
      </c>
      <c r="G278" s="330">
        <f>+G277</f>
        <v>7.4</v>
      </c>
      <c r="H278" s="341">
        <f t="shared" si="29"/>
        <v>0</v>
      </c>
      <c r="I278" s="72"/>
    </row>
    <row r="279" spans="1:9">
      <c r="A279" s="117" t="s">
        <v>610</v>
      </c>
      <c r="B279" s="72"/>
      <c r="D279" s="330">
        <f>+'(JAP4)-Light Tariff Summary'!E99</f>
        <v>8.2899999999999991</v>
      </c>
      <c r="E279" s="72"/>
      <c r="F279" s="341">
        <f t="shared" si="28"/>
        <v>0</v>
      </c>
      <c r="G279" s="330">
        <f>+'(JAP4) LIGHT RD'!P106</f>
        <v>8.3199999999999985</v>
      </c>
      <c r="H279" s="341">
        <f t="shared" si="29"/>
        <v>0</v>
      </c>
      <c r="I279" s="72"/>
    </row>
    <row r="280" spans="1:9">
      <c r="A280" s="117" t="s">
        <v>611</v>
      </c>
      <c r="B280" s="72"/>
      <c r="D280" s="330">
        <f t="shared" ref="D280:D284" si="37">+D279</f>
        <v>8.2899999999999991</v>
      </c>
      <c r="E280" s="72"/>
      <c r="F280" s="341">
        <f t="shared" si="28"/>
        <v>0</v>
      </c>
      <c r="G280" s="330">
        <f>+G279</f>
        <v>8.3199999999999985</v>
      </c>
      <c r="H280" s="341">
        <f t="shared" si="29"/>
        <v>0</v>
      </c>
      <c r="I280" s="72"/>
    </row>
    <row r="281" spans="1:9">
      <c r="A281" s="117" t="s">
        <v>612</v>
      </c>
      <c r="B281" s="72"/>
      <c r="D281" s="330">
        <f t="shared" si="37"/>
        <v>8.2899999999999991</v>
      </c>
      <c r="E281" s="72"/>
      <c r="F281" s="341">
        <f t="shared" si="28"/>
        <v>0</v>
      </c>
      <c r="G281" s="330">
        <f>+G280</f>
        <v>8.3199999999999985</v>
      </c>
      <c r="H281" s="341">
        <f t="shared" si="29"/>
        <v>0</v>
      </c>
      <c r="I281" s="72"/>
    </row>
    <row r="282" spans="1:9">
      <c r="A282" s="117" t="s">
        <v>613</v>
      </c>
      <c r="B282" s="72"/>
      <c r="D282" s="330">
        <f t="shared" si="37"/>
        <v>8.2899999999999991</v>
      </c>
      <c r="E282" s="72"/>
      <c r="F282" s="341">
        <f t="shared" si="28"/>
        <v>0</v>
      </c>
      <c r="G282" s="330">
        <f>+G281</f>
        <v>8.3199999999999985</v>
      </c>
      <c r="H282" s="341">
        <f t="shared" si="29"/>
        <v>0</v>
      </c>
      <c r="I282" s="72"/>
    </row>
    <row r="283" spans="1:9">
      <c r="A283" s="117" t="s">
        <v>614</v>
      </c>
      <c r="B283" s="72"/>
      <c r="D283" s="330">
        <f t="shared" si="37"/>
        <v>8.2899999999999991</v>
      </c>
      <c r="E283" s="72"/>
      <c r="F283" s="341">
        <f t="shared" si="28"/>
        <v>0</v>
      </c>
      <c r="G283" s="330">
        <f>+G282</f>
        <v>8.3199999999999985</v>
      </c>
      <c r="H283" s="341">
        <f t="shared" si="29"/>
        <v>0</v>
      </c>
      <c r="I283" s="72"/>
    </row>
    <row r="284" spans="1:9">
      <c r="A284" s="117" t="s">
        <v>615</v>
      </c>
      <c r="B284" s="72"/>
      <c r="D284" s="330">
        <f t="shared" si="37"/>
        <v>8.2899999999999991</v>
      </c>
      <c r="E284" s="72"/>
      <c r="F284" s="341">
        <f t="shared" si="28"/>
        <v>0</v>
      </c>
      <c r="G284" s="330">
        <f>+G283</f>
        <v>8.3199999999999985</v>
      </c>
      <c r="H284" s="341">
        <f t="shared" si="29"/>
        <v>0</v>
      </c>
      <c r="I284" s="72"/>
    </row>
    <row r="285" spans="1:9">
      <c r="A285" s="117" t="s">
        <v>616</v>
      </c>
      <c r="B285" s="72"/>
      <c r="D285" s="330">
        <f>+'(JAP4)-Light Tariff Summary'!E100</f>
        <v>9.2200000000000006</v>
      </c>
      <c r="E285" s="72"/>
      <c r="F285" s="341">
        <f t="shared" si="28"/>
        <v>0</v>
      </c>
      <c r="G285" s="330">
        <f>+'(JAP4) LIGHT RD'!P107</f>
        <v>9.25</v>
      </c>
      <c r="H285" s="341">
        <f t="shared" si="29"/>
        <v>0</v>
      </c>
      <c r="I285" s="72"/>
    </row>
    <row r="286" spans="1:9">
      <c r="A286" s="117" t="s">
        <v>617</v>
      </c>
      <c r="B286" s="72"/>
      <c r="D286" s="330">
        <f t="shared" ref="D286:D290" si="38">+D285</f>
        <v>9.2200000000000006</v>
      </c>
      <c r="E286" s="72"/>
      <c r="F286" s="341">
        <f t="shared" si="28"/>
        <v>0</v>
      </c>
      <c r="G286" s="330">
        <f>+G285</f>
        <v>9.25</v>
      </c>
      <c r="H286" s="341">
        <f t="shared" si="29"/>
        <v>0</v>
      </c>
      <c r="I286" s="72"/>
    </row>
    <row r="287" spans="1:9">
      <c r="A287" s="117" t="s">
        <v>618</v>
      </c>
      <c r="B287" s="72"/>
      <c r="D287" s="330">
        <f t="shared" si="38"/>
        <v>9.2200000000000006</v>
      </c>
      <c r="E287" s="72"/>
      <c r="F287" s="341">
        <f t="shared" si="28"/>
        <v>0</v>
      </c>
      <c r="G287" s="330">
        <f>+G286</f>
        <v>9.25</v>
      </c>
      <c r="H287" s="341">
        <f t="shared" si="29"/>
        <v>0</v>
      </c>
      <c r="I287" s="72"/>
    </row>
    <row r="288" spans="1:9">
      <c r="A288" s="117" t="s">
        <v>619</v>
      </c>
      <c r="B288" s="72"/>
      <c r="D288" s="330">
        <f t="shared" si="38"/>
        <v>9.2200000000000006</v>
      </c>
      <c r="E288" s="72"/>
      <c r="F288" s="341">
        <f t="shared" si="28"/>
        <v>0</v>
      </c>
      <c r="G288" s="330">
        <f>+G287</f>
        <v>9.25</v>
      </c>
      <c r="H288" s="341">
        <f t="shared" si="29"/>
        <v>0</v>
      </c>
      <c r="I288" s="72"/>
    </row>
    <row r="289" spans="1:19">
      <c r="A289" s="117" t="s">
        <v>620</v>
      </c>
      <c r="B289" s="72"/>
      <c r="C289" s="265">
        <v>0</v>
      </c>
      <c r="D289" s="330">
        <f t="shared" si="38"/>
        <v>9.2200000000000006</v>
      </c>
      <c r="E289" s="72"/>
      <c r="F289" s="341">
        <f t="shared" si="28"/>
        <v>0</v>
      </c>
      <c r="G289" s="330">
        <f>+G288</f>
        <v>9.25</v>
      </c>
      <c r="H289" s="341">
        <f t="shared" si="29"/>
        <v>0</v>
      </c>
      <c r="I289" s="72"/>
    </row>
    <row r="290" spans="1:19">
      <c r="A290" s="117" t="s">
        <v>621</v>
      </c>
      <c r="B290" s="72"/>
      <c r="C290" s="265">
        <v>0</v>
      </c>
      <c r="D290" s="330">
        <f t="shared" si="38"/>
        <v>9.2200000000000006</v>
      </c>
      <c r="E290" s="72"/>
      <c r="F290" s="341">
        <f t="shared" si="28"/>
        <v>0</v>
      </c>
      <c r="G290" s="330">
        <f>+G289</f>
        <v>9.25</v>
      </c>
      <c r="H290" s="341">
        <f t="shared" si="29"/>
        <v>0</v>
      </c>
      <c r="I290" s="72"/>
    </row>
    <row r="291" spans="1:19">
      <c r="A291" s="333" t="s">
        <v>35</v>
      </c>
      <c r="C291" s="334">
        <f>SUM(C149:C290)</f>
        <v>75647</v>
      </c>
      <c r="D291" s="335"/>
      <c r="F291" s="353">
        <f>SUM(F149:F290)</f>
        <v>11078536</v>
      </c>
      <c r="G291" s="335"/>
      <c r="H291" s="353">
        <f>SUM(H149:H290)</f>
        <v>11211229</v>
      </c>
      <c r="I291" s="72"/>
      <c r="L291" s="396"/>
    </row>
    <row r="292" spans="1:19">
      <c r="A292" s="333"/>
      <c r="C292" s="266"/>
      <c r="D292" s="335"/>
      <c r="F292" s="358"/>
      <c r="G292" s="335"/>
      <c r="H292" s="358"/>
      <c r="I292" s="72"/>
    </row>
    <row r="293" spans="1:19">
      <c r="A293" s="116" t="str">
        <f>+$A$42</f>
        <v>Annual Average Customer Count</v>
      </c>
      <c r="B293" s="72"/>
      <c r="C293" s="336">
        <v>31325</v>
      </c>
      <c r="D293" s="338"/>
      <c r="E293" s="340"/>
      <c r="F293" s="341"/>
      <c r="G293" s="338"/>
      <c r="H293" s="342"/>
      <c r="I293" s="341"/>
    </row>
    <row r="294" spans="1:19">
      <c r="A294" s="116"/>
      <c r="B294" s="72"/>
      <c r="C294" s="336"/>
      <c r="D294" s="338"/>
      <c r="E294" s="340"/>
      <c r="F294" s="341"/>
      <c r="G294" s="338"/>
      <c r="H294" s="342"/>
      <c r="I294" s="342"/>
      <c r="J294" s="338"/>
      <c r="M294" s="338"/>
      <c r="N294" s="338"/>
      <c r="O294" s="338"/>
      <c r="P294" s="338"/>
      <c r="Q294" s="338"/>
      <c r="R294" s="338"/>
      <c r="S294" s="338"/>
    </row>
    <row r="295" spans="1:19">
      <c r="A295" s="337" t="s">
        <v>410</v>
      </c>
      <c r="B295" s="338"/>
      <c r="C295" s="339">
        <f>+'[2]Billed kWh'!$E$55</f>
        <v>38751344.238000005</v>
      </c>
      <c r="D295" s="338"/>
      <c r="E295" s="340"/>
      <c r="F295" s="341"/>
      <c r="G295" s="338"/>
      <c r="H295" s="342"/>
      <c r="I295" s="359"/>
    </row>
    <row r="296" spans="1:19">
      <c r="A296" s="337" t="s">
        <v>411</v>
      </c>
      <c r="C296" s="265">
        <f>+'[2]Unbilled Change kWh'!$E$55</f>
        <v>-38285.121500000125</v>
      </c>
      <c r="D296" s="344">
        <f>ROUND(F296/C296,6)</f>
        <v>-0.18803600000000001</v>
      </c>
      <c r="E296" s="345"/>
      <c r="F296" s="341">
        <f>$P$16</f>
        <v>7199</v>
      </c>
      <c r="G296" s="344">
        <f>ROUND(H296/C296,6)</f>
        <v>-0.19007399999999999</v>
      </c>
      <c r="H296" s="341">
        <f>ROUND(+F296*(1+$O$24),0)</f>
        <v>7277</v>
      </c>
      <c r="I296" s="345"/>
      <c r="J296" s="88"/>
      <c r="K296" s="525"/>
      <c r="L296" s="525"/>
      <c r="M296" s="376"/>
      <c r="N296" s="376"/>
      <c r="O296" s="376"/>
      <c r="P296" s="376"/>
      <c r="Q296" s="376"/>
      <c r="R296" s="376"/>
      <c r="S296" s="376"/>
    </row>
    <row r="297" spans="1:19" ht="16.5" thickBot="1">
      <c r="A297" s="119" t="s">
        <v>36</v>
      </c>
      <c r="B297" s="72"/>
      <c r="C297" s="346">
        <f>SUM(C295:C296)</f>
        <v>38713059.116500005</v>
      </c>
      <c r="D297" s="64"/>
      <c r="F297" s="347">
        <f>SUM(F296,F291)</f>
        <v>11085735</v>
      </c>
      <c r="G297" s="64"/>
      <c r="H297" s="347">
        <f>SUM(H296,H291)</f>
        <v>11218506</v>
      </c>
      <c r="I297" s="66"/>
    </row>
    <row r="298" spans="1:19" ht="16.5" thickTop="1">
      <c r="A298" s="360"/>
      <c r="B298" s="72"/>
      <c r="C298" s="105"/>
      <c r="D298" s="361"/>
      <c r="E298" s="99"/>
      <c r="F298" s="64"/>
      <c r="G298" s="361"/>
      <c r="H298" s="64"/>
      <c r="I298" s="64"/>
    </row>
    <row r="299" spans="1:19">
      <c r="A299" s="72"/>
      <c r="B299" s="72"/>
      <c r="C299" s="105"/>
      <c r="D299" s="361"/>
      <c r="E299" s="99"/>
      <c r="F299" s="64"/>
      <c r="G299" s="361"/>
      <c r="H299" s="64"/>
      <c r="I299" s="64"/>
    </row>
    <row r="300" spans="1:19">
      <c r="A300" s="72"/>
      <c r="B300" s="72"/>
      <c r="C300" s="105"/>
      <c r="D300" s="361"/>
      <c r="E300" s="99"/>
      <c r="F300" s="64"/>
      <c r="G300" s="361"/>
      <c r="H300" s="64"/>
      <c r="I300" s="64"/>
    </row>
    <row r="301" spans="1:19">
      <c r="A301" s="72"/>
      <c r="B301" s="72"/>
      <c r="C301" s="105"/>
      <c r="D301" s="361" t="s">
        <v>0</v>
      </c>
      <c r="E301" s="99"/>
      <c r="F301" s="64"/>
      <c r="G301" s="361" t="s">
        <v>0</v>
      </c>
      <c r="H301" s="64" t="s">
        <v>0</v>
      </c>
      <c r="I301" s="64"/>
    </row>
    <row r="302" spans="1:19">
      <c r="A302" s="544" t="s">
        <v>49</v>
      </c>
      <c r="B302" s="544"/>
      <c r="C302" s="544"/>
      <c r="D302" s="544"/>
      <c r="E302" s="544"/>
      <c r="F302" s="544"/>
      <c r="G302" s="544"/>
      <c r="H302" s="544"/>
      <c r="I302" s="72"/>
    </row>
    <row r="303" spans="1:19">
      <c r="A303" s="116" t="s">
        <v>622</v>
      </c>
      <c r="B303" s="72"/>
      <c r="C303" s="72"/>
      <c r="D303" s="72"/>
      <c r="E303" s="72"/>
      <c r="F303" s="72"/>
      <c r="G303" s="72"/>
      <c r="H303" s="72"/>
      <c r="I303" s="72"/>
    </row>
    <row r="304" spans="1:19">
      <c r="A304" s="72"/>
      <c r="B304" s="72"/>
      <c r="C304" s="72"/>
      <c r="D304" s="356"/>
      <c r="E304" s="72"/>
      <c r="F304" s="72"/>
      <c r="G304" s="356"/>
      <c r="H304" s="72"/>
      <c r="I304" s="72"/>
    </row>
    <row r="305" spans="1:14">
      <c r="A305" s="117" t="s">
        <v>623</v>
      </c>
      <c r="B305" s="72"/>
      <c r="C305" s="265">
        <f>ROUND(+'[2]Light Inventory'!$E$134,0)</f>
        <v>38</v>
      </c>
      <c r="D305" s="330">
        <f>+'(JAP4)-Light Tariff Summary'!E102</f>
        <v>1.54</v>
      </c>
      <c r="E305" s="72"/>
      <c r="F305" s="341">
        <f t="shared" ref="F305:F313" si="39">IF(D305="n/a",0,ROUND(C305*D305*12,0))</f>
        <v>702</v>
      </c>
      <c r="G305" s="330">
        <f>+'(JAP4) LIGHT RD'!P110</f>
        <v>1.54</v>
      </c>
      <c r="H305" s="341">
        <f t="shared" ref="H305:H313" si="40">ROUND(G305*$C305*12,0)</f>
        <v>702</v>
      </c>
      <c r="I305" s="341"/>
      <c r="J305" s="136"/>
      <c r="L305" s="265"/>
      <c r="N305" s="265"/>
    </row>
    <row r="306" spans="1:14">
      <c r="A306" s="117" t="s">
        <v>624</v>
      </c>
      <c r="B306" s="72"/>
      <c r="C306" s="265">
        <f>ROUND(+'[2]Light Inventory'!$E$135,0)</f>
        <v>740</v>
      </c>
      <c r="D306" s="330">
        <f>+'(JAP4)-Light Tariff Summary'!E103</f>
        <v>2.16</v>
      </c>
      <c r="E306" s="72"/>
      <c r="F306" s="341">
        <f t="shared" si="39"/>
        <v>19181</v>
      </c>
      <c r="G306" s="330">
        <f>+'(JAP4) LIGHT RD'!P111</f>
        <v>2.17</v>
      </c>
      <c r="H306" s="341">
        <f t="shared" si="40"/>
        <v>19270</v>
      </c>
      <c r="I306" s="341"/>
      <c r="L306" s="265"/>
      <c r="N306" s="265"/>
    </row>
    <row r="307" spans="1:14">
      <c r="A307" s="117" t="s">
        <v>625</v>
      </c>
      <c r="B307" s="72"/>
      <c r="C307" s="265">
        <f>ROUND(+'[2]Light Inventory'!$E$136,0)</f>
        <v>1720</v>
      </c>
      <c r="D307" s="330">
        <f>+'(JAP4)-Light Tariff Summary'!E104</f>
        <v>3.09</v>
      </c>
      <c r="E307" s="72"/>
      <c r="F307" s="341">
        <f t="shared" si="39"/>
        <v>63778</v>
      </c>
      <c r="G307" s="330">
        <f>+'(JAP4) LIGHT RD'!P112</f>
        <v>3.0999999999999996</v>
      </c>
      <c r="H307" s="341">
        <f t="shared" si="40"/>
        <v>63984</v>
      </c>
      <c r="I307" s="341"/>
      <c r="L307" s="265"/>
      <c r="N307" s="265"/>
    </row>
    <row r="308" spans="1:14">
      <c r="A308" s="117" t="s">
        <v>626</v>
      </c>
      <c r="B308" s="72"/>
      <c r="C308" s="265">
        <f>ROUND(+'[2]Light Inventory'!$E$137,0)</f>
        <v>523</v>
      </c>
      <c r="D308" s="330">
        <f>+'(JAP4)-Light Tariff Summary'!E105</f>
        <v>4.63</v>
      </c>
      <c r="E308" s="72"/>
      <c r="F308" s="341">
        <f t="shared" si="39"/>
        <v>29058</v>
      </c>
      <c r="G308" s="330">
        <f>+'(JAP4) LIGHT RD'!P113</f>
        <v>4.6399999999999997</v>
      </c>
      <c r="H308" s="341">
        <f t="shared" si="40"/>
        <v>29121</v>
      </c>
      <c r="I308" s="341"/>
      <c r="L308" s="265"/>
      <c r="N308" s="265"/>
    </row>
    <row r="309" spans="1:14">
      <c r="A309" s="117" t="s">
        <v>627</v>
      </c>
      <c r="B309" s="72"/>
      <c r="C309" s="265">
        <f>ROUND(+'[2]Light Inventory'!$E$138,0)</f>
        <v>682</v>
      </c>
      <c r="D309" s="330">
        <f>+'(JAP4)-Light Tariff Summary'!E106</f>
        <v>6.17</v>
      </c>
      <c r="E309" s="72"/>
      <c r="F309" s="341">
        <f t="shared" si="39"/>
        <v>50495</v>
      </c>
      <c r="G309" s="330">
        <f>+'(JAP4) LIGHT RD'!P114</f>
        <v>6.1899999999999995</v>
      </c>
      <c r="H309" s="341">
        <f t="shared" si="40"/>
        <v>50659</v>
      </c>
      <c r="I309" s="341"/>
      <c r="L309" s="265"/>
      <c r="N309" s="265"/>
    </row>
    <row r="310" spans="1:14">
      <c r="A310" s="117" t="s">
        <v>628</v>
      </c>
      <c r="B310" s="72"/>
      <c r="C310" s="265">
        <f>ROUND(+'[2]Light Inventory'!$E$139,0)</f>
        <v>1521</v>
      </c>
      <c r="D310" s="330">
        <f>+'(JAP4)-Light Tariff Summary'!E107</f>
        <v>7.72</v>
      </c>
      <c r="E310" s="72"/>
      <c r="F310" s="341">
        <f t="shared" si="39"/>
        <v>140905</v>
      </c>
      <c r="G310" s="330">
        <f>+'(JAP4) LIGHT RD'!P115</f>
        <v>7.7399999999999993</v>
      </c>
      <c r="H310" s="341">
        <f t="shared" si="40"/>
        <v>141270</v>
      </c>
      <c r="I310" s="341"/>
      <c r="L310" s="265"/>
      <c r="N310" s="265"/>
    </row>
    <row r="311" spans="1:14">
      <c r="A311" s="117" t="s">
        <v>629</v>
      </c>
      <c r="B311" s="72"/>
      <c r="C311" s="265">
        <f>ROUND(+'[2]Light Inventory'!$E$140,0)</f>
        <v>77</v>
      </c>
      <c r="D311" s="330">
        <f>+'(JAP4)-Light Tariff Summary'!E108</f>
        <v>9.57</v>
      </c>
      <c r="E311" s="72"/>
      <c r="F311" s="341">
        <f t="shared" si="39"/>
        <v>8843</v>
      </c>
      <c r="G311" s="330">
        <f>+'(JAP4) LIGHT RD'!P116</f>
        <v>9.6</v>
      </c>
      <c r="H311" s="341">
        <f t="shared" si="40"/>
        <v>8870</v>
      </c>
      <c r="I311" s="341"/>
      <c r="L311" s="265"/>
      <c r="N311" s="265"/>
    </row>
    <row r="312" spans="1:14">
      <c r="A312" s="117" t="s">
        <v>630</v>
      </c>
      <c r="B312" s="72"/>
      <c r="C312" s="265">
        <f>ROUND(+'[2]Light Inventory'!$E$141,0)</f>
        <v>755</v>
      </c>
      <c r="D312" s="330">
        <f>+'(JAP4)-Light Tariff Summary'!E109</f>
        <v>12.35</v>
      </c>
      <c r="E312" s="72"/>
      <c r="F312" s="341">
        <f t="shared" si="39"/>
        <v>111891</v>
      </c>
      <c r="G312" s="330">
        <f>+'(JAP4) LIGHT RD'!P117</f>
        <v>12.379999999999999</v>
      </c>
      <c r="H312" s="341">
        <f t="shared" si="40"/>
        <v>112163</v>
      </c>
      <c r="I312" s="341"/>
      <c r="L312" s="265"/>
      <c r="N312" s="265"/>
    </row>
    <row r="313" spans="1:14">
      <c r="A313" s="117" t="s">
        <v>631</v>
      </c>
      <c r="B313" s="72"/>
      <c r="C313" s="265">
        <f>ROUND(+'[2]Light Inventory'!$E$142,0)</f>
        <v>11</v>
      </c>
      <c r="D313" s="330">
        <f>+'(JAP4)-Light Tariff Summary'!E110</f>
        <v>30.87</v>
      </c>
      <c r="E313" s="72"/>
      <c r="F313" s="341">
        <f t="shared" si="39"/>
        <v>4075</v>
      </c>
      <c r="G313" s="330">
        <f>+'(JAP4) LIGHT RD'!P118</f>
        <v>30.95</v>
      </c>
      <c r="H313" s="341">
        <f t="shared" si="40"/>
        <v>4085</v>
      </c>
      <c r="I313" s="341"/>
      <c r="L313" s="265"/>
      <c r="N313" s="265"/>
    </row>
    <row r="314" spans="1:14">
      <c r="A314" s="117"/>
      <c r="B314" s="72"/>
      <c r="D314" s="330"/>
      <c r="E314" s="72"/>
      <c r="F314" s="341"/>
      <c r="G314" s="330"/>
      <c r="H314" s="341"/>
      <c r="I314" s="341"/>
    </row>
    <row r="315" spans="1:14">
      <c r="A315" s="117" t="s">
        <v>632</v>
      </c>
      <c r="B315" s="72"/>
      <c r="C315" s="265">
        <f>ROUND(+'[2]Light Inventory'!$E$143,0)</f>
        <v>203</v>
      </c>
      <c r="D315" s="330">
        <f>+'(JAP4)-Light Tariff Summary'!E112</f>
        <v>1.39</v>
      </c>
      <c r="E315" s="72"/>
      <c r="F315" s="341">
        <f t="shared" ref="F315:F368" si="41">IF(D315="n/a",0,ROUND(C315*D315*12,0))</f>
        <v>3386</v>
      </c>
      <c r="G315" s="330">
        <f>+'(JAP4) LIGHT RD'!P121</f>
        <v>1.39</v>
      </c>
      <c r="H315" s="341">
        <f t="shared" ref="H315:H368" si="42">ROUND(G315*$C315*12,0)</f>
        <v>3386</v>
      </c>
      <c r="I315" s="341"/>
      <c r="L315" s="265"/>
      <c r="N315" s="265"/>
    </row>
    <row r="316" spans="1:14">
      <c r="A316" s="117" t="s">
        <v>633</v>
      </c>
      <c r="B316" s="72"/>
      <c r="C316" s="265">
        <f>ROUND(+'[2]Light Inventory'!$E$144,0)</f>
        <v>107</v>
      </c>
      <c r="D316" s="330">
        <f t="shared" ref="D316:D320" si="43">+D315</f>
        <v>1.39</v>
      </c>
      <c r="E316" s="72"/>
      <c r="F316" s="341">
        <f t="shared" si="41"/>
        <v>1785</v>
      </c>
      <c r="G316" s="330">
        <f>+G315</f>
        <v>1.39</v>
      </c>
      <c r="H316" s="341">
        <f t="shared" si="42"/>
        <v>1785</v>
      </c>
      <c r="I316" s="341"/>
      <c r="L316" s="265"/>
      <c r="N316" s="265"/>
    </row>
    <row r="317" spans="1:14">
      <c r="A317" s="117" t="s">
        <v>634</v>
      </c>
      <c r="B317" s="72"/>
      <c r="C317" s="265">
        <f>ROUND(+'[2]Light Inventory'!$E$145,0)</f>
        <v>497</v>
      </c>
      <c r="D317" s="330">
        <f t="shared" si="43"/>
        <v>1.39</v>
      </c>
      <c r="E317" s="72"/>
      <c r="F317" s="341">
        <f t="shared" si="41"/>
        <v>8290</v>
      </c>
      <c r="G317" s="330">
        <f>+G316</f>
        <v>1.39</v>
      </c>
      <c r="H317" s="341">
        <f t="shared" si="42"/>
        <v>8290</v>
      </c>
      <c r="I317" s="341"/>
      <c r="L317" s="265"/>
      <c r="N317" s="265"/>
    </row>
    <row r="318" spans="1:14">
      <c r="A318" s="117" t="s">
        <v>635</v>
      </c>
      <c r="B318" s="72"/>
      <c r="C318" s="265">
        <f>ROUND(+'[2]Light Inventory'!$E$146,0)</f>
        <v>43</v>
      </c>
      <c r="D318" s="330">
        <f t="shared" si="43"/>
        <v>1.39</v>
      </c>
      <c r="E318" s="72"/>
      <c r="F318" s="341">
        <f t="shared" si="41"/>
        <v>717</v>
      </c>
      <c r="G318" s="330">
        <f>+G317</f>
        <v>1.39</v>
      </c>
      <c r="H318" s="341">
        <f t="shared" si="42"/>
        <v>717</v>
      </c>
      <c r="I318" s="341"/>
      <c r="L318" s="265"/>
      <c r="N318" s="265"/>
    </row>
    <row r="319" spans="1:14">
      <c r="A319" s="117" t="s">
        <v>636</v>
      </c>
      <c r="B319" s="72"/>
      <c r="C319" s="265">
        <f>ROUND(+'[2]Light Inventory'!$E$147,0)</f>
        <v>482</v>
      </c>
      <c r="D319" s="330">
        <f t="shared" si="43"/>
        <v>1.39</v>
      </c>
      <c r="E319" s="72"/>
      <c r="F319" s="341">
        <f t="shared" si="41"/>
        <v>8040</v>
      </c>
      <c r="G319" s="330">
        <f>+G318</f>
        <v>1.39</v>
      </c>
      <c r="H319" s="341">
        <f t="shared" si="42"/>
        <v>8040</v>
      </c>
      <c r="I319" s="341"/>
      <c r="L319" s="265"/>
      <c r="N319" s="265"/>
    </row>
    <row r="320" spans="1:14">
      <c r="A320" s="117" t="s">
        <v>637</v>
      </c>
      <c r="B320" s="72"/>
      <c r="D320" s="330">
        <f t="shared" si="43"/>
        <v>1.39</v>
      </c>
      <c r="E320" s="72"/>
      <c r="F320" s="341">
        <f t="shared" si="41"/>
        <v>0</v>
      </c>
      <c r="G320" s="330">
        <f>+G319</f>
        <v>1.39</v>
      </c>
      <c r="H320" s="341">
        <f t="shared" si="42"/>
        <v>0</v>
      </c>
      <c r="I320" s="341"/>
    </row>
    <row r="321" spans="1:14">
      <c r="A321" s="117" t="s">
        <v>638</v>
      </c>
      <c r="B321" s="72"/>
      <c r="D321" s="330">
        <f>+'(JAP4)-Light Tariff Summary'!E113</f>
        <v>2.3199999999999998</v>
      </c>
      <c r="E321" s="72"/>
      <c r="F321" s="341">
        <f t="shared" si="41"/>
        <v>0</v>
      </c>
      <c r="G321" s="330">
        <f>+'(JAP4) LIGHT RD'!P122</f>
        <v>2.3299999999999996</v>
      </c>
      <c r="H321" s="341">
        <f t="shared" si="42"/>
        <v>0</v>
      </c>
      <c r="I321" s="341"/>
    </row>
    <row r="322" spans="1:14">
      <c r="A322" s="117" t="s">
        <v>639</v>
      </c>
      <c r="B322" s="72"/>
      <c r="D322" s="330">
        <f t="shared" ref="D322:D326" si="44">+D321</f>
        <v>2.3199999999999998</v>
      </c>
      <c r="E322" s="72"/>
      <c r="F322" s="341">
        <f t="shared" si="41"/>
        <v>0</v>
      </c>
      <c r="G322" s="330">
        <f>+G321</f>
        <v>2.3299999999999996</v>
      </c>
      <c r="H322" s="341">
        <f t="shared" si="42"/>
        <v>0</v>
      </c>
      <c r="I322" s="341"/>
    </row>
    <row r="323" spans="1:14">
      <c r="A323" s="117" t="s">
        <v>640</v>
      </c>
      <c r="B323" s="72"/>
      <c r="C323" s="63"/>
      <c r="D323" s="330">
        <f t="shared" si="44"/>
        <v>2.3199999999999998</v>
      </c>
      <c r="E323" s="72"/>
      <c r="F323" s="341">
        <f t="shared" si="41"/>
        <v>0</v>
      </c>
      <c r="G323" s="330">
        <f>+G322</f>
        <v>2.3299999999999996</v>
      </c>
      <c r="H323" s="341">
        <f t="shared" si="42"/>
        <v>0</v>
      </c>
      <c r="I323" s="341"/>
      <c r="N323" s="63"/>
    </row>
    <row r="324" spans="1:14">
      <c r="A324" s="117" t="s">
        <v>641</v>
      </c>
      <c r="B324" s="72"/>
      <c r="C324" s="63"/>
      <c r="D324" s="330">
        <f t="shared" si="44"/>
        <v>2.3199999999999998</v>
      </c>
      <c r="E324" s="72"/>
      <c r="F324" s="341">
        <f t="shared" si="41"/>
        <v>0</v>
      </c>
      <c r="G324" s="330">
        <f>+G323</f>
        <v>2.3299999999999996</v>
      </c>
      <c r="H324" s="341">
        <f t="shared" si="42"/>
        <v>0</v>
      </c>
      <c r="I324" s="341"/>
      <c r="N324" s="63"/>
    </row>
    <row r="325" spans="1:14">
      <c r="A325" s="117" t="s">
        <v>642</v>
      </c>
      <c r="B325" s="72"/>
      <c r="C325" s="63"/>
      <c r="D325" s="330">
        <f t="shared" si="44"/>
        <v>2.3199999999999998</v>
      </c>
      <c r="E325" s="72"/>
      <c r="F325" s="341">
        <f t="shared" si="41"/>
        <v>0</v>
      </c>
      <c r="G325" s="330">
        <f>+G324</f>
        <v>2.3299999999999996</v>
      </c>
      <c r="H325" s="341">
        <f t="shared" si="42"/>
        <v>0</v>
      </c>
      <c r="I325" s="341"/>
      <c r="N325" s="63"/>
    </row>
    <row r="326" spans="1:14">
      <c r="A326" s="117" t="s">
        <v>643</v>
      </c>
      <c r="B326" s="72"/>
      <c r="C326" s="63"/>
      <c r="D326" s="330">
        <f t="shared" si="44"/>
        <v>2.3199999999999998</v>
      </c>
      <c r="E326" s="72"/>
      <c r="F326" s="341">
        <f t="shared" si="41"/>
        <v>0</v>
      </c>
      <c r="G326" s="330">
        <f>+G325</f>
        <v>2.3299999999999996</v>
      </c>
      <c r="H326" s="341">
        <f t="shared" si="42"/>
        <v>0</v>
      </c>
      <c r="I326" s="341"/>
      <c r="N326" s="63"/>
    </row>
    <row r="327" spans="1:14">
      <c r="A327" s="117" t="s">
        <v>644</v>
      </c>
      <c r="B327" s="72"/>
      <c r="C327" s="265">
        <f>ROUND(+'[2]Light Inventory'!$E$148,0)</f>
        <v>42</v>
      </c>
      <c r="D327" s="330">
        <f>+'(JAP4)-Light Tariff Summary'!E114</f>
        <v>3.24</v>
      </c>
      <c r="E327" s="72"/>
      <c r="F327" s="341">
        <f t="shared" si="41"/>
        <v>1633</v>
      </c>
      <c r="G327" s="330">
        <f>+'(JAP4) LIGHT RD'!P123</f>
        <v>3.25</v>
      </c>
      <c r="H327" s="341">
        <f t="shared" si="42"/>
        <v>1638</v>
      </c>
      <c r="I327" s="341"/>
      <c r="L327" s="265"/>
      <c r="N327" s="265"/>
    </row>
    <row r="328" spans="1:14">
      <c r="A328" s="117" t="s">
        <v>645</v>
      </c>
      <c r="B328" s="72"/>
      <c r="D328" s="330">
        <f t="shared" ref="D328:D332" si="45">+D327</f>
        <v>3.24</v>
      </c>
      <c r="E328" s="72"/>
      <c r="F328" s="341">
        <f t="shared" si="41"/>
        <v>0</v>
      </c>
      <c r="G328" s="330">
        <f>+G327</f>
        <v>3.25</v>
      </c>
      <c r="H328" s="341">
        <f t="shared" si="42"/>
        <v>0</v>
      </c>
      <c r="I328" s="341"/>
    </row>
    <row r="329" spans="1:14">
      <c r="A329" s="117" t="s">
        <v>646</v>
      </c>
      <c r="B329" s="72"/>
      <c r="C329" s="265">
        <f>ROUND(+'[2]Light Inventory'!$E$149,0)</f>
        <v>1646</v>
      </c>
      <c r="D329" s="330">
        <f t="shared" si="45"/>
        <v>3.24</v>
      </c>
      <c r="E329" s="72"/>
      <c r="F329" s="341">
        <f t="shared" si="41"/>
        <v>63996</v>
      </c>
      <c r="G329" s="330">
        <f>+G328</f>
        <v>3.25</v>
      </c>
      <c r="H329" s="341">
        <f t="shared" si="42"/>
        <v>64194</v>
      </c>
      <c r="I329" s="341"/>
      <c r="L329" s="265"/>
      <c r="N329" s="265"/>
    </row>
    <row r="330" spans="1:14">
      <c r="A330" s="117" t="s">
        <v>647</v>
      </c>
      <c r="B330" s="72"/>
      <c r="D330" s="330">
        <f t="shared" si="45"/>
        <v>3.24</v>
      </c>
      <c r="E330" s="72"/>
      <c r="F330" s="341">
        <f t="shared" si="41"/>
        <v>0</v>
      </c>
      <c r="G330" s="330">
        <f>+G329</f>
        <v>3.25</v>
      </c>
      <c r="H330" s="341">
        <f t="shared" si="42"/>
        <v>0</v>
      </c>
      <c r="I330" s="341"/>
    </row>
    <row r="331" spans="1:14">
      <c r="A331" s="117" t="s">
        <v>648</v>
      </c>
      <c r="B331" s="72"/>
      <c r="C331" s="63"/>
      <c r="D331" s="330">
        <f t="shared" si="45"/>
        <v>3.24</v>
      </c>
      <c r="E331" s="72"/>
      <c r="F331" s="341">
        <f t="shared" si="41"/>
        <v>0</v>
      </c>
      <c r="G331" s="330">
        <f>+G330</f>
        <v>3.25</v>
      </c>
      <c r="H331" s="341">
        <f t="shared" si="42"/>
        <v>0</v>
      </c>
      <c r="I331" s="341"/>
      <c r="N331" s="63"/>
    </row>
    <row r="332" spans="1:14">
      <c r="A332" s="117" t="s">
        <v>649</v>
      </c>
      <c r="B332" s="72"/>
      <c r="C332" s="63"/>
      <c r="D332" s="330">
        <f t="shared" si="45"/>
        <v>3.24</v>
      </c>
      <c r="E332" s="72"/>
      <c r="F332" s="341">
        <f t="shared" si="41"/>
        <v>0</v>
      </c>
      <c r="G332" s="330">
        <f>+G331</f>
        <v>3.25</v>
      </c>
      <c r="H332" s="341">
        <f t="shared" si="42"/>
        <v>0</v>
      </c>
      <c r="I332" s="341"/>
      <c r="N332" s="63"/>
    </row>
    <row r="333" spans="1:14">
      <c r="A333" s="117" t="s">
        <v>650</v>
      </c>
      <c r="B333" s="72"/>
      <c r="C333" s="63"/>
      <c r="D333" s="330">
        <f>+'(JAP4)-Light Tariff Summary'!E115</f>
        <v>4.17</v>
      </c>
      <c r="E333" s="72"/>
      <c r="F333" s="341">
        <f t="shared" si="41"/>
        <v>0</v>
      </c>
      <c r="G333" s="330">
        <f>+'(JAP4) LIGHT RD'!P124</f>
        <v>4.18</v>
      </c>
      <c r="H333" s="341">
        <f t="shared" si="42"/>
        <v>0</v>
      </c>
      <c r="I333" s="341"/>
      <c r="N333" s="63"/>
    </row>
    <row r="334" spans="1:14">
      <c r="A334" s="117" t="s">
        <v>651</v>
      </c>
      <c r="B334" s="72"/>
      <c r="C334" s="63"/>
      <c r="D334" s="330">
        <f t="shared" ref="D334:D338" si="46">+D333</f>
        <v>4.17</v>
      </c>
      <c r="E334" s="72"/>
      <c r="F334" s="341">
        <f t="shared" si="41"/>
        <v>0</v>
      </c>
      <c r="G334" s="330">
        <f>+G333</f>
        <v>4.18</v>
      </c>
      <c r="H334" s="341">
        <f t="shared" si="42"/>
        <v>0</v>
      </c>
      <c r="I334" s="341"/>
      <c r="N334" s="63"/>
    </row>
    <row r="335" spans="1:14">
      <c r="A335" s="117" t="s">
        <v>652</v>
      </c>
      <c r="B335" s="72"/>
      <c r="C335" s="265">
        <f>ROUND(+'[2]Light Inventory'!$E$150,0)</f>
        <v>14</v>
      </c>
      <c r="D335" s="330">
        <f t="shared" si="46"/>
        <v>4.17</v>
      </c>
      <c r="E335" s="72"/>
      <c r="F335" s="341">
        <f t="shared" si="41"/>
        <v>701</v>
      </c>
      <c r="G335" s="330">
        <f>+G334</f>
        <v>4.18</v>
      </c>
      <c r="H335" s="341">
        <f t="shared" si="42"/>
        <v>702</v>
      </c>
      <c r="I335" s="341"/>
      <c r="L335" s="265"/>
      <c r="N335" s="265"/>
    </row>
    <row r="336" spans="1:14">
      <c r="A336" s="117" t="s">
        <v>653</v>
      </c>
      <c r="B336" s="72"/>
      <c r="C336" s="265">
        <f>ROUND(+'[2]Light Inventory'!$E$151,0)</f>
        <v>782</v>
      </c>
      <c r="D336" s="330">
        <f t="shared" si="46"/>
        <v>4.17</v>
      </c>
      <c r="E336" s="72"/>
      <c r="F336" s="341">
        <f t="shared" si="41"/>
        <v>39131</v>
      </c>
      <c r="G336" s="330">
        <f>+G335</f>
        <v>4.18</v>
      </c>
      <c r="H336" s="341">
        <f t="shared" si="42"/>
        <v>39225</v>
      </c>
      <c r="I336" s="341"/>
      <c r="L336" s="265"/>
      <c r="N336" s="265"/>
    </row>
    <row r="337" spans="1:14">
      <c r="A337" s="117" t="s">
        <v>654</v>
      </c>
      <c r="B337" s="72"/>
      <c r="D337" s="330">
        <f t="shared" si="46"/>
        <v>4.17</v>
      </c>
      <c r="E337" s="72"/>
      <c r="F337" s="341">
        <f t="shared" si="41"/>
        <v>0</v>
      </c>
      <c r="G337" s="330">
        <f>+G336</f>
        <v>4.18</v>
      </c>
      <c r="H337" s="341">
        <f t="shared" si="42"/>
        <v>0</v>
      </c>
      <c r="I337" s="341"/>
    </row>
    <row r="338" spans="1:14">
      <c r="A338" s="117" t="s">
        <v>655</v>
      </c>
      <c r="B338" s="72"/>
      <c r="D338" s="330">
        <f t="shared" si="46"/>
        <v>4.17</v>
      </c>
      <c r="E338" s="72"/>
      <c r="F338" s="341">
        <f t="shared" si="41"/>
        <v>0</v>
      </c>
      <c r="G338" s="330">
        <f>+G337</f>
        <v>4.18</v>
      </c>
      <c r="H338" s="341">
        <f t="shared" si="42"/>
        <v>0</v>
      </c>
      <c r="I338" s="341"/>
    </row>
    <row r="339" spans="1:14">
      <c r="A339" s="117" t="s">
        <v>656</v>
      </c>
      <c r="B339" s="72"/>
      <c r="D339" s="330">
        <f>+'(JAP4)-Light Tariff Summary'!E116</f>
        <v>5.09</v>
      </c>
      <c r="E339" s="72"/>
      <c r="F339" s="341">
        <f t="shared" si="41"/>
        <v>0</v>
      </c>
      <c r="G339" s="330">
        <f>+'(JAP4) LIGHT RD'!P125</f>
        <v>5.0999999999999996</v>
      </c>
      <c r="H339" s="341">
        <f t="shared" si="42"/>
        <v>0</v>
      </c>
      <c r="I339" s="341"/>
    </row>
    <row r="340" spans="1:14">
      <c r="A340" s="117" t="s">
        <v>657</v>
      </c>
      <c r="B340" s="72"/>
      <c r="D340" s="330">
        <f t="shared" ref="D340:D344" si="47">+D339</f>
        <v>5.09</v>
      </c>
      <c r="E340" s="72"/>
      <c r="F340" s="341">
        <f t="shared" si="41"/>
        <v>0</v>
      </c>
      <c r="G340" s="330">
        <f>+G339</f>
        <v>5.0999999999999996</v>
      </c>
      <c r="H340" s="341">
        <f t="shared" si="42"/>
        <v>0</v>
      </c>
      <c r="I340" s="341"/>
    </row>
    <row r="341" spans="1:14">
      <c r="A341" s="117" t="s">
        <v>658</v>
      </c>
      <c r="B341" s="72"/>
      <c r="D341" s="330">
        <f t="shared" si="47"/>
        <v>5.09</v>
      </c>
      <c r="E341" s="72"/>
      <c r="F341" s="341">
        <f t="shared" si="41"/>
        <v>0</v>
      </c>
      <c r="G341" s="330">
        <f>+G340</f>
        <v>5.0999999999999996</v>
      </c>
      <c r="H341" s="341">
        <f t="shared" si="42"/>
        <v>0</v>
      </c>
      <c r="I341" s="341"/>
    </row>
    <row r="342" spans="1:14">
      <c r="A342" s="117" t="s">
        <v>659</v>
      </c>
      <c r="B342" s="72"/>
      <c r="C342" s="265">
        <f>ROUND(+'[2]Light Inventory'!$E$152,0)</f>
        <v>316</v>
      </c>
      <c r="D342" s="330">
        <f t="shared" si="47"/>
        <v>5.09</v>
      </c>
      <c r="E342" s="72"/>
      <c r="F342" s="341">
        <f t="shared" si="41"/>
        <v>19301</v>
      </c>
      <c r="G342" s="330">
        <f>+G341</f>
        <v>5.0999999999999996</v>
      </c>
      <c r="H342" s="341">
        <f t="shared" si="42"/>
        <v>19339</v>
      </c>
      <c r="I342" s="341"/>
      <c r="L342" s="265"/>
      <c r="N342" s="265"/>
    </row>
    <row r="343" spans="1:14">
      <c r="A343" s="117" t="s">
        <v>660</v>
      </c>
      <c r="B343" s="72"/>
      <c r="D343" s="330">
        <f t="shared" si="47"/>
        <v>5.09</v>
      </c>
      <c r="E343" s="72"/>
      <c r="F343" s="341">
        <f t="shared" si="41"/>
        <v>0</v>
      </c>
      <c r="G343" s="330">
        <f>+G342</f>
        <v>5.0999999999999996</v>
      </c>
      <c r="H343" s="341">
        <f t="shared" si="42"/>
        <v>0</v>
      </c>
      <c r="I343" s="341"/>
    </row>
    <row r="344" spans="1:14">
      <c r="A344" s="117" t="s">
        <v>661</v>
      </c>
      <c r="B344" s="72"/>
      <c r="D344" s="330">
        <f t="shared" si="47"/>
        <v>5.09</v>
      </c>
      <c r="E344" s="72"/>
      <c r="F344" s="341">
        <f t="shared" si="41"/>
        <v>0</v>
      </c>
      <c r="G344" s="330">
        <f>+G343</f>
        <v>5.0999999999999996</v>
      </c>
      <c r="H344" s="341">
        <f t="shared" si="42"/>
        <v>0</v>
      </c>
      <c r="I344" s="341"/>
    </row>
    <row r="345" spans="1:14">
      <c r="A345" s="117" t="s">
        <v>662</v>
      </c>
      <c r="B345" s="72"/>
      <c r="D345" s="330">
        <f>+'(JAP4)-Light Tariff Summary'!E117</f>
        <v>6.02</v>
      </c>
      <c r="E345" s="72"/>
      <c r="F345" s="341">
        <f t="shared" si="41"/>
        <v>0</v>
      </c>
      <c r="G345" s="330">
        <f>+'(JAP4) LIGHT RD'!P126</f>
        <v>6.0399999999999991</v>
      </c>
      <c r="H345" s="341">
        <f t="shared" si="42"/>
        <v>0</v>
      </c>
      <c r="I345" s="341"/>
    </row>
    <row r="346" spans="1:14">
      <c r="A346" s="117" t="s">
        <v>663</v>
      </c>
      <c r="B346" s="72"/>
      <c r="C346" s="265">
        <f>ROUND(+'[2]Light Inventory'!$E$153,0)</f>
        <v>4</v>
      </c>
      <c r="D346" s="330">
        <f t="shared" ref="D346:D350" si="48">+D345</f>
        <v>6.02</v>
      </c>
      <c r="E346" s="72"/>
      <c r="F346" s="341">
        <f t="shared" si="41"/>
        <v>289</v>
      </c>
      <c r="G346" s="330">
        <f>+G345</f>
        <v>6.0399999999999991</v>
      </c>
      <c r="H346" s="341">
        <f t="shared" si="42"/>
        <v>290</v>
      </c>
      <c r="I346" s="341"/>
      <c r="L346" s="265"/>
      <c r="N346" s="265"/>
    </row>
    <row r="347" spans="1:14">
      <c r="A347" s="117" t="s">
        <v>664</v>
      </c>
      <c r="B347" s="72"/>
      <c r="D347" s="330">
        <f t="shared" si="48"/>
        <v>6.02</v>
      </c>
      <c r="E347" s="72"/>
      <c r="F347" s="341">
        <f t="shared" si="41"/>
        <v>0</v>
      </c>
      <c r="G347" s="330">
        <f>+G346</f>
        <v>6.0399999999999991</v>
      </c>
      <c r="H347" s="341">
        <f t="shared" si="42"/>
        <v>0</v>
      </c>
      <c r="I347" s="341"/>
    </row>
    <row r="348" spans="1:14">
      <c r="A348" s="117" t="s">
        <v>665</v>
      </c>
      <c r="B348" s="72"/>
      <c r="D348" s="330">
        <f t="shared" si="48"/>
        <v>6.02</v>
      </c>
      <c r="E348" s="72"/>
      <c r="F348" s="341">
        <f t="shared" si="41"/>
        <v>0</v>
      </c>
      <c r="G348" s="330">
        <f>+G347</f>
        <v>6.0399999999999991</v>
      </c>
      <c r="H348" s="341">
        <f t="shared" si="42"/>
        <v>0</v>
      </c>
      <c r="I348" s="341"/>
    </row>
    <row r="349" spans="1:14">
      <c r="A349" s="117" t="s">
        <v>666</v>
      </c>
      <c r="B349" s="72"/>
      <c r="C349" s="265">
        <f>ROUND(+'[2]Light Inventory'!$E$154,0)</f>
        <v>11</v>
      </c>
      <c r="D349" s="330">
        <f t="shared" si="48"/>
        <v>6.02</v>
      </c>
      <c r="E349" s="72"/>
      <c r="F349" s="341">
        <f t="shared" si="41"/>
        <v>795</v>
      </c>
      <c r="G349" s="330">
        <f>+G348</f>
        <v>6.0399999999999991</v>
      </c>
      <c r="H349" s="341">
        <f t="shared" si="42"/>
        <v>797</v>
      </c>
      <c r="I349" s="341"/>
      <c r="L349" s="265"/>
      <c r="N349" s="265"/>
    </row>
    <row r="350" spans="1:14">
      <c r="A350" s="117" t="s">
        <v>667</v>
      </c>
      <c r="B350" s="72"/>
      <c r="C350" s="265"/>
      <c r="D350" s="330">
        <f t="shared" si="48"/>
        <v>6.02</v>
      </c>
      <c r="E350" s="72"/>
      <c r="F350" s="341">
        <f t="shared" si="41"/>
        <v>0</v>
      </c>
      <c r="G350" s="330">
        <f>+G349</f>
        <v>6.0399999999999991</v>
      </c>
      <c r="H350" s="341">
        <f t="shared" si="42"/>
        <v>0</v>
      </c>
      <c r="I350" s="341"/>
      <c r="L350" s="265"/>
      <c r="N350" s="265"/>
    </row>
    <row r="351" spans="1:14">
      <c r="A351" s="117" t="s">
        <v>668</v>
      </c>
      <c r="B351" s="72"/>
      <c r="D351" s="330">
        <f>+'(JAP4)-Light Tariff Summary'!E118</f>
        <v>6.95</v>
      </c>
      <c r="E351" s="72"/>
      <c r="F351" s="341">
        <f t="shared" si="41"/>
        <v>0</v>
      </c>
      <c r="G351" s="330">
        <f>+'(JAP4) LIGHT RD'!P127</f>
        <v>6.97</v>
      </c>
      <c r="H351" s="341">
        <f t="shared" si="42"/>
        <v>0</v>
      </c>
      <c r="I351" s="341"/>
    </row>
    <row r="352" spans="1:14">
      <c r="A352" s="117" t="s">
        <v>669</v>
      </c>
      <c r="B352" s="72"/>
      <c r="D352" s="330">
        <f t="shared" ref="D352:D356" si="49">+D351</f>
        <v>6.95</v>
      </c>
      <c r="E352" s="72"/>
      <c r="F352" s="341">
        <f t="shared" si="41"/>
        <v>0</v>
      </c>
      <c r="G352" s="330">
        <f>+G351</f>
        <v>6.97</v>
      </c>
      <c r="H352" s="341">
        <f t="shared" si="42"/>
        <v>0</v>
      </c>
      <c r="I352" s="341"/>
    </row>
    <row r="353" spans="1:14">
      <c r="A353" s="117" t="s">
        <v>670</v>
      </c>
      <c r="B353" s="72"/>
      <c r="C353" s="63"/>
      <c r="D353" s="330">
        <f t="shared" si="49"/>
        <v>6.95</v>
      </c>
      <c r="E353" s="72"/>
      <c r="F353" s="341">
        <f t="shared" si="41"/>
        <v>0</v>
      </c>
      <c r="G353" s="330">
        <f>+G352</f>
        <v>6.97</v>
      </c>
      <c r="H353" s="341">
        <f t="shared" si="42"/>
        <v>0</v>
      </c>
      <c r="I353" s="341"/>
      <c r="N353" s="63"/>
    </row>
    <row r="354" spans="1:14">
      <c r="A354" s="117" t="s">
        <v>671</v>
      </c>
      <c r="B354" s="72"/>
      <c r="C354" s="63"/>
      <c r="D354" s="330">
        <f t="shared" si="49"/>
        <v>6.95</v>
      </c>
      <c r="E354" s="72"/>
      <c r="F354" s="341">
        <f t="shared" si="41"/>
        <v>0</v>
      </c>
      <c r="G354" s="330">
        <f>+G353</f>
        <v>6.97</v>
      </c>
      <c r="H354" s="341">
        <f t="shared" si="42"/>
        <v>0</v>
      </c>
      <c r="I354" s="341"/>
      <c r="N354" s="63"/>
    </row>
    <row r="355" spans="1:14">
      <c r="A355" s="117" t="s">
        <v>672</v>
      </c>
      <c r="B355" s="72"/>
      <c r="C355" s="63"/>
      <c r="D355" s="330">
        <f t="shared" si="49"/>
        <v>6.95</v>
      </c>
      <c r="E355" s="72"/>
      <c r="F355" s="341">
        <f t="shared" si="41"/>
        <v>0</v>
      </c>
      <c r="G355" s="330">
        <f>+G354</f>
        <v>6.97</v>
      </c>
      <c r="H355" s="341">
        <f t="shared" si="42"/>
        <v>0</v>
      </c>
      <c r="I355" s="341"/>
      <c r="N355" s="63"/>
    </row>
    <row r="356" spans="1:14">
      <c r="A356" s="117" t="s">
        <v>673</v>
      </c>
      <c r="B356" s="72"/>
      <c r="C356" s="63"/>
      <c r="D356" s="330">
        <f t="shared" si="49"/>
        <v>6.95</v>
      </c>
      <c r="E356" s="72"/>
      <c r="F356" s="341">
        <f t="shared" si="41"/>
        <v>0</v>
      </c>
      <c r="G356" s="330">
        <f>+G355</f>
        <v>6.97</v>
      </c>
      <c r="H356" s="341">
        <f t="shared" si="42"/>
        <v>0</v>
      </c>
      <c r="I356" s="341"/>
      <c r="N356" s="63"/>
    </row>
    <row r="357" spans="1:14">
      <c r="A357" s="117" t="s">
        <v>674</v>
      </c>
      <c r="B357" s="72"/>
      <c r="C357" s="63"/>
      <c r="D357" s="330">
        <f>+'(JAP4)-Light Tariff Summary'!E119</f>
        <v>7.87</v>
      </c>
      <c r="E357" s="72"/>
      <c r="F357" s="341">
        <f t="shared" si="41"/>
        <v>0</v>
      </c>
      <c r="G357" s="330">
        <f>+'(JAP4) LIGHT RD'!P128</f>
        <v>7.89</v>
      </c>
      <c r="H357" s="341">
        <f t="shared" si="42"/>
        <v>0</v>
      </c>
      <c r="I357" s="341"/>
      <c r="N357" s="63"/>
    </row>
    <row r="358" spans="1:14">
      <c r="A358" s="117" t="s">
        <v>675</v>
      </c>
      <c r="B358" s="72"/>
      <c r="C358" s="63"/>
      <c r="D358" s="330">
        <f t="shared" ref="D358:D362" si="50">+D357</f>
        <v>7.87</v>
      </c>
      <c r="E358" s="72"/>
      <c r="F358" s="341">
        <f t="shared" si="41"/>
        <v>0</v>
      </c>
      <c r="G358" s="330">
        <f>+G357</f>
        <v>7.89</v>
      </c>
      <c r="H358" s="341">
        <f t="shared" si="42"/>
        <v>0</v>
      </c>
      <c r="I358" s="341"/>
      <c r="N358" s="63"/>
    </row>
    <row r="359" spans="1:14">
      <c r="A359" s="117" t="s">
        <v>676</v>
      </c>
      <c r="B359" s="72"/>
      <c r="C359" s="63"/>
      <c r="D359" s="330">
        <f t="shared" si="50"/>
        <v>7.87</v>
      </c>
      <c r="E359" s="72"/>
      <c r="F359" s="341">
        <f t="shared" si="41"/>
        <v>0</v>
      </c>
      <c r="G359" s="330">
        <f>+G358</f>
        <v>7.89</v>
      </c>
      <c r="H359" s="341">
        <f t="shared" si="42"/>
        <v>0</v>
      </c>
      <c r="I359" s="341"/>
      <c r="N359" s="63"/>
    </row>
    <row r="360" spans="1:14">
      <c r="A360" s="117" t="s">
        <v>677</v>
      </c>
      <c r="B360" s="72"/>
      <c r="C360" s="63"/>
      <c r="D360" s="330">
        <f t="shared" si="50"/>
        <v>7.87</v>
      </c>
      <c r="E360" s="72"/>
      <c r="F360" s="341">
        <f t="shared" si="41"/>
        <v>0</v>
      </c>
      <c r="G360" s="330">
        <f>+G359</f>
        <v>7.89</v>
      </c>
      <c r="H360" s="341">
        <f t="shared" si="42"/>
        <v>0</v>
      </c>
      <c r="I360" s="341"/>
      <c r="N360" s="63"/>
    </row>
    <row r="361" spans="1:14">
      <c r="A361" s="117" t="s">
        <v>678</v>
      </c>
      <c r="B361" s="72"/>
      <c r="C361" s="63"/>
      <c r="D361" s="330">
        <f t="shared" si="50"/>
        <v>7.87</v>
      </c>
      <c r="E361" s="72"/>
      <c r="F361" s="341">
        <f t="shared" si="41"/>
        <v>0</v>
      </c>
      <c r="G361" s="330">
        <f>+G360</f>
        <v>7.89</v>
      </c>
      <c r="H361" s="341">
        <f t="shared" si="42"/>
        <v>0</v>
      </c>
      <c r="I361" s="341"/>
      <c r="N361" s="63"/>
    </row>
    <row r="362" spans="1:14">
      <c r="A362" s="117" t="s">
        <v>679</v>
      </c>
      <c r="B362" s="72"/>
      <c r="C362" s="63"/>
      <c r="D362" s="330">
        <f t="shared" si="50"/>
        <v>7.87</v>
      </c>
      <c r="E362" s="72"/>
      <c r="F362" s="341">
        <f t="shared" si="41"/>
        <v>0</v>
      </c>
      <c r="G362" s="330">
        <f>+G361</f>
        <v>7.89</v>
      </c>
      <c r="H362" s="341">
        <f t="shared" si="42"/>
        <v>0</v>
      </c>
      <c r="I362" s="341"/>
      <c r="N362" s="63"/>
    </row>
    <row r="363" spans="1:14">
      <c r="A363" s="117" t="s">
        <v>680</v>
      </c>
      <c r="B363" s="72"/>
      <c r="C363" s="63"/>
      <c r="D363" s="330">
        <f>+'(JAP4)-Light Tariff Summary'!E120</f>
        <v>8.8000000000000007</v>
      </c>
      <c r="E363" s="72"/>
      <c r="F363" s="341">
        <f t="shared" si="41"/>
        <v>0</v>
      </c>
      <c r="G363" s="330">
        <f>+'(JAP4) LIGHT RD'!P129</f>
        <v>8.82</v>
      </c>
      <c r="H363" s="341">
        <f t="shared" si="42"/>
        <v>0</v>
      </c>
      <c r="I363" s="341"/>
      <c r="N363" s="63"/>
    </row>
    <row r="364" spans="1:14">
      <c r="A364" s="117" t="s">
        <v>681</v>
      </c>
      <c r="B364" s="72"/>
      <c r="C364" s="63"/>
      <c r="D364" s="330">
        <f t="shared" ref="D364:D368" si="51">+D363</f>
        <v>8.8000000000000007</v>
      </c>
      <c r="E364" s="72"/>
      <c r="F364" s="341">
        <f t="shared" si="41"/>
        <v>0</v>
      </c>
      <c r="G364" s="330">
        <f>+G363</f>
        <v>8.82</v>
      </c>
      <c r="H364" s="341">
        <f t="shared" si="42"/>
        <v>0</v>
      </c>
      <c r="I364" s="341"/>
      <c r="N364" s="63"/>
    </row>
    <row r="365" spans="1:14">
      <c r="A365" s="117" t="s">
        <v>682</v>
      </c>
      <c r="B365" s="72"/>
      <c r="C365" s="63"/>
      <c r="D365" s="330">
        <f t="shared" si="51"/>
        <v>8.8000000000000007</v>
      </c>
      <c r="E365" s="72"/>
      <c r="F365" s="341">
        <f t="shared" si="41"/>
        <v>0</v>
      </c>
      <c r="G365" s="330">
        <f>+G364</f>
        <v>8.82</v>
      </c>
      <c r="H365" s="341">
        <f t="shared" si="42"/>
        <v>0</v>
      </c>
      <c r="I365" s="341"/>
      <c r="N365" s="63"/>
    </row>
    <row r="366" spans="1:14">
      <c r="A366" s="117" t="s">
        <v>683</v>
      </c>
      <c r="B366" s="72"/>
      <c r="C366" s="63"/>
      <c r="D366" s="330">
        <f t="shared" si="51"/>
        <v>8.8000000000000007</v>
      </c>
      <c r="E366" s="72"/>
      <c r="F366" s="341">
        <f t="shared" si="41"/>
        <v>0</v>
      </c>
      <c r="G366" s="330">
        <f>+G365</f>
        <v>8.82</v>
      </c>
      <c r="H366" s="341">
        <f t="shared" si="42"/>
        <v>0</v>
      </c>
      <c r="I366" s="341"/>
      <c r="N366" s="63"/>
    </row>
    <row r="367" spans="1:14">
      <c r="A367" s="117" t="s">
        <v>684</v>
      </c>
      <c r="B367" s="72"/>
      <c r="C367" s="63"/>
      <c r="D367" s="330">
        <f t="shared" si="51"/>
        <v>8.8000000000000007</v>
      </c>
      <c r="E367" s="72"/>
      <c r="F367" s="341">
        <f t="shared" si="41"/>
        <v>0</v>
      </c>
      <c r="G367" s="330">
        <f>+G366</f>
        <v>8.82</v>
      </c>
      <c r="H367" s="341">
        <f t="shared" si="42"/>
        <v>0</v>
      </c>
      <c r="I367" s="341"/>
      <c r="N367" s="63"/>
    </row>
    <row r="368" spans="1:14">
      <c r="A368" s="117" t="s">
        <v>685</v>
      </c>
      <c r="B368" s="72"/>
      <c r="C368" s="63"/>
      <c r="D368" s="330">
        <f t="shared" si="51"/>
        <v>8.8000000000000007</v>
      </c>
      <c r="E368" s="72"/>
      <c r="F368" s="341">
        <f t="shared" si="41"/>
        <v>0</v>
      </c>
      <c r="G368" s="330">
        <f>+G367</f>
        <v>8.82</v>
      </c>
      <c r="H368" s="341">
        <f t="shared" si="42"/>
        <v>0</v>
      </c>
      <c r="I368" s="341"/>
      <c r="N368" s="63"/>
    </row>
    <row r="369" spans="1:19">
      <c r="A369" s="333" t="s">
        <v>35</v>
      </c>
      <c r="C369" s="334">
        <f>SUM(C305:C368)</f>
        <v>10214</v>
      </c>
      <c r="D369" s="335"/>
      <c r="F369" s="353">
        <f>SUM(F305:F368)</f>
        <v>576992</v>
      </c>
      <c r="G369" s="335"/>
      <c r="H369" s="353">
        <f>SUM(H305:H368)</f>
        <v>578527</v>
      </c>
      <c r="I369" s="341"/>
      <c r="L369" s="396"/>
    </row>
    <row r="370" spans="1:19">
      <c r="A370" s="333"/>
      <c r="C370" s="266"/>
      <c r="D370" s="335"/>
      <c r="F370" s="358"/>
      <c r="G370" s="335"/>
      <c r="H370" s="358"/>
      <c r="I370" s="341"/>
    </row>
    <row r="371" spans="1:19">
      <c r="A371" s="116" t="str">
        <f>+$A$42</f>
        <v>Annual Average Customer Count</v>
      </c>
      <c r="B371" s="72"/>
      <c r="C371" s="336">
        <v>538</v>
      </c>
      <c r="D371" s="338"/>
      <c r="E371" s="340"/>
      <c r="F371" s="341"/>
      <c r="G371" s="338"/>
      <c r="H371" s="342"/>
      <c r="I371" s="341"/>
    </row>
    <row r="372" spans="1:19">
      <c r="A372" s="116"/>
      <c r="B372" s="72"/>
      <c r="C372" s="336"/>
      <c r="D372" s="338"/>
      <c r="E372" s="340"/>
      <c r="F372" s="341"/>
      <c r="G372" s="338"/>
      <c r="H372" s="342"/>
      <c r="I372" s="341"/>
    </row>
    <row r="373" spans="1:19">
      <c r="A373" s="337" t="s">
        <v>410</v>
      </c>
      <c r="B373" s="338"/>
      <c r="C373" s="339">
        <f>+'[2]Billed kWh'!$E$56</f>
        <v>7152377.1560000014</v>
      </c>
      <c r="D373" s="338"/>
      <c r="E373" s="340"/>
      <c r="F373" s="341"/>
      <c r="G373" s="338"/>
      <c r="H373" s="342"/>
      <c r="I373" s="341"/>
    </row>
    <row r="374" spans="1:19">
      <c r="A374" s="337" t="s">
        <v>411</v>
      </c>
      <c r="C374" s="265">
        <f>+'[2]Unbilled Change kWh'!$E$56</f>
        <v>-39943.613000000012</v>
      </c>
      <c r="D374" s="344">
        <f>ROUND(F374/C374,6)</f>
        <v>-9.3880000000000005E-3</v>
      </c>
      <c r="E374" s="345"/>
      <c r="F374" s="341">
        <f>$P$17</f>
        <v>375</v>
      </c>
      <c r="G374" s="344">
        <f>ROUND(H374/C374,6)</f>
        <v>-9.4879999999999999E-3</v>
      </c>
      <c r="H374" s="341">
        <f>ROUND(+F374*(1+$O$24),0)</f>
        <v>379</v>
      </c>
      <c r="I374" s="345"/>
      <c r="J374" s="88"/>
      <c r="K374" s="525"/>
      <c r="L374" s="525"/>
      <c r="M374" s="376"/>
      <c r="N374" s="376"/>
      <c r="O374" s="376"/>
      <c r="P374" s="376"/>
      <c r="Q374" s="376"/>
      <c r="R374" s="376"/>
      <c r="S374" s="376"/>
    </row>
    <row r="375" spans="1:19" ht="16.5" thickBot="1">
      <c r="A375" s="119" t="s">
        <v>36</v>
      </c>
      <c r="B375" s="72"/>
      <c r="C375" s="346">
        <f>SUM(C373:C374)</f>
        <v>7112433.5430000015</v>
      </c>
      <c r="D375" s="64"/>
      <c r="F375" s="347">
        <f>SUM(F369,F374)</f>
        <v>577367</v>
      </c>
      <c r="G375" s="64"/>
      <c r="H375" s="347">
        <f>SUM(H369,H374)</f>
        <v>578906</v>
      </c>
      <c r="I375" s="341"/>
    </row>
    <row r="376" spans="1:19" ht="16.5" thickTop="1">
      <c r="A376" s="72"/>
      <c r="B376" s="72"/>
      <c r="C376" s="105"/>
      <c r="D376" s="361" t="s">
        <v>0</v>
      </c>
      <c r="E376" s="99"/>
      <c r="F376" s="64"/>
      <c r="G376" s="361" t="s">
        <v>0</v>
      </c>
      <c r="H376" s="64" t="s">
        <v>0</v>
      </c>
      <c r="I376" s="64"/>
    </row>
    <row r="377" spans="1:19">
      <c r="C377" s="105"/>
      <c r="D377" s="357"/>
      <c r="E377" s="357"/>
      <c r="F377" s="362"/>
      <c r="H377" s="62"/>
      <c r="I377" s="62"/>
    </row>
    <row r="378" spans="1:19">
      <c r="A378" s="544" t="s">
        <v>199</v>
      </c>
      <c r="B378" s="544"/>
      <c r="C378" s="544"/>
      <c r="D378" s="544"/>
      <c r="E378" s="544"/>
      <c r="F378" s="544"/>
      <c r="G378" s="544"/>
      <c r="H378" s="544"/>
    </row>
    <row r="379" spans="1:19">
      <c r="A379" s="116" t="s">
        <v>686</v>
      </c>
      <c r="B379" s="72"/>
      <c r="C379" s="72"/>
      <c r="D379" s="72"/>
      <c r="E379" s="72"/>
      <c r="F379" s="72"/>
      <c r="G379" s="72"/>
      <c r="H379" s="72"/>
      <c r="I379" s="63"/>
    </row>
    <row r="380" spans="1:19">
      <c r="A380" s="72"/>
      <c r="B380" s="72"/>
      <c r="C380" s="72"/>
      <c r="D380" s="356"/>
      <c r="E380" s="72"/>
      <c r="F380" s="72"/>
      <c r="G380" s="356"/>
      <c r="H380" s="72"/>
    </row>
    <row r="381" spans="1:19">
      <c r="A381" s="117" t="s">
        <v>687</v>
      </c>
      <c r="B381" s="72"/>
      <c r="C381" s="265">
        <f>ROUND(+'[2]Light Inventory'!$E$156,0)</f>
        <v>18</v>
      </c>
      <c r="D381" s="330">
        <f>+'(JAP4)-Light Tariff Summary'!E122</f>
        <v>11.53</v>
      </c>
      <c r="E381" s="72"/>
      <c r="F381" s="341">
        <f t="shared" ref="F381:F386" si="52">IF(D381="n/a",0,ROUND(C381*D381*12,0))</f>
        <v>2490</v>
      </c>
      <c r="G381" s="330">
        <f>+'(JAP4) LIGHT RD'!P132</f>
        <v>11.68</v>
      </c>
      <c r="H381" s="341">
        <f t="shared" ref="H381:H388" si="53">ROUND(G381*$C381*12,0)</f>
        <v>2523</v>
      </c>
      <c r="L381" s="265"/>
      <c r="N381" s="265"/>
    </row>
    <row r="382" spans="1:19">
      <c r="A382" s="117" t="s">
        <v>688</v>
      </c>
      <c r="B382" s="72"/>
      <c r="C382" s="265">
        <f>ROUND(+'[2]Light Inventory'!$E$157,0)</f>
        <v>3960</v>
      </c>
      <c r="D382" s="330">
        <f>+'(JAP4)-Light Tariff Summary'!E123</f>
        <v>12.72</v>
      </c>
      <c r="E382" s="72"/>
      <c r="F382" s="341">
        <f t="shared" si="52"/>
        <v>604454</v>
      </c>
      <c r="G382" s="330">
        <f>+'(JAP4) LIGHT RD'!P133</f>
        <v>12.88</v>
      </c>
      <c r="H382" s="341">
        <f t="shared" si="53"/>
        <v>612058</v>
      </c>
      <c r="L382" s="265"/>
      <c r="N382" s="265"/>
    </row>
    <row r="383" spans="1:19">
      <c r="A383" s="117" t="s">
        <v>689</v>
      </c>
      <c r="B383" s="72"/>
      <c r="C383" s="265">
        <f>ROUND(+'[2]Light Inventory'!$E$158,0)</f>
        <v>531</v>
      </c>
      <c r="D383" s="330">
        <f>+'(JAP4)-Light Tariff Summary'!E124</f>
        <v>14.71</v>
      </c>
      <c r="E383" s="72"/>
      <c r="F383" s="341">
        <f t="shared" si="52"/>
        <v>93732</v>
      </c>
      <c r="G383" s="330">
        <f>+'(JAP4) LIGHT RD'!P134</f>
        <v>14.88</v>
      </c>
      <c r="H383" s="341">
        <f t="shared" si="53"/>
        <v>94815</v>
      </c>
      <c r="L383" s="265"/>
      <c r="N383" s="265"/>
    </row>
    <row r="384" spans="1:19">
      <c r="A384" s="117" t="s">
        <v>690</v>
      </c>
      <c r="B384" s="72"/>
      <c r="C384" s="265">
        <f>ROUND(+'[2]Light Inventory'!$E$159,0)</f>
        <v>1134</v>
      </c>
      <c r="D384" s="330">
        <f>+'(JAP4)-Light Tariff Summary'!E125</f>
        <v>16.690000000000001</v>
      </c>
      <c r="E384" s="72"/>
      <c r="F384" s="341">
        <f t="shared" si="52"/>
        <v>227118</v>
      </c>
      <c r="G384" s="330">
        <f>+'(JAP4) LIGHT RD'!P135</f>
        <v>16.87</v>
      </c>
      <c r="H384" s="341">
        <f t="shared" si="53"/>
        <v>229567</v>
      </c>
      <c r="L384" s="265"/>
      <c r="N384" s="265"/>
    </row>
    <row r="385" spans="1:14">
      <c r="A385" s="117" t="s">
        <v>691</v>
      </c>
      <c r="B385" s="72"/>
      <c r="C385" s="265">
        <f>ROUND(+'[2]Light Inventory'!$E$160,0)</f>
        <v>122</v>
      </c>
      <c r="D385" s="330">
        <f>+'(JAP4)-Light Tariff Summary'!E126</f>
        <v>18.68</v>
      </c>
      <c r="E385" s="72"/>
      <c r="F385" s="341">
        <f t="shared" si="52"/>
        <v>27348</v>
      </c>
      <c r="G385" s="330">
        <f>+'(JAP4) LIGHT RD'!P136</f>
        <v>18.87</v>
      </c>
      <c r="H385" s="341">
        <f t="shared" si="53"/>
        <v>27626</v>
      </c>
      <c r="L385" s="265"/>
      <c r="N385" s="265"/>
    </row>
    <row r="386" spans="1:14">
      <c r="A386" s="117" t="s">
        <v>692</v>
      </c>
      <c r="B386" s="72"/>
      <c r="C386" s="265">
        <f>ROUND(+'[2]Light Inventory'!$E$161,0)</f>
        <v>50</v>
      </c>
      <c r="D386" s="330">
        <f>+'(JAP4)-Light Tariff Summary'!E127</f>
        <v>24.63</v>
      </c>
      <c r="E386" s="72"/>
      <c r="F386" s="341">
        <f t="shared" si="52"/>
        <v>14778</v>
      </c>
      <c r="G386" s="330">
        <f>+'(JAP4) LIGHT RD'!P137</f>
        <v>24.849999999999998</v>
      </c>
      <c r="H386" s="341">
        <f t="shared" si="53"/>
        <v>14910</v>
      </c>
      <c r="L386" s="265"/>
      <c r="N386" s="265"/>
    </row>
    <row r="387" spans="1:14">
      <c r="A387" s="117"/>
      <c r="B387" s="72"/>
      <c r="D387" s="330"/>
      <c r="E387" s="72"/>
      <c r="F387" s="341"/>
      <c r="G387" s="330"/>
      <c r="H387" s="341"/>
    </row>
    <row r="388" spans="1:14">
      <c r="A388" s="117" t="s">
        <v>693</v>
      </c>
      <c r="B388" s="72"/>
      <c r="C388" s="265">
        <f>ROUND(+'[2]Light Inventory'!$E$162,0)</f>
        <v>6</v>
      </c>
      <c r="D388" s="330">
        <f>+'(JAP4)-Light Tariff Summary'!E129</f>
        <v>21.8</v>
      </c>
      <c r="E388" s="72"/>
      <c r="F388" s="341">
        <f>IF(D388="n/a",0,ROUND(C388*D388*12,0))</f>
        <v>1570</v>
      </c>
      <c r="G388" s="330">
        <f>+'(JAP4) LIGHT RD'!P139</f>
        <v>22.03</v>
      </c>
      <c r="H388" s="341">
        <f t="shared" si="53"/>
        <v>1586</v>
      </c>
      <c r="L388" s="265"/>
      <c r="N388" s="265"/>
    </row>
    <row r="389" spans="1:14">
      <c r="A389" s="117"/>
      <c r="B389" s="72"/>
      <c r="D389" s="330"/>
      <c r="E389" s="72"/>
      <c r="F389" s="341"/>
      <c r="G389" s="330"/>
      <c r="H389" s="341"/>
    </row>
    <row r="390" spans="1:14">
      <c r="A390" s="117" t="s">
        <v>694</v>
      </c>
      <c r="B390" s="72"/>
      <c r="D390" s="372">
        <f>+'(JAP4)-Light Tariff Summary'!E131</f>
        <v>12.31</v>
      </c>
      <c r="E390" s="72"/>
      <c r="F390" s="341">
        <f t="shared" ref="F390:F410" si="54">IF(D390="n/a",0,ROUND(C390*D390*12,0))</f>
        <v>0</v>
      </c>
      <c r="G390" s="330">
        <f>+'(JAP4) LIGHT RD'!P141</f>
        <v>12.48</v>
      </c>
      <c r="H390" s="341">
        <f t="shared" ref="H390:H413" si="55">ROUND(G390*$C390*12,0)</f>
        <v>0</v>
      </c>
    </row>
    <row r="391" spans="1:14">
      <c r="A391" s="117" t="s">
        <v>695</v>
      </c>
      <c r="B391" s="72"/>
      <c r="D391" s="330">
        <f t="shared" ref="D391:D395" si="56">+D390</f>
        <v>12.31</v>
      </c>
      <c r="E391" s="72"/>
      <c r="F391" s="341">
        <f t="shared" si="54"/>
        <v>0</v>
      </c>
      <c r="G391" s="330">
        <f>+G390</f>
        <v>12.48</v>
      </c>
      <c r="H391" s="341">
        <f t="shared" si="55"/>
        <v>0</v>
      </c>
    </row>
    <row r="392" spans="1:14">
      <c r="A392" s="117" t="s">
        <v>696</v>
      </c>
      <c r="B392" s="72"/>
      <c r="C392" s="265">
        <f>ROUND(+'[2]Light Inventory'!$E$163,0)</f>
        <v>2</v>
      </c>
      <c r="D392" s="330">
        <f t="shared" si="56"/>
        <v>12.31</v>
      </c>
      <c r="E392" s="72"/>
      <c r="F392" s="341">
        <f t="shared" si="54"/>
        <v>295</v>
      </c>
      <c r="G392" s="330">
        <f>+G391</f>
        <v>12.48</v>
      </c>
      <c r="H392" s="341">
        <f t="shared" si="55"/>
        <v>300</v>
      </c>
      <c r="L392" s="265"/>
      <c r="N392" s="265"/>
    </row>
    <row r="393" spans="1:14">
      <c r="A393" s="117" t="s">
        <v>697</v>
      </c>
      <c r="B393" s="72"/>
      <c r="C393" s="265">
        <f>ROUND(+'[2]Light Inventory'!$E$164,0)</f>
        <v>19</v>
      </c>
      <c r="D393" s="330">
        <f t="shared" si="56"/>
        <v>12.31</v>
      </c>
      <c r="E393" s="72"/>
      <c r="F393" s="341">
        <f t="shared" si="54"/>
        <v>2807</v>
      </c>
      <c r="G393" s="330">
        <f>+G392</f>
        <v>12.48</v>
      </c>
      <c r="H393" s="341">
        <f t="shared" si="55"/>
        <v>2845</v>
      </c>
      <c r="L393" s="265"/>
      <c r="N393" s="265"/>
    </row>
    <row r="394" spans="1:14">
      <c r="A394" s="117" t="s">
        <v>698</v>
      </c>
      <c r="B394" s="72"/>
      <c r="C394" s="265">
        <f>ROUND(+'[2]Light Inventory'!$E$165,0)</f>
        <v>318</v>
      </c>
      <c r="D394" s="330">
        <f t="shared" si="56"/>
        <v>12.31</v>
      </c>
      <c r="E394" s="72"/>
      <c r="F394" s="341">
        <f t="shared" si="54"/>
        <v>46975</v>
      </c>
      <c r="G394" s="330">
        <f>+G393</f>
        <v>12.48</v>
      </c>
      <c r="H394" s="341">
        <f t="shared" si="55"/>
        <v>47624</v>
      </c>
      <c r="L394" s="265"/>
      <c r="N394" s="265"/>
    </row>
    <row r="395" spans="1:14">
      <c r="A395" s="117" t="s">
        <v>699</v>
      </c>
      <c r="B395" s="72"/>
      <c r="C395" s="265">
        <f>ROUND(+'[2]Light Inventory'!$E$166,0)</f>
        <v>1</v>
      </c>
      <c r="D395" s="330">
        <f t="shared" si="56"/>
        <v>12.31</v>
      </c>
      <c r="E395" s="72"/>
      <c r="F395" s="341">
        <f t="shared" si="54"/>
        <v>148</v>
      </c>
      <c r="G395" s="330">
        <f>+G394</f>
        <v>12.48</v>
      </c>
      <c r="H395" s="341">
        <f t="shared" si="55"/>
        <v>150</v>
      </c>
      <c r="L395" s="265"/>
      <c r="N395" s="265"/>
    </row>
    <row r="396" spans="1:14">
      <c r="A396" s="117" t="s">
        <v>700</v>
      </c>
      <c r="B396" s="72"/>
      <c r="D396" s="372">
        <f>+'(JAP4)-Light Tariff Summary'!E132</f>
        <v>13.42</v>
      </c>
      <c r="E396" s="72"/>
      <c r="F396" s="341">
        <f t="shared" si="54"/>
        <v>0</v>
      </c>
      <c r="G396" s="330">
        <f>+'(JAP4) LIGHT RD'!P142</f>
        <v>13.6</v>
      </c>
      <c r="H396" s="341">
        <f t="shared" si="55"/>
        <v>0</v>
      </c>
    </row>
    <row r="397" spans="1:14">
      <c r="A397" s="117" t="s">
        <v>701</v>
      </c>
      <c r="B397" s="72"/>
      <c r="D397" s="330">
        <f t="shared" ref="D397:D401" si="57">+D396</f>
        <v>13.42</v>
      </c>
      <c r="E397" s="72"/>
      <c r="F397" s="341">
        <f t="shared" si="54"/>
        <v>0</v>
      </c>
      <c r="G397" s="330">
        <f>+G396</f>
        <v>13.6</v>
      </c>
      <c r="H397" s="341">
        <f t="shared" si="55"/>
        <v>0</v>
      </c>
    </row>
    <row r="398" spans="1:14">
      <c r="A398" s="117" t="s">
        <v>702</v>
      </c>
      <c r="B398" s="72"/>
      <c r="D398" s="330">
        <f t="shared" si="57"/>
        <v>13.42</v>
      </c>
      <c r="E398" s="72"/>
      <c r="F398" s="341">
        <f t="shared" si="54"/>
        <v>0</v>
      </c>
      <c r="G398" s="330">
        <f>+G397</f>
        <v>13.6</v>
      </c>
      <c r="H398" s="341">
        <f t="shared" si="55"/>
        <v>0</v>
      </c>
    </row>
    <row r="399" spans="1:14">
      <c r="A399" s="117" t="s">
        <v>703</v>
      </c>
      <c r="B399" s="72"/>
      <c r="D399" s="330">
        <f t="shared" si="57"/>
        <v>13.42</v>
      </c>
      <c r="E399" s="72"/>
      <c r="F399" s="341">
        <f t="shared" si="54"/>
        <v>0</v>
      </c>
      <c r="G399" s="330">
        <f>+G398</f>
        <v>13.6</v>
      </c>
      <c r="H399" s="341">
        <f t="shared" si="55"/>
        <v>0</v>
      </c>
    </row>
    <row r="400" spans="1:14">
      <c r="A400" s="117" t="s">
        <v>704</v>
      </c>
      <c r="B400" s="72"/>
      <c r="D400" s="330">
        <f t="shared" si="57"/>
        <v>13.42</v>
      </c>
      <c r="E400" s="72"/>
      <c r="F400" s="341">
        <f t="shared" si="54"/>
        <v>0</v>
      </c>
      <c r="G400" s="330">
        <f>+G399</f>
        <v>13.6</v>
      </c>
      <c r="H400" s="341">
        <f t="shared" si="55"/>
        <v>0</v>
      </c>
    </row>
    <row r="401" spans="1:14">
      <c r="A401" s="117" t="s">
        <v>705</v>
      </c>
      <c r="B401" s="72"/>
      <c r="D401" s="330">
        <f t="shared" si="57"/>
        <v>13.42</v>
      </c>
      <c r="E401" s="72"/>
      <c r="F401" s="341">
        <f t="shared" si="54"/>
        <v>0</v>
      </c>
      <c r="G401" s="330">
        <f>+G400</f>
        <v>13.6</v>
      </c>
      <c r="H401" s="341">
        <f t="shared" si="55"/>
        <v>0</v>
      </c>
    </row>
    <row r="402" spans="1:14">
      <c r="A402" s="117" t="s">
        <v>706</v>
      </c>
      <c r="B402" s="72"/>
      <c r="C402" s="265">
        <f>ROUND(+'[2]Light Inventory'!$E$167,0)</f>
        <v>25</v>
      </c>
      <c r="D402" s="372">
        <f>+'(JAP4)-Light Tariff Summary'!E133</f>
        <v>14.54</v>
      </c>
      <c r="E402" s="72"/>
      <c r="F402" s="341">
        <f t="shared" si="54"/>
        <v>4362</v>
      </c>
      <c r="G402" s="330">
        <f>+'(JAP4) LIGHT RD'!P143</f>
        <v>14.719999999999999</v>
      </c>
      <c r="H402" s="341">
        <f t="shared" si="55"/>
        <v>4416</v>
      </c>
      <c r="L402" s="265"/>
      <c r="N402" s="265"/>
    </row>
    <row r="403" spans="1:14">
      <c r="A403" s="117" t="s">
        <v>707</v>
      </c>
      <c r="B403" s="72"/>
      <c r="C403" s="265">
        <f>ROUND(+'[2]Light Inventory'!$E$168,0)</f>
        <v>68</v>
      </c>
      <c r="D403" s="330">
        <f t="shared" ref="D403:D404" si="58">+D402</f>
        <v>14.54</v>
      </c>
      <c r="E403" s="72"/>
      <c r="F403" s="341">
        <f t="shared" si="54"/>
        <v>11865</v>
      </c>
      <c r="G403" s="330">
        <f>+G402</f>
        <v>14.719999999999999</v>
      </c>
      <c r="H403" s="341">
        <f t="shared" si="55"/>
        <v>12012</v>
      </c>
      <c r="L403" s="265"/>
      <c r="N403" s="265"/>
    </row>
    <row r="404" spans="1:14">
      <c r="A404" s="118" t="s">
        <v>708</v>
      </c>
      <c r="B404" s="72"/>
      <c r="C404" s="265"/>
      <c r="D404" s="330">
        <f t="shared" si="58"/>
        <v>14.54</v>
      </c>
      <c r="E404" s="72"/>
      <c r="F404" s="341">
        <f t="shared" si="54"/>
        <v>0</v>
      </c>
      <c r="G404" s="330">
        <f>+G403</f>
        <v>14.719999999999999</v>
      </c>
      <c r="H404" s="341">
        <f t="shared" si="55"/>
        <v>0</v>
      </c>
      <c r="L404" s="265"/>
      <c r="N404" s="265"/>
    </row>
    <row r="405" spans="1:14">
      <c r="A405" s="118" t="s">
        <v>709</v>
      </c>
      <c r="B405" s="72"/>
      <c r="D405" s="372">
        <f>+'(JAP4)-Light Tariff Summary'!E134</f>
        <v>15.66</v>
      </c>
      <c r="E405" s="72"/>
      <c r="F405" s="341">
        <f t="shared" si="54"/>
        <v>0</v>
      </c>
      <c r="G405" s="330">
        <f>+'(JAP4) LIGHT RD'!P144</f>
        <v>15.85</v>
      </c>
      <c r="H405" s="341">
        <f t="shared" si="55"/>
        <v>0</v>
      </c>
    </row>
    <row r="406" spans="1:14">
      <c r="A406" s="118" t="s">
        <v>710</v>
      </c>
      <c r="B406" s="72"/>
      <c r="C406" s="265"/>
      <c r="D406" s="372">
        <f>+'(JAP4)-Light Tariff Summary'!E135</f>
        <v>16.77</v>
      </c>
      <c r="E406" s="72"/>
      <c r="F406" s="341">
        <f t="shared" si="54"/>
        <v>0</v>
      </c>
      <c r="G406" s="330">
        <f>+'(JAP4) LIGHT RD'!P145</f>
        <v>16.96</v>
      </c>
      <c r="H406" s="341">
        <f t="shared" si="55"/>
        <v>0</v>
      </c>
      <c r="L406" s="265"/>
      <c r="N406" s="265"/>
    </row>
    <row r="407" spans="1:14">
      <c r="A407" s="118" t="s">
        <v>711</v>
      </c>
      <c r="B407" s="72"/>
      <c r="D407" s="372">
        <f>+'(JAP4)-Light Tariff Summary'!E136</f>
        <v>17.89</v>
      </c>
      <c r="E407" s="72"/>
      <c r="F407" s="341">
        <f t="shared" si="54"/>
        <v>0</v>
      </c>
      <c r="G407" s="330">
        <f>+'(JAP4) LIGHT RD'!P146</f>
        <v>18.09</v>
      </c>
      <c r="H407" s="341">
        <f t="shared" si="55"/>
        <v>0</v>
      </c>
    </row>
    <row r="408" spans="1:14">
      <c r="A408" s="118" t="s">
        <v>712</v>
      </c>
      <c r="B408" s="72"/>
      <c r="D408" s="372">
        <f>+'(JAP4)-Light Tariff Summary'!E137</f>
        <v>19</v>
      </c>
      <c r="E408" s="72"/>
      <c r="F408" s="341">
        <f t="shared" si="54"/>
        <v>0</v>
      </c>
      <c r="G408" s="330">
        <f>+'(JAP4) LIGHT RD'!P147</f>
        <v>19.2</v>
      </c>
      <c r="H408" s="341">
        <f t="shared" si="55"/>
        <v>0</v>
      </c>
    </row>
    <row r="409" spans="1:14">
      <c r="A409" s="118" t="s">
        <v>713</v>
      </c>
      <c r="B409" s="72"/>
      <c r="D409" s="372">
        <f>+'(JAP4)-Light Tariff Summary'!E138</f>
        <v>20.12</v>
      </c>
      <c r="E409" s="72"/>
      <c r="F409" s="341">
        <f t="shared" si="54"/>
        <v>0</v>
      </c>
      <c r="G409" s="330">
        <f>+'(JAP4) LIGHT RD'!P148</f>
        <v>20.330000000000002</v>
      </c>
      <c r="H409" s="341">
        <f t="shared" si="55"/>
        <v>0</v>
      </c>
    </row>
    <row r="410" spans="1:14">
      <c r="A410" s="118" t="s">
        <v>714</v>
      </c>
      <c r="B410" s="72"/>
      <c r="D410" s="372">
        <f>+'(JAP4)-Light Tariff Summary'!E139</f>
        <v>21.24</v>
      </c>
      <c r="E410" s="72"/>
      <c r="F410" s="341">
        <f t="shared" si="54"/>
        <v>0</v>
      </c>
      <c r="G410" s="330">
        <f>+'(JAP4) LIGHT RD'!P149</f>
        <v>21.45</v>
      </c>
      <c r="H410" s="341">
        <f t="shared" si="55"/>
        <v>0</v>
      </c>
    </row>
    <row r="411" spans="1:14">
      <c r="A411" s="117"/>
      <c r="B411" s="72"/>
      <c r="D411" s="330"/>
      <c r="E411" s="72"/>
      <c r="F411" s="341"/>
      <c r="G411" s="330"/>
      <c r="H411" s="341"/>
    </row>
    <row r="412" spans="1:14">
      <c r="A412" s="117" t="s">
        <v>715</v>
      </c>
      <c r="B412" s="72"/>
      <c r="C412" s="265">
        <f>ROUND(+'[2]Light Inventory'!$E$198,0)</f>
        <v>654</v>
      </c>
      <c r="D412" s="330">
        <f>+'(JAP4)-Light Tariff Summary'!E141</f>
        <v>5.93</v>
      </c>
      <c r="E412" s="72"/>
      <c r="F412" s="341">
        <f>IF(D412="n/a",0,ROUND(C412*D412*12,0))</f>
        <v>46539</v>
      </c>
      <c r="G412" s="330">
        <f>+'(JAP4) LIGHT RD'!P194</f>
        <v>6.02</v>
      </c>
      <c r="H412" s="341">
        <f t="shared" si="55"/>
        <v>47245</v>
      </c>
      <c r="L412" s="265"/>
      <c r="N412" s="265"/>
    </row>
    <row r="413" spans="1:14">
      <c r="A413" s="117" t="s">
        <v>716</v>
      </c>
      <c r="B413" s="72"/>
      <c r="C413" s="265">
        <f>ROUND(+'[2]Light Inventory'!$E$199,0)</f>
        <v>335</v>
      </c>
      <c r="D413" s="330">
        <f>+'(JAP4)-Light Tariff Summary'!E142</f>
        <v>9.75</v>
      </c>
      <c r="E413" s="72"/>
      <c r="F413" s="341">
        <f>IF(D413="n/a",0,ROUND(C413*D413*12,0))</f>
        <v>39195</v>
      </c>
      <c r="G413" s="330">
        <f>+'(JAP4) LIGHT RD'!P195</f>
        <v>9.9</v>
      </c>
      <c r="H413" s="341">
        <f t="shared" si="55"/>
        <v>39798</v>
      </c>
      <c r="L413" s="265"/>
      <c r="N413" s="265"/>
    </row>
    <row r="414" spans="1:14">
      <c r="A414" s="333" t="s">
        <v>35</v>
      </c>
      <c r="C414" s="334">
        <f>SUM(C381:C413)</f>
        <v>7243</v>
      </c>
      <c r="D414" s="335"/>
      <c r="F414" s="152">
        <f>SUM(F381:F413)</f>
        <v>1123676</v>
      </c>
      <c r="G414" s="335"/>
      <c r="H414" s="152">
        <f>SUM(H381:H413)</f>
        <v>1137475</v>
      </c>
      <c r="L414" s="265"/>
      <c r="N414" s="265"/>
    </row>
    <row r="415" spans="1:14">
      <c r="A415" s="333"/>
      <c r="C415" s="266"/>
      <c r="D415" s="335"/>
      <c r="F415" s="358"/>
      <c r="G415" s="335"/>
      <c r="H415" s="358"/>
      <c r="L415" s="265"/>
      <c r="N415" s="265"/>
    </row>
    <row r="416" spans="1:14">
      <c r="A416" s="116" t="str">
        <f>+$A$42</f>
        <v>Annual Average Customer Count</v>
      </c>
      <c r="B416" s="72"/>
      <c r="C416" s="336">
        <v>20087</v>
      </c>
      <c r="D416" s="338"/>
      <c r="E416" s="340"/>
      <c r="F416" s="341"/>
      <c r="G416" s="338"/>
      <c r="H416" s="342"/>
    </row>
    <row r="417" spans="1:19">
      <c r="A417" s="116"/>
      <c r="B417" s="72"/>
      <c r="C417" s="336"/>
      <c r="D417" s="338"/>
      <c r="E417" s="340"/>
      <c r="F417" s="341"/>
      <c r="G417" s="338"/>
      <c r="H417" s="342"/>
    </row>
    <row r="418" spans="1:19">
      <c r="A418" s="337" t="s">
        <v>410</v>
      </c>
      <c r="B418" s="338"/>
      <c r="C418" s="339">
        <f>SUM('[2]Billed kWh'!$E$29:$E$30)</f>
        <v>3764575.7170000002</v>
      </c>
      <c r="D418" s="338"/>
      <c r="E418" s="340"/>
      <c r="F418" s="341"/>
      <c r="G418" s="338"/>
      <c r="H418" s="342"/>
    </row>
    <row r="419" spans="1:19">
      <c r="A419" s="337" t="s">
        <v>411</v>
      </c>
      <c r="C419" s="265">
        <f>SUM('[2]Unbilled Change kWh'!$E$29:$E$30)</f>
        <v>-2588.2664999999834</v>
      </c>
      <c r="D419" s="344">
        <f>ROUND(F419/C419,6)</f>
        <v>-0.26040600000000003</v>
      </c>
      <c r="E419" s="345"/>
      <c r="F419" s="341">
        <f>$P$18</f>
        <v>674</v>
      </c>
      <c r="G419" s="344">
        <f>ROUND(H419/C419,6)</f>
        <v>-0.26311000000000001</v>
      </c>
      <c r="H419" s="341">
        <f>ROUND(+F419*(1+$O$24),0)</f>
        <v>681</v>
      </c>
      <c r="I419" s="345"/>
      <c r="J419" s="88"/>
      <c r="K419" s="525"/>
      <c r="L419" s="525"/>
      <c r="M419" s="376"/>
      <c r="N419" s="376"/>
      <c r="O419" s="376"/>
      <c r="P419" s="376"/>
      <c r="Q419" s="376"/>
      <c r="R419" s="376"/>
      <c r="S419" s="376"/>
    </row>
    <row r="420" spans="1:19" ht="16.5" thickBot="1">
      <c r="A420" s="119" t="s">
        <v>36</v>
      </c>
      <c r="B420" s="72"/>
      <c r="C420" s="346">
        <f>SUM(C418:C419)</f>
        <v>3761987.4505000003</v>
      </c>
      <c r="D420" s="64"/>
      <c r="F420" s="347">
        <f>SUM(F414,F419)</f>
        <v>1124350</v>
      </c>
      <c r="G420" s="64"/>
      <c r="H420" s="347">
        <f>SUM(H414,H419)</f>
        <v>1138156</v>
      </c>
    </row>
    <row r="421" spans="1:19" ht="16.5" thickTop="1">
      <c r="A421" s="72"/>
      <c r="B421" s="72"/>
      <c r="C421" s="105"/>
      <c r="D421" s="361" t="s">
        <v>0</v>
      </c>
      <c r="E421" s="99"/>
      <c r="F421" s="64"/>
      <c r="G421" s="361" t="s">
        <v>0</v>
      </c>
      <c r="H421" s="64" t="s">
        <v>0</v>
      </c>
    </row>
    <row r="422" spans="1:19">
      <c r="C422" s="105"/>
      <c r="D422" s="357"/>
      <c r="E422" s="357"/>
      <c r="F422" s="362"/>
      <c r="H422" s="62"/>
    </row>
    <row r="423" spans="1:19">
      <c r="A423" s="544" t="s">
        <v>198</v>
      </c>
      <c r="B423" s="544"/>
      <c r="C423" s="544"/>
      <c r="D423" s="544"/>
      <c r="E423" s="544"/>
      <c r="F423" s="544"/>
      <c r="G423" s="544"/>
      <c r="H423" s="544"/>
    </row>
    <row r="424" spans="1:19">
      <c r="A424" s="116" t="s">
        <v>717</v>
      </c>
      <c r="B424" s="72"/>
      <c r="C424" s="72"/>
      <c r="D424" s="72"/>
      <c r="E424" s="72"/>
      <c r="F424" s="72"/>
      <c r="G424" s="72"/>
      <c r="H424" s="72"/>
    </row>
    <row r="425" spans="1:19">
      <c r="A425" s="72"/>
      <c r="B425" s="72"/>
      <c r="C425" s="72"/>
      <c r="D425" s="356"/>
      <c r="E425" s="72"/>
      <c r="F425" s="72"/>
      <c r="G425" s="356"/>
      <c r="H425" s="72"/>
    </row>
    <row r="426" spans="1:19">
      <c r="A426" s="117" t="s">
        <v>718</v>
      </c>
      <c r="B426" s="72"/>
      <c r="C426" s="265">
        <f>ROUND(+'[2]Light Inventory'!$E$170,0)</f>
        <v>1124028</v>
      </c>
      <c r="D426" s="363">
        <f>+'(JAP4)-Light Tariff Summary'!E144</f>
        <v>3.9269999999999999E-2</v>
      </c>
      <c r="E426" s="72"/>
      <c r="F426" s="341">
        <f>IF(D426="n/a",0,ROUND(C426*D426*12,0))</f>
        <v>529687</v>
      </c>
      <c r="G426" s="363">
        <f>+'(JAP4) LIGHT RD'!P191</f>
        <v>3.9289999999999999E-2</v>
      </c>
      <c r="H426" s="341">
        <f>ROUND(G426*$C426*12,0)</f>
        <v>529957</v>
      </c>
      <c r="L426" s="265"/>
      <c r="N426" s="265"/>
    </row>
    <row r="427" spans="1:19">
      <c r="A427" s="333" t="s">
        <v>35</v>
      </c>
      <c r="C427" s="352">
        <f>SUM(C426:C426)</f>
        <v>1124028</v>
      </c>
      <c r="D427" s="335"/>
      <c r="F427" s="152">
        <f>SUM(F426:F426)</f>
        <v>529687</v>
      </c>
      <c r="G427" s="335"/>
      <c r="H427" s="152">
        <f>SUM(H426:H426)</f>
        <v>529957</v>
      </c>
      <c r="L427" s="396"/>
    </row>
    <row r="428" spans="1:19">
      <c r="A428" s="333"/>
      <c r="C428" s="357"/>
      <c r="D428" s="335"/>
      <c r="F428" s="358"/>
      <c r="G428" s="335"/>
      <c r="H428" s="358"/>
    </row>
    <row r="429" spans="1:19">
      <c r="A429" s="116" t="str">
        <f>+$A$42</f>
        <v>Annual Average Customer Count</v>
      </c>
      <c r="B429" s="72"/>
      <c r="C429" s="87">
        <v>1288</v>
      </c>
      <c r="D429" s="338"/>
      <c r="E429" s="340"/>
      <c r="F429" s="341"/>
      <c r="G429" s="338"/>
      <c r="H429" s="342"/>
    </row>
    <row r="430" spans="1:19">
      <c r="A430" s="116"/>
      <c r="B430" s="72"/>
      <c r="C430" s="87"/>
      <c r="D430" s="338"/>
      <c r="E430" s="340"/>
      <c r="F430" s="341"/>
      <c r="G430" s="338"/>
      <c r="H430" s="342"/>
    </row>
    <row r="431" spans="1:19">
      <c r="A431" s="337" t="s">
        <v>410</v>
      </c>
      <c r="B431" s="338"/>
      <c r="C431" s="354">
        <f>+'[2]Billed kWh'!$E$57</f>
        <v>4194218.4550000001</v>
      </c>
      <c r="D431" s="338"/>
      <c r="E431" s="340"/>
      <c r="F431" s="341"/>
      <c r="G431" s="338"/>
      <c r="H431" s="342"/>
    </row>
    <row r="432" spans="1:19">
      <c r="A432" s="337" t="s">
        <v>411</v>
      </c>
      <c r="C432" s="62">
        <f>+'[2]Unbilled Change kWh'!$E$57</f>
        <v>81438.572500000009</v>
      </c>
      <c r="D432" s="344">
        <f>ROUND(F432/C432,6)</f>
        <v>4.2240000000000003E-3</v>
      </c>
      <c r="E432" s="345"/>
      <c r="F432" s="341">
        <f>$P$19</f>
        <v>344</v>
      </c>
      <c r="G432" s="344">
        <f>ROUND(H432/C432,6)</f>
        <v>4.2729999999999999E-3</v>
      </c>
      <c r="H432" s="341">
        <f>ROUND(+F432*(1+$O$24),0)</f>
        <v>348</v>
      </c>
      <c r="I432" s="345"/>
      <c r="J432" s="88"/>
      <c r="K432" s="525"/>
      <c r="L432" s="525"/>
      <c r="M432" s="376"/>
      <c r="N432" s="376"/>
      <c r="O432" s="376"/>
      <c r="P432" s="376"/>
      <c r="Q432" s="376"/>
      <c r="R432" s="376"/>
      <c r="S432" s="376"/>
    </row>
    <row r="433" spans="1:14" ht="16.5" thickBot="1">
      <c r="A433" s="119" t="s">
        <v>36</v>
      </c>
      <c r="B433" s="72"/>
      <c r="C433" s="355">
        <f>SUM(C431:C432)</f>
        <v>4275657.0274999999</v>
      </c>
      <c r="D433" s="64"/>
      <c r="F433" s="347">
        <f>SUM(F427,F432)</f>
        <v>530031</v>
      </c>
      <c r="G433" s="64"/>
      <c r="H433" s="347">
        <f>SUM(H427,H432)</f>
        <v>530305</v>
      </c>
    </row>
    <row r="434" spans="1:14" ht="16.5" thickTop="1">
      <c r="A434" s="72"/>
      <c r="B434" s="72"/>
      <c r="C434" s="105"/>
      <c r="D434" s="361" t="s">
        <v>0</v>
      </c>
      <c r="E434" s="99"/>
      <c r="F434" s="64"/>
      <c r="G434" s="361" t="s">
        <v>0</v>
      </c>
      <c r="H434" s="64" t="s">
        <v>0</v>
      </c>
    </row>
    <row r="435" spans="1:14">
      <c r="C435" s="105"/>
      <c r="D435" s="357"/>
      <c r="E435" s="357"/>
      <c r="F435" s="362"/>
      <c r="H435" s="62"/>
    </row>
    <row r="436" spans="1:14">
      <c r="A436" s="544" t="s">
        <v>200</v>
      </c>
      <c r="B436" s="544"/>
      <c r="C436" s="544"/>
      <c r="D436" s="544"/>
      <c r="E436" s="544"/>
      <c r="F436" s="544"/>
      <c r="G436" s="544"/>
      <c r="H436" s="544"/>
    </row>
    <row r="437" spans="1:14">
      <c r="A437" s="116" t="s">
        <v>719</v>
      </c>
      <c r="B437" s="72"/>
      <c r="C437" s="72"/>
      <c r="D437" s="72"/>
      <c r="E437" s="72"/>
      <c r="F437" s="72"/>
      <c r="G437" s="72"/>
      <c r="H437" s="72"/>
    </row>
    <row r="438" spans="1:14">
      <c r="A438" s="72"/>
      <c r="B438" s="72"/>
      <c r="C438" s="72"/>
      <c r="D438" s="356"/>
      <c r="E438" s="72"/>
      <c r="F438" s="72"/>
      <c r="G438" s="356"/>
      <c r="H438" s="72"/>
    </row>
    <row r="439" spans="1:14">
      <c r="A439" s="117" t="s">
        <v>720</v>
      </c>
      <c r="B439" s="72"/>
      <c r="C439" s="265">
        <f>ROUND(+'[2]Light Inventory'!$E$172,0)</f>
        <v>57</v>
      </c>
      <c r="D439" s="330">
        <f>+'(JAP4)-Light Tariff Summary'!E146</f>
        <v>11.53</v>
      </c>
      <c r="E439" s="72"/>
      <c r="F439" s="341">
        <f t="shared" ref="F439:F444" si="59">IF(D439="n/a",0,ROUND(C439*D439*12,0))</f>
        <v>7887</v>
      </c>
      <c r="G439" s="330">
        <f>+'(JAP4) LIGHT RD'!P152</f>
        <v>11.68</v>
      </c>
      <c r="H439" s="341">
        <f t="shared" ref="H439:H517" si="60">ROUND(G439*$C439*12,0)</f>
        <v>7989</v>
      </c>
      <c r="L439" s="265"/>
      <c r="N439" s="265"/>
    </row>
    <row r="440" spans="1:14">
      <c r="A440" s="117" t="s">
        <v>721</v>
      </c>
      <c r="B440" s="72"/>
      <c r="C440" s="265">
        <f>ROUND(+'[2]Light Inventory'!$E$173,0)</f>
        <v>6</v>
      </c>
      <c r="D440" s="330">
        <f>+'(JAP4)-Light Tariff Summary'!E147</f>
        <v>12.72</v>
      </c>
      <c r="E440" s="72"/>
      <c r="F440" s="341">
        <f t="shared" si="59"/>
        <v>916</v>
      </c>
      <c r="G440" s="330">
        <f>+'(JAP4) LIGHT RD'!P153</f>
        <v>12.88</v>
      </c>
      <c r="H440" s="341">
        <f t="shared" si="60"/>
        <v>927</v>
      </c>
      <c r="L440" s="265"/>
      <c r="N440" s="265"/>
    </row>
    <row r="441" spans="1:14">
      <c r="A441" s="117" t="s">
        <v>722</v>
      </c>
      <c r="B441" s="72"/>
      <c r="C441" s="265">
        <f>ROUND(+'[2]Light Inventory'!$E$174,0)</f>
        <v>167</v>
      </c>
      <c r="D441" s="330">
        <f>+'(JAP4)-Light Tariff Summary'!E148</f>
        <v>14.71</v>
      </c>
      <c r="E441" s="72"/>
      <c r="F441" s="341">
        <f t="shared" si="59"/>
        <v>29479</v>
      </c>
      <c r="G441" s="330">
        <f>+'(JAP4) LIGHT RD'!P154</f>
        <v>14.88</v>
      </c>
      <c r="H441" s="341">
        <f t="shared" si="60"/>
        <v>29820</v>
      </c>
      <c r="L441" s="265"/>
      <c r="N441" s="265"/>
    </row>
    <row r="442" spans="1:14">
      <c r="A442" s="117" t="s">
        <v>723</v>
      </c>
      <c r="B442" s="72"/>
      <c r="C442" s="265">
        <f>ROUND(+'[2]Light Inventory'!$E$175,0)</f>
        <v>294</v>
      </c>
      <c r="D442" s="330">
        <f>+'(JAP4)-Light Tariff Summary'!E149</f>
        <v>16.690000000000001</v>
      </c>
      <c r="E442" s="72"/>
      <c r="F442" s="341">
        <f t="shared" si="59"/>
        <v>58882</v>
      </c>
      <c r="G442" s="330">
        <f>+'(JAP4) LIGHT RD'!P155</f>
        <v>16.87</v>
      </c>
      <c r="H442" s="341">
        <f t="shared" si="60"/>
        <v>59517</v>
      </c>
      <c r="L442" s="265"/>
      <c r="N442" s="265"/>
    </row>
    <row r="443" spans="1:14">
      <c r="A443" s="117" t="s">
        <v>724</v>
      </c>
      <c r="B443" s="72"/>
      <c r="C443" s="265">
        <f>ROUND(+'[2]Light Inventory'!$E$176,0)</f>
        <v>40</v>
      </c>
      <c r="D443" s="330">
        <f>+'(JAP4)-Light Tariff Summary'!E150</f>
        <v>18.68</v>
      </c>
      <c r="E443" s="72"/>
      <c r="F443" s="341">
        <f t="shared" si="59"/>
        <v>8966</v>
      </c>
      <c r="G443" s="330">
        <f>+'(JAP4) LIGHT RD'!P156</f>
        <v>18.87</v>
      </c>
      <c r="H443" s="341">
        <f t="shared" si="60"/>
        <v>9058</v>
      </c>
      <c r="L443" s="265"/>
      <c r="N443" s="265"/>
    </row>
    <row r="444" spans="1:14">
      <c r="A444" s="117" t="s">
        <v>725</v>
      </c>
      <c r="B444" s="72"/>
      <c r="C444" s="265">
        <f>ROUND(+'[2]Light Inventory'!$E$177,0)</f>
        <v>385</v>
      </c>
      <c r="D444" s="330">
        <f>+'(JAP4)-Light Tariff Summary'!E151</f>
        <v>24.63</v>
      </c>
      <c r="E444" s="72"/>
      <c r="F444" s="341">
        <f t="shared" si="59"/>
        <v>113791</v>
      </c>
      <c r="G444" s="330">
        <f>+'(JAP4) LIGHT RD'!P157</f>
        <v>24.849999999999998</v>
      </c>
      <c r="H444" s="341">
        <f t="shared" si="60"/>
        <v>114807</v>
      </c>
      <c r="J444" s="63"/>
      <c r="L444" s="265"/>
      <c r="N444" s="265"/>
    </row>
    <row r="445" spans="1:14">
      <c r="A445" s="117"/>
      <c r="B445" s="72"/>
      <c r="D445" s="330"/>
      <c r="E445" s="72"/>
      <c r="F445" s="341"/>
      <c r="G445" s="330"/>
      <c r="H445" s="341"/>
      <c r="J445" s="63"/>
    </row>
    <row r="446" spans="1:14">
      <c r="A446" s="117" t="s">
        <v>726</v>
      </c>
      <c r="B446" s="72"/>
      <c r="C446" s="265">
        <f>ROUND(+'[2]Light Inventory'!$E$178,0)</f>
        <v>3</v>
      </c>
      <c r="D446" s="330">
        <f>+'(JAP4)-Light Tariff Summary'!E153</f>
        <v>18.64</v>
      </c>
      <c r="E446" s="72"/>
      <c r="F446" s="341">
        <f>IF(D446="n/a",0,ROUND(C446*D446*12,0))</f>
        <v>671</v>
      </c>
      <c r="G446" s="330">
        <f>+'(JAP4) LIGHT RD'!P165</f>
        <v>18.86</v>
      </c>
      <c r="H446" s="341">
        <f t="shared" si="60"/>
        <v>679</v>
      </c>
      <c r="J446" s="63"/>
      <c r="L446" s="265"/>
      <c r="N446" s="265"/>
    </row>
    <row r="447" spans="1:14">
      <c r="A447" s="117" t="s">
        <v>727</v>
      </c>
      <c r="B447" s="72"/>
      <c r="C447" s="265">
        <f>ROUND(+'[2]Light Inventory'!$E$179,0)</f>
        <v>22</v>
      </c>
      <c r="D447" s="330">
        <f>+'(JAP4)-Light Tariff Summary'!E154</f>
        <v>21.8</v>
      </c>
      <c r="E447" s="72"/>
      <c r="F447" s="341">
        <f>IF(D447="n/a",0,ROUND(C447*D447*12,0))</f>
        <v>5755</v>
      </c>
      <c r="G447" s="330">
        <f>+'(JAP4) LIGHT RD'!P166</f>
        <v>22.03</v>
      </c>
      <c r="H447" s="341">
        <f t="shared" si="60"/>
        <v>5816</v>
      </c>
      <c r="J447" s="63"/>
      <c r="L447" s="265"/>
      <c r="N447" s="265"/>
    </row>
    <row r="448" spans="1:14">
      <c r="A448" s="117" t="s">
        <v>728</v>
      </c>
      <c r="B448" s="72"/>
      <c r="C448" s="265">
        <f>ROUND(+'[2]Light Inventory'!$E$180,0)</f>
        <v>88</v>
      </c>
      <c r="D448" s="330">
        <f>+'(JAP4)-Light Tariff Summary'!E155</f>
        <v>28.12</v>
      </c>
      <c r="E448" s="72"/>
      <c r="F448" s="341">
        <f>IF(D448="n/a",0,ROUND(C448*D448*12,0))</f>
        <v>29695</v>
      </c>
      <c r="G448" s="330">
        <f>+'(JAP4) LIGHT RD'!P167</f>
        <v>28.39</v>
      </c>
      <c r="H448" s="341">
        <f t="shared" si="60"/>
        <v>29980</v>
      </c>
      <c r="J448" s="63"/>
      <c r="L448" s="265"/>
      <c r="N448" s="265"/>
    </row>
    <row r="449" spans="1:14">
      <c r="A449" s="117" t="s">
        <v>729</v>
      </c>
      <c r="B449" s="72"/>
      <c r="C449" s="265">
        <f>ROUND(+'[2]Light Inventory'!$E$181,0)</f>
        <v>128</v>
      </c>
      <c r="D449" s="330">
        <f>+'(JAP4)-Light Tariff Summary'!E156</f>
        <v>53.4</v>
      </c>
      <c r="E449" s="72"/>
      <c r="F449" s="341">
        <f>IF(D449="n/a",0,ROUND(C449*D449*12,0))</f>
        <v>82022</v>
      </c>
      <c r="G449" s="330">
        <f>+'(JAP4) LIGHT RD'!P168</f>
        <v>53.82</v>
      </c>
      <c r="H449" s="341">
        <f t="shared" si="60"/>
        <v>82668</v>
      </c>
      <c r="J449" s="63"/>
      <c r="L449" s="265"/>
      <c r="N449" s="265"/>
    </row>
    <row r="450" spans="1:14">
      <c r="A450" s="117"/>
      <c r="B450" s="72"/>
      <c r="D450" s="330"/>
      <c r="E450" s="72"/>
      <c r="F450" s="341"/>
      <c r="G450" s="330"/>
      <c r="H450" s="341"/>
      <c r="J450" s="63"/>
    </row>
    <row r="451" spans="1:14">
      <c r="A451" s="117" t="s">
        <v>730</v>
      </c>
      <c r="B451" s="72"/>
      <c r="C451" s="265">
        <f>ROUND(+'[2]Light Inventory'!$E$182,0)</f>
        <v>1</v>
      </c>
      <c r="D451" s="330">
        <f>+'(JAP4)-Light Tariff Summary'!E158</f>
        <v>12.72</v>
      </c>
      <c r="E451" s="72"/>
      <c r="F451" s="341">
        <f>IF(D451="n/a",0,ROUND(C451*D451*12,0))</f>
        <v>153</v>
      </c>
      <c r="G451" s="330">
        <f>+'(JAP4) LIGHT RD'!P159</f>
        <v>12.88</v>
      </c>
      <c r="H451" s="341">
        <f t="shared" si="60"/>
        <v>155</v>
      </c>
      <c r="J451" s="63"/>
      <c r="L451" s="265"/>
      <c r="N451" s="265"/>
    </row>
    <row r="452" spans="1:14">
      <c r="A452" s="117" t="s">
        <v>731</v>
      </c>
      <c r="B452" s="72"/>
      <c r="C452" s="265">
        <f>ROUND(+'[2]Light Inventory'!$E$183,0)</f>
        <v>24</v>
      </c>
      <c r="D452" s="330">
        <f>+'(JAP4)-Light Tariff Summary'!E159</f>
        <v>14.71</v>
      </c>
      <c r="E452" s="72"/>
      <c r="F452" s="341">
        <f>IF(D452="n/a",0,ROUND(C452*D452*12,0))</f>
        <v>4236</v>
      </c>
      <c r="G452" s="330">
        <f>+'(JAP4) LIGHT RD'!P160</f>
        <v>14.88</v>
      </c>
      <c r="H452" s="341">
        <f t="shared" si="60"/>
        <v>4285</v>
      </c>
      <c r="J452" s="63"/>
      <c r="L452" s="265"/>
      <c r="N452" s="265"/>
    </row>
    <row r="453" spans="1:14">
      <c r="A453" s="117" t="s">
        <v>732</v>
      </c>
      <c r="B453" s="72"/>
      <c r="C453" s="265">
        <f>ROUND(+'[2]Light Inventory'!$E$184,0)</f>
        <v>13</v>
      </c>
      <c r="D453" s="330">
        <f>+'(JAP4)-Light Tariff Summary'!E160</f>
        <v>16.690000000000001</v>
      </c>
      <c r="E453" s="72"/>
      <c r="F453" s="341">
        <f>IF(D453="n/a",0,ROUND(C453*D453*12,0))</f>
        <v>2604</v>
      </c>
      <c r="G453" s="330">
        <f>+'(JAP4) LIGHT RD'!P161</f>
        <v>16.87</v>
      </c>
      <c r="H453" s="341">
        <f t="shared" si="60"/>
        <v>2632</v>
      </c>
      <c r="J453" s="63"/>
      <c r="L453" s="265"/>
      <c r="N453" s="265"/>
    </row>
    <row r="454" spans="1:14">
      <c r="A454" s="117" t="s">
        <v>733</v>
      </c>
      <c r="B454" s="72"/>
      <c r="C454" s="265">
        <f>ROUND(+'[2]Light Inventory'!$E$185,0)</f>
        <v>35</v>
      </c>
      <c r="D454" s="330">
        <f>+'(JAP4)-Light Tariff Summary'!E161</f>
        <v>18.68</v>
      </c>
      <c r="E454" s="72"/>
      <c r="F454" s="341">
        <f>IF(D454="n/a",0,ROUND(C454*D454*12,0))</f>
        <v>7846</v>
      </c>
      <c r="G454" s="330">
        <f>+'(JAP4) LIGHT RD'!P162</f>
        <v>18.87</v>
      </c>
      <c r="H454" s="341">
        <f t="shared" si="60"/>
        <v>7925</v>
      </c>
      <c r="J454" s="63"/>
      <c r="L454" s="265"/>
      <c r="N454" s="265"/>
    </row>
    <row r="455" spans="1:14">
      <c r="A455" s="117" t="s">
        <v>734</v>
      </c>
      <c r="B455" s="72"/>
      <c r="C455" s="265">
        <f>ROUND(+'[2]Light Inventory'!$E$186,0)</f>
        <v>49</v>
      </c>
      <c r="D455" s="330">
        <f>+'(JAP4)-Light Tariff Summary'!E162</f>
        <v>24.63</v>
      </c>
      <c r="E455" s="72"/>
      <c r="F455" s="341">
        <f>IF(D455="n/a",0,ROUND(C455*D455*12,0))</f>
        <v>14482</v>
      </c>
      <c r="G455" s="330">
        <f>+'(JAP4) LIGHT RD'!P163</f>
        <v>24.849999999999998</v>
      </c>
      <c r="H455" s="341">
        <f t="shared" si="60"/>
        <v>14612</v>
      </c>
      <c r="J455" s="63"/>
      <c r="L455" s="265"/>
      <c r="N455" s="265"/>
    </row>
    <row r="456" spans="1:14">
      <c r="A456" s="117"/>
      <c r="B456" s="72"/>
      <c r="D456" s="330"/>
      <c r="E456" s="72"/>
      <c r="F456" s="341"/>
      <c r="G456" s="330"/>
      <c r="H456" s="341"/>
      <c r="J456" s="63"/>
    </row>
    <row r="457" spans="1:14">
      <c r="A457" s="117" t="s">
        <v>735</v>
      </c>
      <c r="B457" s="72"/>
      <c r="C457" s="265">
        <f>ROUND(+'[2]Light Inventory'!$E$187,0)</f>
        <v>11</v>
      </c>
      <c r="D457" s="330">
        <f>+'(JAP4)-Light Tariff Summary'!E164</f>
        <v>21.8</v>
      </c>
      <c r="E457" s="72"/>
      <c r="F457" s="341">
        <f>IF(D457="n/a",0,ROUND(C457*D457*12,0))</f>
        <v>2878</v>
      </c>
      <c r="G457" s="330">
        <f>+'(JAP4) LIGHT RD'!P170</f>
        <v>22.03</v>
      </c>
      <c r="H457" s="341">
        <f t="shared" si="60"/>
        <v>2908</v>
      </c>
      <c r="J457" s="63"/>
      <c r="L457" s="265"/>
      <c r="N457" s="265"/>
    </row>
    <row r="458" spans="1:14">
      <c r="A458" s="117" t="s">
        <v>736</v>
      </c>
      <c r="B458" s="72"/>
      <c r="C458" s="265">
        <f>ROUND(+'[2]Light Inventory'!$E$188,0)</f>
        <v>40</v>
      </c>
      <c r="D458" s="330">
        <f>+'(JAP4)-Light Tariff Summary'!E165</f>
        <v>28.12</v>
      </c>
      <c r="E458" s="72"/>
      <c r="F458" s="341">
        <f>IF(D458="n/a",0,ROUND(C458*D458*12,0))</f>
        <v>13498</v>
      </c>
      <c r="G458" s="330">
        <f>+'(JAP4) LIGHT RD'!P171</f>
        <v>28.39</v>
      </c>
      <c r="H458" s="341">
        <f t="shared" si="60"/>
        <v>13627</v>
      </c>
      <c r="J458" s="63"/>
      <c r="L458" s="265"/>
      <c r="N458" s="265"/>
    </row>
    <row r="459" spans="1:14">
      <c r="A459" s="117"/>
      <c r="B459" s="72"/>
      <c r="D459" s="330"/>
      <c r="E459" s="72"/>
      <c r="F459" s="341"/>
      <c r="G459" s="330"/>
      <c r="H459" s="341"/>
    </row>
    <row r="460" spans="1:14">
      <c r="A460" s="371" t="s">
        <v>845</v>
      </c>
      <c r="B460" s="72"/>
      <c r="D460" s="372">
        <f>+'(JAP4)-Light Tariff Summary'!E167</f>
        <v>12.31</v>
      </c>
      <c r="E460" s="72"/>
      <c r="F460" s="341">
        <f t="shared" ref="F460:F522" si="61">IF(D460="n/a",0,ROUND(C460*D460*12,0))</f>
        <v>0</v>
      </c>
      <c r="G460" s="330">
        <f>+'(JAP4) LIGHT RD'!P174</f>
        <v>12.48</v>
      </c>
      <c r="H460" s="341">
        <f t="shared" si="60"/>
        <v>0</v>
      </c>
    </row>
    <row r="461" spans="1:14">
      <c r="A461" s="117" t="s">
        <v>737</v>
      </c>
      <c r="B461" s="72"/>
      <c r="D461" s="330">
        <f t="shared" ref="D461:D462" si="62">+D460</f>
        <v>12.31</v>
      </c>
      <c r="E461" s="72"/>
      <c r="F461" s="341">
        <f t="shared" si="61"/>
        <v>0</v>
      </c>
      <c r="G461" s="330">
        <f>+G460</f>
        <v>12.48</v>
      </c>
      <c r="H461" s="341">
        <f t="shared" si="60"/>
        <v>0</v>
      </c>
    </row>
    <row r="462" spans="1:14">
      <c r="A462" s="117" t="s">
        <v>738</v>
      </c>
      <c r="B462" s="72"/>
      <c r="C462" s="265">
        <f>ROUND(+'[2]Light Inventory'!$E$189,0)</f>
        <v>1</v>
      </c>
      <c r="D462" s="330">
        <f t="shared" si="62"/>
        <v>12.31</v>
      </c>
      <c r="E462" s="72"/>
      <c r="F462" s="341">
        <f t="shared" si="61"/>
        <v>148</v>
      </c>
      <c r="G462" s="330">
        <f>+G461</f>
        <v>12.48</v>
      </c>
      <c r="H462" s="341">
        <f t="shared" si="60"/>
        <v>150</v>
      </c>
      <c r="L462" s="265"/>
      <c r="N462" s="265"/>
    </row>
    <row r="463" spans="1:14">
      <c r="A463" s="117" t="s">
        <v>739</v>
      </c>
      <c r="B463" s="72"/>
      <c r="D463" s="372">
        <f>+'(JAP4)-Light Tariff Summary'!E168</f>
        <v>13.42</v>
      </c>
      <c r="E463" s="72"/>
      <c r="F463" s="341">
        <f t="shared" si="61"/>
        <v>0</v>
      </c>
      <c r="G463" s="330">
        <f>+'(JAP4) LIGHT RD'!P175</f>
        <v>13.6</v>
      </c>
      <c r="H463" s="341">
        <f t="shared" si="60"/>
        <v>0</v>
      </c>
    </row>
    <row r="464" spans="1:14">
      <c r="A464" s="117" t="s">
        <v>740</v>
      </c>
      <c r="D464" s="330">
        <f t="shared" ref="D464:D468" si="63">+D463</f>
        <v>13.42</v>
      </c>
      <c r="E464" s="72"/>
      <c r="F464" s="341">
        <f t="shared" si="61"/>
        <v>0</v>
      </c>
      <c r="G464" s="330">
        <f>+G463</f>
        <v>13.6</v>
      </c>
      <c r="H464" s="341">
        <f t="shared" si="60"/>
        <v>0</v>
      </c>
    </row>
    <row r="465" spans="1:14">
      <c r="A465" s="117" t="s">
        <v>741</v>
      </c>
      <c r="D465" s="330">
        <f t="shared" si="63"/>
        <v>13.42</v>
      </c>
      <c r="E465" s="72"/>
      <c r="F465" s="341">
        <f t="shared" si="61"/>
        <v>0</v>
      </c>
      <c r="G465" s="330">
        <f>+G464</f>
        <v>13.6</v>
      </c>
      <c r="H465" s="341">
        <f t="shared" si="60"/>
        <v>0</v>
      </c>
    </row>
    <row r="466" spans="1:14">
      <c r="A466" s="117" t="s">
        <v>742</v>
      </c>
      <c r="D466" s="330">
        <f t="shared" si="63"/>
        <v>13.42</v>
      </c>
      <c r="E466" s="72"/>
      <c r="F466" s="341">
        <f t="shared" si="61"/>
        <v>0</v>
      </c>
      <c r="G466" s="330">
        <f>+G465</f>
        <v>13.6</v>
      </c>
      <c r="H466" s="341">
        <f t="shared" si="60"/>
        <v>0</v>
      </c>
    </row>
    <row r="467" spans="1:14">
      <c r="A467" s="117" t="s">
        <v>743</v>
      </c>
      <c r="C467" s="265">
        <f>ROUND(+'[2]Light Inventory'!$E$190,0)</f>
        <v>7</v>
      </c>
      <c r="D467" s="330">
        <f t="shared" si="63"/>
        <v>13.42</v>
      </c>
      <c r="E467" s="72"/>
      <c r="F467" s="341">
        <f t="shared" si="61"/>
        <v>1127</v>
      </c>
      <c r="G467" s="330">
        <f>+G466</f>
        <v>13.6</v>
      </c>
      <c r="H467" s="341">
        <f t="shared" si="60"/>
        <v>1142</v>
      </c>
      <c r="L467" s="265"/>
      <c r="N467" s="265"/>
    </row>
    <row r="468" spans="1:14">
      <c r="A468" s="117" t="s">
        <v>846</v>
      </c>
      <c r="D468" s="330">
        <f t="shared" si="63"/>
        <v>13.42</v>
      </c>
      <c r="E468" s="72"/>
      <c r="F468" s="341">
        <f t="shared" si="61"/>
        <v>0</v>
      </c>
      <c r="G468" s="330">
        <f>+G467</f>
        <v>13.6</v>
      </c>
      <c r="H468" s="341">
        <f t="shared" si="60"/>
        <v>0</v>
      </c>
    </row>
    <row r="469" spans="1:14">
      <c r="A469" s="117" t="s">
        <v>847</v>
      </c>
      <c r="D469" s="372">
        <f>+'(JAP4)-Light Tariff Summary'!E169</f>
        <v>14.54</v>
      </c>
      <c r="E469" s="72"/>
      <c r="F469" s="341">
        <f t="shared" si="61"/>
        <v>0</v>
      </c>
      <c r="G469" s="330">
        <f>+'(JAP4) LIGHT RD'!P176</f>
        <v>14.719999999999999</v>
      </c>
      <c r="H469" s="341">
        <f t="shared" si="60"/>
        <v>0</v>
      </c>
    </row>
    <row r="470" spans="1:14">
      <c r="A470" s="117" t="s">
        <v>744</v>
      </c>
      <c r="D470" s="330">
        <f t="shared" ref="D470:D473" si="64">+D469</f>
        <v>14.54</v>
      </c>
      <c r="E470" s="72"/>
      <c r="F470" s="341">
        <f t="shared" si="61"/>
        <v>0</v>
      </c>
      <c r="G470" s="330">
        <f>+G469</f>
        <v>14.719999999999999</v>
      </c>
      <c r="H470" s="341">
        <f t="shared" si="60"/>
        <v>0</v>
      </c>
      <c r="L470" s="396"/>
    </row>
    <row r="471" spans="1:14">
      <c r="A471" s="117" t="s">
        <v>745</v>
      </c>
      <c r="C471" s="265">
        <f>ROUND(+'[2]Light Inventory'!$E$191,0)</f>
        <v>20</v>
      </c>
      <c r="D471" s="330">
        <f t="shared" si="64"/>
        <v>14.54</v>
      </c>
      <c r="E471" s="72"/>
      <c r="F471" s="341">
        <f t="shared" si="61"/>
        <v>3490</v>
      </c>
      <c r="G471" s="330">
        <f>+G470</f>
        <v>14.719999999999999</v>
      </c>
      <c r="H471" s="341">
        <f t="shared" si="60"/>
        <v>3533</v>
      </c>
      <c r="L471" s="265"/>
      <c r="N471" s="265"/>
    </row>
    <row r="472" spans="1:14">
      <c r="A472" s="117" t="s">
        <v>746</v>
      </c>
      <c r="D472" s="330">
        <f t="shared" si="64"/>
        <v>14.54</v>
      </c>
      <c r="E472" s="72"/>
      <c r="F472" s="341">
        <f t="shared" si="61"/>
        <v>0</v>
      </c>
      <c r="G472" s="330">
        <f>+G471</f>
        <v>14.719999999999999</v>
      </c>
      <c r="H472" s="341">
        <f t="shared" si="60"/>
        <v>0</v>
      </c>
    </row>
    <row r="473" spans="1:14">
      <c r="A473" s="117" t="s">
        <v>747</v>
      </c>
      <c r="D473" s="330">
        <f t="shared" si="64"/>
        <v>14.54</v>
      </c>
      <c r="E473" s="72"/>
      <c r="F473" s="341">
        <f t="shared" si="61"/>
        <v>0</v>
      </c>
      <c r="G473" s="330">
        <f>+G472</f>
        <v>14.719999999999999</v>
      </c>
      <c r="H473" s="341">
        <f t="shared" si="60"/>
        <v>0</v>
      </c>
    </row>
    <row r="474" spans="1:14">
      <c r="A474" s="117" t="s">
        <v>748</v>
      </c>
      <c r="D474" s="372">
        <f>+'(JAP4)-Light Tariff Summary'!E170</f>
        <v>15.66</v>
      </c>
      <c r="E474" s="72"/>
      <c r="F474" s="341">
        <f t="shared" si="61"/>
        <v>0</v>
      </c>
      <c r="G474" s="330">
        <f>+'(JAP4) LIGHT RD'!P177</f>
        <v>15.85</v>
      </c>
      <c r="H474" s="341">
        <f t="shared" si="60"/>
        <v>0</v>
      </c>
    </row>
    <row r="475" spans="1:14">
      <c r="A475" s="117" t="s">
        <v>749</v>
      </c>
      <c r="C475" s="265">
        <f>ROUND(+'[2]Light Inventory'!$E$192,0)</f>
        <v>44</v>
      </c>
      <c r="D475" s="330">
        <f t="shared" ref="D475:D476" si="65">+D474</f>
        <v>15.66</v>
      </c>
      <c r="E475" s="72"/>
      <c r="F475" s="341">
        <f t="shared" si="61"/>
        <v>8268</v>
      </c>
      <c r="G475" s="330">
        <f>+G474</f>
        <v>15.85</v>
      </c>
      <c r="H475" s="341">
        <f t="shared" si="60"/>
        <v>8369</v>
      </c>
      <c r="L475" s="265"/>
      <c r="N475" s="265"/>
    </row>
    <row r="476" spans="1:14">
      <c r="A476" s="117" t="s">
        <v>848</v>
      </c>
      <c r="D476" s="330">
        <f t="shared" si="65"/>
        <v>15.66</v>
      </c>
      <c r="E476" s="72"/>
      <c r="F476" s="341">
        <f t="shared" si="61"/>
        <v>0</v>
      </c>
      <c r="G476" s="330">
        <f>+G475</f>
        <v>15.85</v>
      </c>
      <c r="H476" s="341">
        <f t="shared" si="60"/>
        <v>0</v>
      </c>
    </row>
    <row r="477" spans="1:14">
      <c r="A477" s="117" t="s">
        <v>849</v>
      </c>
      <c r="D477" s="372">
        <f>+'(JAP4)-Light Tariff Summary'!E171</f>
        <v>16.77</v>
      </c>
      <c r="E477" s="72"/>
      <c r="F477" s="341">
        <f t="shared" si="61"/>
        <v>0</v>
      </c>
      <c r="G477" s="330">
        <f>+'(JAP4) LIGHT RD'!P178</f>
        <v>16.96</v>
      </c>
      <c r="H477" s="341">
        <f t="shared" si="60"/>
        <v>0</v>
      </c>
    </row>
    <row r="478" spans="1:14">
      <c r="A478" s="118" t="s">
        <v>850</v>
      </c>
      <c r="C478" s="265">
        <f>ROUND(+'[2]Light Inventory'!$E$193,0)</f>
        <v>4</v>
      </c>
      <c r="D478" s="330">
        <f t="shared" ref="D478:D479" si="66">+D477</f>
        <v>16.77</v>
      </c>
      <c r="E478" s="72"/>
      <c r="F478" s="341">
        <f t="shared" si="61"/>
        <v>805</v>
      </c>
      <c r="G478" s="330">
        <f>+G477</f>
        <v>16.96</v>
      </c>
      <c r="H478" s="341">
        <f t="shared" si="60"/>
        <v>814</v>
      </c>
      <c r="L478" s="265"/>
      <c r="N478" s="265"/>
    </row>
    <row r="479" spans="1:14">
      <c r="A479" s="118" t="s">
        <v>851</v>
      </c>
      <c r="D479" s="330">
        <f t="shared" si="66"/>
        <v>16.77</v>
      </c>
      <c r="E479" s="72"/>
      <c r="F479" s="341">
        <f t="shared" si="61"/>
        <v>0</v>
      </c>
      <c r="G479" s="330">
        <f>+G478</f>
        <v>16.96</v>
      </c>
      <c r="H479" s="341">
        <f t="shared" si="60"/>
        <v>0</v>
      </c>
    </row>
    <row r="480" spans="1:14">
      <c r="A480" s="118" t="s">
        <v>852</v>
      </c>
      <c r="D480" s="372">
        <f>+'(JAP4)-Light Tariff Summary'!E172</f>
        <v>17.89</v>
      </c>
      <c r="E480" s="72"/>
      <c r="F480" s="341">
        <f t="shared" si="61"/>
        <v>0</v>
      </c>
      <c r="G480" s="330">
        <f>+'(JAP4) LIGHT RD'!P179</f>
        <v>18.09</v>
      </c>
      <c r="H480" s="341">
        <f t="shared" si="60"/>
        <v>0</v>
      </c>
    </row>
    <row r="481" spans="1:14">
      <c r="A481" s="118" t="s">
        <v>853</v>
      </c>
      <c r="D481" s="330">
        <f t="shared" ref="D481:D484" si="67">+D480</f>
        <v>17.89</v>
      </c>
      <c r="E481" s="72"/>
      <c r="F481" s="341">
        <f t="shared" si="61"/>
        <v>0</v>
      </c>
      <c r="G481" s="330">
        <f>+G480</f>
        <v>18.09</v>
      </c>
      <c r="H481" s="341">
        <f t="shared" si="60"/>
        <v>0</v>
      </c>
    </row>
    <row r="482" spans="1:14">
      <c r="A482" s="118" t="s">
        <v>750</v>
      </c>
      <c r="D482" s="330">
        <f t="shared" si="67"/>
        <v>17.89</v>
      </c>
      <c r="E482" s="72"/>
      <c r="F482" s="341">
        <f t="shared" si="61"/>
        <v>0</v>
      </c>
      <c r="G482" s="330">
        <f>+G481</f>
        <v>18.09</v>
      </c>
      <c r="H482" s="341">
        <f t="shared" si="60"/>
        <v>0</v>
      </c>
    </row>
    <row r="483" spans="1:14">
      <c r="A483" s="118" t="s">
        <v>751</v>
      </c>
      <c r="D483" s="330">
        <f t="shared" si="67"/>
        <v>17.89</v>
      </c>
      <c r="E483" s="72"/>
      <c r="F483" s="341">
        <f t="shared" si="61"/>
        <v>0</v>
      </c>
      <c r="G483" s="330">
        <f>+G482</f>
        <v>18.09</v>
      </c>
      <c r="H483" s="341">
        <f t="shared" si="60"/>
        <v>0</v>
      </c>
    </row>
    <row r="484" spans="1:14">
      <c r="A484" s="118" t="s">
        <v>752</v>
      </c>
      <c r="D484" s="330">
        <f t="shared" si="67"/>
        <v>17.89</v>
      </c>
      <c r="E484" s="72"/>
      <c r="F484" s="341">
        <f t="shared" si="61"/>
        <v>0</v>
      </c>
      <c r="G484" s="330">
        <f>+G483</f>
        <v>18.09</v>
      </c>
      <c r="H484" s="341">
        <f t="shared" si="60"/>
        <v>0</v>
      </c>
    </row>
    <row r="485" spans="1:14">
      <c r="A485" s="118" t="s">
        <v>753</v>
      </c>
      <c r="C485" s="265">
        <f>ROUND(+'[2]Light Inventory'!$E$194,0)</f>
        <v>2</v>
      </c>
      <c r="D485" s="372">
        <f>+'(JAP4)-Light Tariff Summary'!E173</f>
        <v>19</v>
      </c>
      <c r="E485" s="72"/>
      <c r="F485" s="341">
        <f t="shared" si="61"/>
        <v>456</v>
      </c>
      <c r="G485" s="330">
        <f>+'(JAP4) LIGHT RD'!P180</f>
        <v>19.2</v>
      </c>
      <c r="H485" s="341">
        <f t="shared" si="60"/>
        <v>461</v>
      </c>
      <c r="L485" s="265"/>
      <c r="N485" s="265"/>
    </row>
    <row r="486" spans="1:14">
      <c r="A486" s="118" t="s">
        <v>754</v>
      </c>
      <c r="D486" s="330">
        <f t="shared" ref="D486:D487" si="68">+D485</f>
        <v>19</v>
      </c>
      <c r="E486" s="72"/>
      <c r="F486" s="341">
        <f t="shared" si="61"/>
        <v>0</v>
      </c>
      <c r="G486" s="330">
        <f>+G485</f>
        <v>19.2</v>
      </c>
      <c r="H486" s="341">
        <f t="shared" si="60"/>
        <v>0</v>
      </c>
    </row>
    <row r="487" spans="1:14">
      <c r="A487" s="118" t="s">
        <v>854</v>
      </c>
      <c r="D487" s="330">
        <f t="shared" si="68"/>
        <v>19</v>
      </c>
      <c r="E487" s="72"/>
      <c r="F487" s="341">
        <f t="shared" si="61"/>
        <v>0</v>
      </c>
      <c r="G487" s="330">
        <f>+G486</f>
        <v>19.2</v>
      </c>
      <c r="H487" s="341">
        <f t="shared" si="60"/>
        <v>0</v>
      </c>
    </row>
    <row r="488" spans="1:14">
      <c r="A488" s="118" t="s">
        <v>855</v>
      </c>
      <c r="D488" s="372">
        <f>+'(JAP4)-Light Tariff Summary'!E174</f>
        <v>20.12</v>
      </c>
      <c r="E488" s="72"/>
      <c r="F488" s="341">
        <f t="shared" si="61"/>
        <v>0</v>
      </c>
      <c r="G488" s="330">
        <f>+'(JAP4) LIGHT RD'!P181</f>
        <v>20.330000000000002</v>
      </c>
      <c r="H488" s="341">
        <f t="shared" si="60"/>
        <v>0</v>
      </c>
    </row>
    <row r="489" spans="1:14">
      <c r="A489" s="118" t="s">
        <v>755</v>
      </c>
      <c r="D489" s="330">
        <f t="shared" ref="D489:D493" si="69">+D488</f>
        <v>20.12</v>
      </c>
      <c r="E489" s="72"/>
      <c r="F489" s="341">
        <f t="shared" si="61"/>
        <v>0</v>
      </c>
      <c r="G489" s="330">
        <f>+G488</f>
        <v>20.330000000000002</v>
      </c>
      <c r="H489" s="341">
        <f t="shared" si="60"/>
        <v>0</v>
      </c>
    </row>
    <row r="490" spans="1:14">
      <c r="A490" s="118" t="s">
        <v>756</v>
      </c>
      <c r="D490" s="330">
        <f t="shared" si="69"/>
        <v>20.12</v>
      </c>
      <c r="E490" s="72"/>
      <c r="F490" s="341">
        <f t="shared" si="61"/>
        <v>0</v>
      </c>
      <c r="G490" s="330">
        <f>+G489</f>
        <v>20.330000000000002</v>
      </c>
      <c r="H490" s="341">
        <f t="shared" si="60"/>
        <v>0</v>
      </c>
    </row>
    <row r="491" spans="1:14">
      <c r="A491" s="118" t="s">
        <v>757</v>
      </c>
      <c r="D491" s="330">
        <f t="shared" si="69"/>
        <v>20.12</v>
      </c>
      <c r="E491" s="72"/>
      <c r="F491" s="341">
        <f t="shared" si="61"/>
        <v>0</v>
      </c>
      <c r="G491" s="330">
        <f>+G490</f>
        <v>20.330000000000002</v>
      </c>
      <c r="H491" s="341">
        <f t="shared" si="60"/>
        <v>0</v>
      </c>
    </row>
    <row r="492" spans="1:14">
      <c r="A492" s="118" t="s">
        <v>758</v>
      </c>
      <c r="C492" s="265">
        <f>ROUND(+'[2]Light Inventory'!$E$195,0)</f>
        <v>8</v>
      </c>
      <c r="D492" s="330">
        <f t="shared" si="69"/>
        <v>20.12</v>
      </c>
      <c r="E492" s="72"/>
      <c r="F492" s="341">
        <f t="shared" si="61"/>
        <v>1932</v>
      </c>
      <c r="G492" s="330">
        <f>+G491</f>
        <v>20.330000000000002</v>
      </c>
      <c r="H492" s="341">
        <f t="shared" si="60"/>
        <v>1952</v>
      </c>
      <c r="L492" s="265"/>
      <c r="N492" s="265"/>
    </row>
    <row r="493" spans="1:14">
      <c r="A493" s="118" t="s">
        <v>759</v>
      </c>
      <c r="C493" s="265"/>
      <c r="D493" s="330">
        <f t="shared" si="69"/>
        <v>20.12</v>
      </c>
      <c r="E493" s="72"/>
      <c r="F493" s="341">
        <f t="shared" si="61"/>
        <v>0</v>
      </c>
      <c r="G493" s="330">
        <f>+G492</f>
        <v>20.330000000000002</v>
      </c>
      <c r="H493" s="341">
        <f t="shared" si="60"/>
        <v>0</v>
      </c>
      <c r="L493" s="265"/>
      <c r="N493" s="265"/>
    </row>
    <row r="494" spans="1:14">
      <c r="A494" s="118" t="s">
        <v>856</v>
      </c>
      <c r="C494" s="265"/>
      <c r="D494" s="372">
        <f>+'(JAP4)-Light Tariff Summary'!E175</f>
        <v>21.24</v>
      </c>
      <c r="E494" s="72"/>
      <c r="F494" s="341">
        <f t="shared" si="61"/>
        <v>0</v>
      </c>
      <c r="G494" s="330">
        <f>+'(JAP4) LIGHT RD'!P182</f>
        <v>21.45</v>
      </c>
      <c r="H494" s="341">
        <f t="shared" si="60"/>
        <v>0</v>
      </c>
      <c r="L494" s="265"/>
      <c r="N494" s="265"/>
    </row>
    <row r="495" spans="1:14">
      <c r="A495" s="117" t="s">
        <v>760</v>
      </c>
      <c r="D495" s="372">
        <f>+'(JAP4)-Light Tariff Summary'!E176</f>
        <v>23.66</v>
      </c>
      <c r="E495" s="72"/>
      <c r="F495" s="341">
        <f t="shared" si="61"/>
        <v>0</v>
      </c>
      <c r="G495" s="330">
        <f>+'(JAP4) LIGHT RD'!P183</f>
        <v>23.88</v>
      </c>
      <c r="H495" s="341">
        <f t="shared" si="60"/>
        <v>0</v>
      </c>
    </row>
    <row r="496" spans="1:14">
      <c r="A496" s="117" t="s">
        <v>761</v>
      </c>
      <c r="D496" s="330">
        <f t="shared" ref="D496:D500" si="70">+D495</f>
        <v>23.66</v>
      </c>
      <c r="E496" s="72"/>
      <c r="F496" s="341">
        <f t="shared" si="61"/>
        <v>0</v>
      </c>
      <c r="G496" s="330">
        <f>+G495</f>
        <v>23.88</v>
      </c>
      <c r="H496" s="341">
        <f t="shared" si="60"/>
        <v>0</v>
      </c>
    </row>
    <row r="497" spans="1:14">
      <c r="A497" s="117" t="s">
        <v>762</v>
      </c>
      <c r="D497" s="330">
        <f t="shared" si="70"/>
        <v>23.66</v>
      </c>
      <c r="E497" s="72"/>
      <c r="F497" s="341">
        <f t="shared" si="61"/>
        <v>0</v>
      </c>
      <c r="G497" s="330">
        <f>+G496</f>
        <v>23.88</v>
      </c>
      <c r="H497" s="341">
        <f t="shared" si="60"/>
        <v>0</v>
      </c>
    </row>
    <row r="498" spans="1:14">
      <c r="A498" s="117" t="s">
        <v>763</v>
      </c>
      <c r="D498" s="330">
        <f t="shared" si="70"/>
        <v>23.66</v>
      </c>
      <c r="E498" s="72"/>
      <c r="F498" s="341">
        <f t="shared" si="61"/>
        <v>0</v>
      </c>
      <c r="G498" s="330">
        <f>+G497</f>
        <v>23.88</v>
      </c>
      <c r="H498" s="341">
        <f t="shared" si="60"/>
        <v>0</v>
      </c>
    </row>
    <row r="499" spans="1:14">
      <c r="A499" s="117" t="s">
        <v>764</v>
      </c>
      <c r="D499" s="330">
        <f t="shared" si="70"/>
        <v>23.66</v>
      </c>
      <c r="E499" s="72"/>
      <c r="F499" s="341">
        <f t="shared" si="61"/>
        <v>0</v>
      </c>
      <c r="G499" s="330">
        <f>+G498</f>
        <v>23.88</v>
      </c>
      <c r="H499" s="341">
        <f t="shared" si="60"/>
        <v>0</v>
      </c>
    </row>
    <row r="500" spans="1:14">
      <c r="A500" s="117" t="s">
        <v>857</v>
      </c>
      <c r="C500" s="265"/>
      <c r="D500" s="330">
        <f t="shared" si="70"/>
        <v>23.66</v>
      </c>
      <c r="E500" s="72"/>
      <c r="F500" s="341">
        <f t="shared" si="61"/>
        <v>0</v>
      </c>
      <c r="G500" s="330">
        <f>+G499</f>
        <v>23.88</v>
      </c>
      <c r="H500" s="341">
        <f t="shared" si="60"/>
        <v>0</v>
      </c>
      <c r="L500" s="265"/>
      <c r="N500" s="265"/>
    </row>
    <row r="501" spans="1:14">
      <c r="A501" s="117" t="s">
        <v>858</v>
      </c>
      <c r="C501" s="265"/>
      <c r="D501" s="372">
        <f>+'(JAP4)-Light Tariff Summary'!E177</f>
        <v>27.38</v>
      </c>
      <c r="E501" s="72"/>
      <c r="F501" s="341">
        <f t="shared" si="61"/>
        <v>0</v>
      </c>
      <c r="G501" s="330">
        <f>+'(JAP4) LIGHT RD'!P184</f>
        <v>27.619999999999997</v>
      </c>
      <c r="H501" s="341">
        <f t="shared" si="60"/>
        <v>0</v>
      </c>
      <c r="L501" s="265"/>
      <c r="N501" s="265"/>
    </row>
    <row r="502" spans="1:14">
      <c r="A502" s="117" t="s">
        <v>765</v>
      </c>
      <c r="C502" s="265"/>
      <c r="D502" s="372">
        <f>+'(JAP4)-Light Tariff Summary'!E178</f>
        <v>31.1</v>
      </c>
      <c r="E502" s="72"/>
      <c r="F502" s="341">
        <f t="shared" si="61"/>
        <v>0</v>
      </c>
      <c r="G502" s="330">
        <f>+'(JAP4) LIGHT RD'!P185</f>
        <v>31.360000000000003</v>
      </c>
      <c r="H502" s="341">
        <f t="shared" si="60"/>
        <v>0</v>
      </c>
      <c r="L502" s="265"/>
      <c r="N502" s="265"/>
    </row>
    <row r="503" spans="1:14">
      <c r="A503" s="117" t="s">
        <v>766</v>
      </c>
      <c r="C503" s="265"/>
      <c r="D503" s="330">
        <f t="shared" ref="D503:D508" si="71">+D502</f>
        <v>31.1</v>
      </c>
      <c r="E503" s="72"/>
      <c r="F503" s="341">
        <f t="shared" si="61"/>
        <v>0</v>
      </c>
      <c r="G503" s="330">
        <f t="shared" ref="G503:G508" si="72">+G502</f>
        <v>31.360000000000003</v>
      </c>
      <c r="H503" s="341">
        <f t="shared" si="60"/>
        <v>0</v>
      </c>
      <c r="L503" s="265"/>
      <c r="N503" s="265"/>
    </row>
    <row r="504" spans="1:14">
      <c r="A504" s="117" t="s">
        <v>767</v>
      </c>
      <c r="C504" s="265"/>
      <c r="D504" s="330">
        <f t="shared" si="71"/>
        <v>31.1</v>
      </c>
      <c r="E504" s="72"/>
      <c r="F504" s="341">
        <f t="shared" si="61"/>
        <v>0</v>
      </c>
      <c r="G504" s="330">
        <f t="shared" si="72"/>
        <v>31.360000000000003</v>
      </c>
      <c r="H504" s="341">
        <f t="shared" si="60"/>
        <v>0</v>
      </c>
      <c r="L504" s="265"/>
      <c r="N504" s="265"/>
    </row>
    <row r="505" spans="1:14">
      <c r="A505" s="117" t="s">
        <v>768</v>
      </c>
      <c r="C505" s="265"/>
      <c r="D505" s="330">
        <f t="shared" si="71"/>
        <v>31.1</v>
      </c>
      <c r="E505" s="72"/>
      <c r="F505" s="341">
        <f t="shared" si="61"/>
        <v>0</v>
      </c>
      <c r="G505" s="330">
        <f t="shared" si="72"/>
        <v>31.360000000000003</v>
      </c>
      <c r="H505" s="341">
        <f t="shared" si="60"/>
        <v>0</v>
      </c>
      <c r="L505" s="265"/>
      <c r="N505" s="265"/>
    </row>
    <row r="506" spans="1:14">
      <c r="A506" s="117" t="s">
        <v>769</v>
      </c>
      <c r="C506" s="265"/>
      <c r="D506" s="330">
        <f t="shared" si="71"/>
        <v>31.1</v>
      </c>
      <c r="E506" s="72"/>
      <c r="F506" s="341">
        <f t="shared" si="61"/>
        <v>0</v>
      </c>
      <c r="G506" s="330">
        <f t="shared" si="72"/>
        <v>31.360000000000003</v>
      </c>
      <c r="H506" s="341">
        <f t="shared" si="60"/>
        <v>0</v>
      </c>
      <c r="L506" s="265"/>
      <c r="N506" s="265"/>
    </row>
    <row r="507" spans="1:14">
      <c r="A507" s="117" t="s">
        <v>770</v>
      </c>
      <c r="D507" s="330">
        <f t="shared" si="71"/>
        <v>31.1</v>
      </c>
      <c r="E507" s="72"/>
      <c r="F507" s="341">
        <f t="shared" si="61"/>
        <v>0</v>
      </c>
      <c r="G507" s="330">
        <f t="shared" si="72"/>
        <v>31.360000000000003</v>
      </c>
      <c r="H507" s="341">
        <f t="shared" si="60"/>
        <v>0</v>
      </c>
    </row>
    <row r="508" spans="1:14">
      <c r="A508" s="117" t="s">
        <v>859</v>
      </c>
      <c r="D508" s="330">
        <f t="shared" si="71"/>
        <v>31.1</v>
      </c>
      <c r="E508" s="72"/>
      <c r="F508" s="341">
        <f t="shared" si="61"/>
        <v>0</v>
      </c>
      <c r="G508" s="330">
        <f t="shared" si="72"/>
        <v>31.360000000000003</v>
      </c>
      <c r="H508" s="341">
        <f t="shared" si="60"/>
        <v>0</v>
      </c>
    </row>
    <row r="509" spans="1:14">
      <c r="A509" s="117" t="s">
        <v>860</v>
      </c>
      <c r="D509" s="372">
        <f>+'(JAP4)-Light Tariff Summary'!E179</f>
        <v>34.82</v>
      </c>
      <c r="E509" s="72"/>
      <c r="F509" s="341">
        <f t="shared" si="61"/>
        <v>0</v>
      </c>
      <c r="G509" s="330">
        <f>+'(JAP4) LIGHT RD'!P186</f>
        <v>35.1</v>
      </c>
      <c r="H509" s="341">
        <f t="shared" si="60"/>
        <v>0</v>
      </c>
    </row>
    <row r="510" spans="1:14">
      <c r="A510" s="117" t="s">
        <v>861</v>
      </c>
      <c r="D510" s="372">
        <f>+'(JAP4)-Light Tariff Summary'!E180</f>
        <v>38.54</v>
      </c>
      <c r="E510" s="72"/>
      <c r="F510" s="341">
        <f t="shared" si="61"/>
        <v>0</v>
      </c>
      <c r="G510" s="330">
        <f>+'(JAP4) LIGHT RD'!P187</f>
        <v>38.83</v>
      </c>
      <c r="H510" s="341">
        <f t="shared" si="60"/>
        <v>0</v>
      </c>
    </row>
    <row r="511" spans="1:14">
      <c r="A511" s="117" t="s">
        <v>862</v>
      </c>
      <c r="D511" s="372">
        <f>+'(JAP4)-Light Tariff Summary'!E181</f>
        <v>42.26</v>
      </c>
      <c r="E511" s="72"/>
      <c r="F511" s="341">
        <f t="shared" si="61"/>
        <v>0</v>
      </c>
      <c r="G511" s="330">
        <f>+'(JAP4) LIGHT RD'!P188</f>
        <v>42.57</v>
      </c>
      <c r="H511" s="341">
        <f t="shared" si="60"/>
        <v>0</v>
      </c>
    </row>
    <row r="512" spans="1:14">
      <c r="A512" s="117" t="s">
        <v>863</v>
      </c>
      <c r="D512" s="330">
        <f t="shared" ref="D512:D522" si="73">+D511</f>
        <v>42.26</v>
      </c>
      <c r="E512" s="72"/>
      <c r="F512" s="341">
        <f t="shared" si="61"/>
        <v>0</v>
      </c>
      <c r="G512" s="330">
        <f>+G511</f>
        <v>42.57</v>
      </c>
      <c r="H512" s="341">
        <f t="shared" si="60"/>
        <v>0</v>
      </c>
    </row>
    <row r="513" spans="1:14">
      <c r="A513" s="118" t="s">
        <v>771</v>
      </c>
      <c r="D513" s="330">
        <f t="shared" si="73"/>
        <v>42.26</v>
      </c>
      <c r="E513" s="72"/>
      <c r="F513" s="341">
        <f t="shared" si="61"/>
        <v>0</v>
      </c>
      <c r="G513" s="330">
        <f t="shared" ref="G513:G522" si="74">+G512</f>
        <v>42.57</v>
      </c>
      <c r="H513" s="341">
        <f t="shared" si="60"/>
        <v>0</v>
      </c>
    </row>
    <row r="514" spans="1:14">
      <c r="A514" s="117" t="s">
        <v>772</v>
      </c>
      <c r="D514" s="330">
        <f t="shared" si="73"/>
        <v>42.26</v>
      </c>
      <c r="E514" s="72"/>
      <c r="F514" s="341">
        <f t="shared" si="61"/>
        <v>0</v>
      </c>
      <c r="G514" s="330">
        <f t="shared" si="74"/>
        <v>42.57</v>
      </c>
      <c r="H514" s="341">
        <f t="shared" si="60"/>
        <v>0</v>
      </c>
    </row>
    <row r="515" spans="1:14">
      <c r="A515" s="117" t="s">
        <v>773</v>
      </c>
      <c r="D515" s="330">
        <f t="shared" si="73"/>
        <v>42.26</v>
      </c>
      <c r="E515" s="72"/>
      <c r="F515" s="341">
        <f t="shared" si="61"/>
        <v>0</v>
      </c>
      <c r="G515" s="330">
        <f t="shared" si="74"/>
        <v>42.57</v>
      </c>
      <c r="H515" s="341">
        <f t="shared" si="60"/>
        <v>0</v>
      </c>
    </row>
    <row r="516" spans="1:14">
      <c r="A516" s="117" t="s">
        <v>774</v>
      </c>
      <c r="D516" s="330">
        <f t="shared" si="73"/>
        <v>42.26</v>
      </c>
      <c r="E516" s="72"/>
      <c r="F516" s="341">
        <f t="shared" si="61"/>
        <v>0</v>
      </c>
      <c r="G516" s="330">
        <f t="shared" si="74"/>
        <v>42.57</v>
      </c>
      <c r="H516" s="341">
        <f t="shared" si="60"/>
        <v>0</v>
      </c>
    </row>
    <row r="517" spans="1:14">
      <c r="A517" s="117" t="s">
        <v>775</v>
      </c>
      <c r="D517" s="330">
        <f t="shared" si="73"/>
        <v>42.26</v>
      </c>
      <c r="E517" s="72"/>
      <c r="F517" s="341">
        <f t="shared" si="61"/>
        <v>0</v>
      </c>
      <c r="G517" s="330">
        <f t="shared" si="74"/>
        <v>42.57</v>
      </c>
      <c r="H517" s="341">
        <f t="shared" si="60"/>
        <v>0</v>
      </c>
    </row>
    <row r="518" spans="1:14">
      <c r="A518" s="117" t="s">
        <v>776</v>
      </c>
      <c r="D518" s="330">
        <f t="shared" si="73"/>
        <v>42.26</v>
      </c>
      <c r="E518" s="72"/>
      <c r="F518" s="341">
        <f t="shared" si="61"/>
        <v>0</v>
      </c>
      <c r="G518" s="330">
        <f t="shared" si="74"/>
        <v>42.57</v>
      </c>
      <c r="H518" s="341">
        <f>ROUND(G518*$C518*12,0)</f>
        <v>0</v>
      </c>
    </row>
    <row r="519" spans="1:14">
      <c r="A519" s="117" t="s">
        <v>777</v>
      </c>
      <c r="D519" s="330">
        <f t="shared" si="73"/>
        <v>42.26</v>
      </c>
      <c r="E519" s="72"/>
      <c r="F519" s="341">
        <f t="shared" si="61"/>
        <v>0</v>
      </c>
      <c r="G519" s="330">
        <f t="shared" si="74"/>
        <v>42.57</v>
      </c>
      <c r="H519" s="341">
        <f>ROUND(G519*$C519*12,0)</f>
        <v>0</v>
      </c>
    </row>
    <row r="520" spans="1:14">
      <c r="A520" s="117" t="s">
        <v>778</v>
      </c>
      <c r="D520" s="330">
        <f t="shared" si="73"/>
        <v>42.26</v>
      </c>
      <c r="E520" s="72"/>
      <c r="F520" s="341">
        <f t="shared" si="61"/>
        <v>0</v>
      </c>
      <c r="G520" s="330">
        <f t="shared" si="74"/>
        <v>42.57</v>
      </c>
      <c r="H520" s="341">
        <f>ROUND(G520*$C520*12,0)</f>
        <v>0</v>
      </c>
    </row>
    <row r="521" spans="1:14">
      <c r="A521" s="117" t="s">
        <v>779</v>
      </c>
      <c r="D521" s="330">
        <f t="shared" si="73"/>
        <v>42.26</v>
      </c>
      <c r="E521" s="72"/>
      <c r="F521" s="341">
        <f t="shared" si="61"/>
        <v>0</v>
      </c>
      <c r="G521" s="330">
        <f t="shared" si="74"/>
        <v>42.57</v>
      </c>
      <c r="H521" s="341">
        <f>ROUND(G521*$C521*12,0)</f>
        <v>0</v>
      </c>
      <c r="J521" s="63"/>
    </row>
    <row r="522" spans="1:14">
      <c r="A522" s="117" t="s">
        <v>864</v>
      </c>
      <c r="D522" s="330">
        <f t="shared" si="73"/>
        <v>42.26</v>
      </c>
      <c r="E522" s="72"/>
      <c r="F522" s="341">
        <f t="shared" si="61"/>
        <v>0</v>
      </c>
      <c r="G522" s="330">
        <f t="shared" si="74"/>
        <v>42.57</v>
      </c>
      <c r="H522" s="341">
        <f>ROUND(G522*$C522*12,0)</f>
        <v>0</v>
      </c>
      <c r="J522" s="63"/>
    </row>
    <row r="524" spans="1:14">
      <c r="A524" s="118" t="s">
        <v>780</v>
      </c>
      <c r="B524" s="72"/>
      <c r="C524" s="265">
        <f>ROUND(+'[2]Light Inventory'!$E$202,0)</f>
        <v>146</v>
      </c>
      <c r="D524" s="330">
        <f>+'(JAP4)-Light Tariff Summary'!E183</f>
        <v>9.75</v>
      </c>
      <c r="E524" s="72"/>
      <c r="F524" s="341">
        <f>IF(D524="n/a",0,ROUND(C524*D524*12,0))</f>
        <v>17082</v>
      </c>
      <c r="G524" s="330">
        <f>+'(JAP4) LIGHT RD'!P197</f>
        <v>9.9</v>
      </c>
      <c r="H524" s="341">
        <f>ROUND(G524*$C524*12,0)</f>
        <v>17345</v>
      </c>
      <c r="L524" s="265"/>
      <c r="N524" s="265"/>
    </row>
    <row r="525" spans="1:14">
      <c r="A525" s="333" t="s">
        <v>35</v>
      </c>
      <c r="C525" s="334">
        <f>SUM(C439:C524)</f>
        <v>1595</v>
      </c>
      <c r="D525" s="335"/>
      <c r="F525" s="353">
        <f>SUM(F439:F524)</f>
        <v>417069</v>
      </c>
      <c r="G525" s="335"/>
      <c r="H525" s="353">
        <f>SUM(H439:H524)</f>
        <v>421171</v>
      </c>
      <c r="L525" s="396"/>
    </row>
    <row r="526" spans="1:14">
      <c r="A526" s="333"/>
      <c r="C526" s="357"/>
      <c r="D526" s="335"/>
      <c r="F526" s="358"/>
      <c r="G526" s="335"/>
      <c r="H526" s="358"/>
      <c r="L526" s="396"/>
    </row>
    <row r="527" spans="1:14">
      <c r="A527" s="116" t="str">
        <f>+$A$42</f>
        <v>Annual Average Customer Count</v>
      </c>
      <c r="B527" s="72"/>
      <c r="C527" s="87">
        <v>3778</v>
      </c>
      <c r="D527" s="338"/>
      <c r="E527" s="340"/>
      <c r="F527" s="341"/>
      <c r="G527" s="338"/>
      <c r="H527" s="342"/>
      <c r="L527" s="396"/>
    </row>
    <row r="528" spans="1:14">
      <c r="A528" s="116"/>
      <c r="B528" s="72"/>
      <c r="C528" s="87"/>
      <c r="D528" s="338"/>
      <c r="E528" s="340"/>
      <c r="F528" s="341"/>
      <c r="G528" s="338"/>
      <c r="H528" s="342"/>
      <c r="L528" s="396"/>
    </row>
    <row r="529" spans="1:19">
      <c r="A529" s="337" t="s">
        <v>410</v>
      </c>
      <c r="B529" s="338"/>
      <c r="C529" s="354">
        <f>SUM('[2]Billed kWh'!$E$31:$E$32)</f>
        <v>2251208.102</v>
      </c>
      <c r="D529" s="338"/>
      <c r="E529" s="340"/>
      <c r="F529" s="341"/>
      <c r="G529" s="338"/>
      <c r="H529" s="342"/>
      <c r="L529" s="396"/>
    </row>
    <row r="530" spans="1:19">
      <c r="A530" s="337" t="s">
        <v>411</v>
      </c>
      <c r="C530" s="62">
        <f>SUM('[2]Unbilled Change kWh'!$E$31:$E$32)</f>
        <v>-2052.9670000000128</v>
      </c>
      <c r="D530" s="344">
        <f>ROUND(F530/C530,6)</f>
        <v>-0.12664600000000001</v>
      </c>
      <c r="E530" s="345"/>
      <c r="F530" s="341">
        <f>$P$20</f>
        <v>260</v>
      </c>
      <c r="G530" s="344">
        <f>ROUND(H530/C530,6)</f>
        <v>-0.128107</v>
      </c>
      <c r="H530" s="341">
        <f>ROUND(+F530*(1+$O$24),0)</f>
        <v>263</v>
      </c>
      <c r="I530" s="345"/>
      <c r="J530" s="88"/>
      <c r="K530" s="525"/>
      <c r="L530" s="525"/>
      <c r="M530" s="376"/>
      <c r="N530" s="376"/>
      <c r="O530" s="376"/>
      <c r="P530" s="376"/>
      <c r="Q530" s="376"/>
      <c r="R530" s="376"/>
      <c r="S530" s="376"/>
    </row>
    <row r="531" spans="1:19" ht="16.5" thickBot="1">
      <c r="A531" s="119" t="s">
        <v>36</v>
      </c>
      <c r="B531" s="72"/>
      <c r="C531" s="355">
        <f>SUM(C529:C530)</f>
        <v>2249155.1349999998</v>
      </c>
      <c r="D531" s="64"/>
      <c r="F531" s="347">
        <f>SUM(F525,F530)</f>
        <v>417329</v>
      </c>
      <c r="G531" s="64"/>
      <c r="H531" s="347">
        <f>SUM(H525,H530)</f>
        <v>421434</v>
      </c>
    </row>
    <row r="532" spans="1:19" ht="16.5" thickTop="1">
      <c r="L532" s="396"/>
    </row>
    <row r="533" spans="1:19">
      <c r="L533" s="396"/>
    </row>
    <row r="534" spans="1:19">
      <c r="L534" s="396"/>
    </row>
    <row r="535" spans="1:19">
      <c r="L535" s="396"/>
    </row>
    <row r="536" spans="1:19">
      <c r="L536" s="396"/>
    </row>
    <row r="537" spans="1:19">
      <c r="L537" s="396"/>
    </row>
    <row r="538" spans="1:19">
      <c r="L538" s="396"/>
    </row>
    <row r="539" spans="1:19">
      <c r="L539" s="396"/>
    </row>
    <row r="540" spans="1:19">
      <c r="L540" s="396"/>
    </row>
    <row r="541" spans="1:19">
      <c r="L541" s="396"/>
    </row>
    <row r="542" spans="1:19">
      <c r="L542" s="396"/>
    </row>
    <row r="543" spans="1:19">
      <c r="L543" s="396"/>
    </row>
    <row r="544" spans="1:19">
      <c r="L544" s="396"/>
    </row>
    <row r="545" spans="12:12">
      <c r="L545" s="396"/>
    </row>
    <row r="546" spans="12:12">
      <c r="L546" s="396"/>
    </row>
    <row r="547" spans="12:12">
      <c r="L547" s="396"/>
    </row>
    <row r="548" spans="12:12">
      <c r="L548" s="396"/>
    </row>
    <row r="549" spans="12:12">
      <c r="L549" s="396"/>
    </row>
    <row r="550" spans="12:12">
      <c r="L550" s="396"/>
    </row>
  </sheetData>
  <mergeCells count="26">
    <mergeCell ref="K530:L530"/>
    <mergeCell ref="N9:P9"/>
    <mergeCell ref="A12:H12"/>
    <mergeCell ref="A27:H27"/>
    <mergeCell ref="K296:L296"/>
    <mergeCell ref="K143:L143"/>
    <mergeCell ref="A436:H436"/>
    <mergeCell ref="A423:H423"/>
    <mergeCell ref="K432:L432"/>
    <mergeCell ref="K419:L419"/>
    <mergeCell ref="K374:L374"/>
    <mergeCell ref="A48:H48"/>
    <mergeCell ref="A116:H116"/>
    <mergeCell ref="A147:H147"/>
    <mergeCell ref="K113:L113"/>
    <mergeCell ref="G9:I9"/>
    <mergeCell ref="R9:T9"/>
    <mergeCell ref="A302:H302"/>
    <mergeCell ref="A378:H378"/>
    <mergeCell ref="K45:L45"/>
    <mergeCell ref="A1:H1"/>
    <mergeCell ref="A2:H2"/>
    <mergeCell ref="A3:H3"/>
    <mergeCell ref="A4:H4"/>
    <mergeCell ref="D9:F9"/>
    <mergeCell ref="J9:L9"/>
  </mergeCells>
  <printOptions horizontalCentered="1"/>
  <pageMargins left="0.7" right="0.7" top="0.75" bottom="0.75" header="0.3" footer="0.3"/>
  <pageSetup scale="50" fitToHeight="0" orientation="landscape" r:id="rId1"/>
  <headerFooter alignWithMargins="0">
    <oddFooter>&amp;L&amp;F
&amp;A&amp;R2018 ERF Rate Design Workpapers
Page &amp;P of 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6"/>
  <sheetViews>
    <sheetView workbookViewId="0">
      <pane xSplit="4" ySplit="13" topLeftCell="E138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A3" sqref="A3:P3"/>
    </sheetView>
  </sheetViews>
  <sheetFormatPr defaultColWidth="7.125" defaultRowHeight="15.75"/>
  <cols>
    <col min="1" max="1" width="6.875" style="47" bestFit="1" customWidth="1"/>
    <col min="2" max="2" width="31.875" style="47" bestFit="1" customWidth="1"/>
    <col min="3" max="3" width="16.75" style="47" bestFit="1" customWidth="1"/>
    <col min="4" max="4" width="11.125" style="47" bestFit="1" customWidth="1"/>
    <col min="5" max="5" width="5.75" style="47" bestFit="1" customWidth="1"/>
    <col min="6" max="6" width="6.25" style="47" bestFit="1" customWidth="1"/>
    <col min="7" max="7" width="8.5" style="47" bestFit="1" customWidth="1"/>
    <col min="8" max="9" width="7.625" style="47" bestFit="1" customWidth="1"/>
    <col min="10" max="10" width="6.75" style="47" bestFit="1" customWidth="1"/>
    <col min="11" max="11" width="11" style="47" bestFit="1" customWidth="1"/>
    <col min="12" max="12" width="10.625" style="47" bestFit="1" customWidth="1"/>
    <col min="13" max="13" width="8.75" style="47" customWidth="1"/>
    <col min="14" max="14" width="10.625" style="47" bestFit="1" customWidth="1"/>
    <col min="15" max="15" width="7.125" style="47"/>
    <col min="16" max="16" width="6.75" style="47" bestFit="1" customWidth="1"/>
    <col min="17" max="16384" width="7.125" style="47"/>
  </cols>
  <sheetData>
    <row r="1" spans="1:21">
      <c r="A1" s="549" t="s">
        <v>86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</row>
    <row r="2" spans="1:21">
      <c r="A2" s="549" t="s">
        <v>901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</row>
    <row r="3" spans="1:21">
      <c r="A3" s="550" t="s">
        <v>1032</v>
      </c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</row>
    <row r="4" spans="1:21">
      <c r="A4" s="549" t="s">
        <v>902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</row>
    <row r="5" spans="1:21">
      <c r="A5" s="451"/>
      <c r="B5" s="548"/>
      <c r="C5" s="548"/>
      <c r="D5" s="548"/>
      <c r="E5" s="548"/>
      <c r="F5" s="548"/>
      <c r="G5" s="548"/>
      <c r="H5" s="548"/>
      <c r="I5" s="548"/>
      <c r="J5" s="548"/>
      <c r="K5" s="450"/>
      <c r="L5" s="450"/>
    </row>
    <row r="6" spans="1:21" ht="51.75">
      <c r="A6" s="240" t="s">
        <v>208</v>
      </c>
      <c r="B6" s="240" t="s">
        <v>210</v>
      </c>
      <c r="C6" s="397" t="s">
        <v>903</v>
      </c>
      <c r="D6" s="398" t="s">
        <v>904</v>
      </c>
      <c r="E6" s="240" t="s">
        <v>905</v>
      </c>
      <c r="F6" s="240" t="s">
        <v>906</v>
      </c>
      <c r="G6" s="240" t="s">
        <v>907</v>
      </c>
      <c r="H6" s="240" t="s">
        <v>908</v>
      </c>
      <c r="I6" s="240" t="s">
        <v>909</v>
      </c>
      <c r="J6" s="240" t="s">
        <v>36</v>
      </c>
      <c r="K6" s="240" t="s">
        <v>969</v>
      </c>
      <c r="L6" s="239" t="s">
        <v>1030</v>
      </c>
      <c r="M6" s="240" t="s">
        <v>967</v>
      </c>
      <c r="N6" s="239" t="s">
        <v>1031</v>
      </c>
      <c r="O6" s="239" t="s">
        <v>976</v>
      </c>
      <c r="P6" s="240" t="s">
        <v>970</v>
      </c>
      <c r="R6" s="397"/>
    </row>
    <row r="7" spans="1:21">
      <c r="A7" s="451"/>
      <c r="B7" s="251" t="s">
        <v>910</v>
      </c>
      <c r="C7" s="399" t="s">
        <v>911</v>
      </c>
      <c r="D7" s="400" t="s">
        <v>912</v>
      </c>
      <c r="E7" s="401" t="s">
        <v>913</v>
      </c>
      <c r="F7" s="451" t="s">
        <v>914</v>
      </c>
      <c r="G7" s="451" t="s">
        <v>915</v>
      </c>
      <c r="H7" s="451" t="s">
        <v>916</v>
      </c>
      <c r="I7" s="451" t="s">
        <v>917</v>
      </c>
      <c r="J7" s="451" t="s">
        <v>918</v>
      </c>
      <c r="K7" s="451" t="s">
        <v>968</v>
      </c>
      <c r="L7" s="422" t="s">
        <v>977</v>
      </c>
      <c r="M7" s="422" t="s">
        <v>978</v>
      </c>
      <c r="N7" s="422" t="s">
        <v>979</v>
      </c>
      <c r="O7" s="422" t="s">
        <v>980</v>
      </c>
      <c r="P7" s="422" t="s">
        <v>981</v>
      </c>
    </row>
    <row r="8" spans="1:21" ht="51">
      <c r="A8" s="451"/>
      <c r="B8" s="428"/>
      <c r="C8" s="428"/>
      <c r="D8" s="429"/>
      <c r="E8" s="430"/>
      <c r="F8" s="430"/>
      <c r="G8" s="430"/>
      <c r="H8" s="430"/>
      <c r="I8" s="430"/>
      <c r="J8" s="430" t="s">
        <v>919</v>
      </c>
      <c r="K8" s="430"/>
      <c r="L8" s="430" t="s">
        <v>982</v>
      </c>
      <c r="M8" s="430" t="s">
        <v>983</v>
      </c>
      <c r="N8" s="430" t="s">
        <v>984</v>
      </c>
      <c r="O8" s="430" t="s">
        <v>986</v>
      </c>
      <c r="P8" s="430" t="s">
        <v>987</v>
      </c>
    </row>
    <row r="9" spans="1:21">
      <c r="A9" s="451">
        <v>1</v>
      </c>
      <c r="B9" s="155" t="s">
        <v>975</v>
      </c>
      <c r="C9" s="251"/>
      <c r="D9" s="402"/>
      <c r="E9" s="401"/>
      <c r="F9" s="401"/>
      <c r="G9" s="401"/>
      <c r="H9" s="401"/>
      <c r="I9" s="401"/>
      <c r="J9" s="401"/>
      <c r="K9" s="401"/>
      <c r="L9" s="425">
        <f>SUM(L16:L204)</f>
        <v>17975919.760799997</v>
      </c>
      <c r="M9" s="401"/>
      <c r="N9" s="425">
        <f>SUM(N16:N204)</f>
        <v>12530658.514885638</v>
      </c>
      <c r="O9" s="401"/>
      <c r="P9" s="401"/>
      <c r="S9" s="395"/>
      <c r="T9" s="63"/>
      <c r="U9" s="452"/>
    </row>
    <row r="10" spans="1:21">
      <c r="A10" s="451">
        <f>+A9+1</f>
        <v>2</v>
      </c>
      <c r="B10" s="413" t="s">
        <v>971</v>
      </c>
      <c r="C10" s="251"/>
      <c r="D10" s="402"/>
      <c r="E10" s="401"/>
      <c r="F10" s="401"/>
      <c r="G10" s="401"/>
      <c r="H10" s="401"/>
      <c r="I10" s="401"/>
      <c r="J10" s="401"/>
      <c r="K10" s="401"/>
      <c r="L10" s="425"/>
      <c r="M10" s="401"/>
      <c r="N10" s="425">
        <f>+'(JAP4) Rate Spread'!$J$28*1000</f>
        <v>180459.18210502231</v>
      </c>
      <c r="O10" s="401"/>
      <c r="P10" s="401"/>
      <c r="R10" s="393"/>
      <c r="S10" s="395"/>
      <c r="T10" s="63"/>
      <c r="U10" s="452"/>
    </row>
    <row r="11" spans="1:21">
      <c r="A11" s="451">
        <f>+A10+1</f>
        <v>3</v>
      </c>
      <c r="B11" s="427" t="s">
        <v>973</v>
      </c>
      <c r="C11" s="251"/>
      <c r="D11" s="402"/>
      <c r="E11" s="401"/>
      <c r="F11" s="401"/>
      <c r="G11" s="401"/>
      <c r="H11" s="401"/>
      <c r="I11" s="401"/>
      <c r="J11" s="401"/>
      <c r="K11" s="401"/>
      <c r="L11" s="425"/>
      <c r="M11" s="401"/>
      <c r="N11" s="425">
        <v>191470</v>
      </c>
      <c r="O11" s="401"/>
      <c r="P11" s="401"/>
      <c r="R11" s="393"/>
      <c r="S11" s="395"/>
      <c r="T11" s="63"/>
      <c r="U11" s="452"/>
    </row>
    <row r="12" spans="1:21" ht="16.5" thickBot="1">
      <c r="A12" s="451">
        <f>+A11+1</f>
        <v>4</v>
      </c>
      <c r="B12" s="252" t="s">
        <v>972</v>
      </c>
      <c r="C12" s="251"/>
      <c r="D12" s="402"/>
      <c r="E12" s="401"/>
      <c r="F12" s="401"/>
      <c r="G12" s="401"/>
      <c r="H12" s="401"/>
      <c r="I12" s="401"/>
      <c r="J12" s="401"/>
      <c r="K12" s="401"/>
      <c r="L12" s="425"/>
      <c r="M12" s="401"/>
      <c r="N12" s="425">
        <f>+'(JAP4) LIGHT Sum'!H25</f>
        <v>-3273.8178949765861</v>
      </c>
      <c r="O12" s="401"/>
      <c r="P12" s="401"/>
      <c r="R12" s="393"/>
      <c r="S12" s="395"/>
      <c r="T12" s="63"/>
      <c r="U12" s="452"/>
    </row>
    <row r="13" spans="1:21" ht="16.5" thickBot="1">
      <c r="A13" s="451">
        <f>+A12+1</f>
        <v>5</v>
      </c>
      <c r="B13" s="252" t="s">
        <v>974</v>
      </c>
      <c r="C13" s="251"/>
      <c r="D13" s="402"/>
      <c r="E13" s="401"/>
      <c r="F13" s="401"/>
      <c r="G13" s="401"/>
      <c r="H13" s="401"/>
      <c r="I13" s="401"/>
      <c r="J13" s="401"/>
      <c r="K13" s="401"/>
      <c r="L13" s="425"/>
      <c r="M13" s="401"/>
      <c r="N13" s="453">
        <f>+N11/N9</f>
        <v>1.5280122730385289E-2</v>
      </c>
      <c r="O13" s="431" t="s">
        <v>985</v>
      </c>
      <c r="P13" s="401"/>
      <c r="R13" s="393"/>
      <c r="S13" s="395"/>
      <c r="T13" s="63"/>
      <c r="U13" s="452"/>
    </row>
    <row r="14" spans="1:21">
      <c r="A14" s="451">
        <f>+A13+1</f>
        <v>6</v>
      </c>
      <c r="B14" s="251"/>
      <c r="C14" s="251"/>
      <c r="D14" s="402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</row>
    <row r="15" spans="1:21">
      <c r="A15" s="451">
        <f t="shared" ref="A15:A78" si="0">A14+1</f>
        <v>7</v>
      </c>
      <c r="B15" s="250" t="s">
        <v>920</v>
      </c>
      <c r="C15" s="250"/>
      <c r="D15" s="403"/>
      <c r="E15" s="251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</row>
    <row r="16" spans="1:21">
      <c r="A16" s="451">
        <f t="shared" si="0"/>
        <v>8</v>
      </c>
      <c r="B16" s="253" t="s">
        <v>921</v>
      </c>
      <c r="C16" s="155" t="s">
        <v>922</v>
      </c>
      <c r="D16" s="405">
        <v>22</v>
      </c>
      <c r="E16" s="406">
        <v>0</v>
      </c>
      <c r="F16" s="407">
        <v>0</v>
      </c>
      <c r="G16" s="407">
        <v>0.12116978035205504</v>
      </c>
      <c r="H16" s="407">
        <v>0.22207431715328957</v>
      </c>
      <c r="I16" s="407">
        <v>0.33600068055638799</v>
      </c>
      <c r="J16" s="407">
        <f>ROUND(SUM(E16:I16),2)</f>
        <v>0.68</v>
      </c>
      <c r="K16" s="423">
        <v>59</v>
      </c>
      <c r="L16" s="424">
        <f>+K16*J16*12</f>
        <v>481.44000000000005</v>
      </c>
      <c r="M16" s="407">
        <f>SUM(E16:G16)</f>
        <v>0.12116978035205504</v>
      </c>
      <c r="N16" s="424">
        <f>+M16*K16*12</f>
        <v>85.788204489254966</v>
      </c>
      <c r="O16" s="407">
        <f>ROUND(M16*$N$13,2)</f>
        <v>0</v>
      </c>
      <c r="P16" s="407">
        <f>+O16+J16</f>
        <v>0.68</v>
      </c>
    </row>
    <row r="17" spans="1:16">
      <c r="A17" s="451">
        <f t="shared" si="0"/>
        <v>9</v>
      </c>
      <c r="B17" s="397"/>
      <c r="C17" s="408"/>
      <c r="D17" s="409"/>
      <c r="E17" s="406"/>
      <c r="F17" s="404"/>
      <c r="G17" s="404"/>
      <c r="H17" s="404"/>
      <c r="I17" s="404"/>
      <c r="J17" s="404"/>
      <c r="K17" s="423"/>
      <c r="L17" s="404"/>
      <c r="M17" s="404"/>
      <c r="N17" s="404"/>
      <c r="O17" s="404"/>
      <c r="P17" s="404"/>
    </row>
    <row r="18" spans="1:16">
      <c r="A18" s="451">
        <f t="shared" si="0"/>
        <v>10</v>
      </c>
      <c r="B18" s="253" t="s">
        <v>923</v>
      </c>
      <c r="C18" s="410" t="s">
        <v>924</v>
      </c>
      <c r="D18" s="411">
        <v>100</v>
      </c>
      <c r="E18" s="406">
        <v>0</v>
      </c>
      <c r="F18" s="407">
        <v>2.0980355662743908</v>
      </c>
      <c r="G18" s="407">
        <v>0.55077172887297743</v>
      </c>
      <c r="H18" s="407">
        <v>1.0094287143331344</v>
      </c>
      <c r="I18" s="407">
        <v>1.5272758207108545</v>
      </c>
      <c r="J18" s="407">
        <f t="shared" ref="J18:J24" si="1">ROUND(SUM(E18:I18),2)</f>
        <v>5.19</v>
      </c>
      <c r="K18" s="423">
        <v>13</v>
      </c>
      <c r="L18" s="424">
        <f t="shared" ref="L18:L24" si="2">+K18*J18*12</f>
        <v>809.64</v>
      </c>
      <c r="M18" s="407">
        <f t="shared" ref="M18:M24" si="3">SUM(E18:G18)</f>
        <v>2.6488072951473685</v>
      </c>
      <c r="N18" s="424">
        <f t="shared" ref="N18:N24" si="4">+M18*K18*12</f>
        <v>413.21393804298947</v>
      </c>
      <c r="O18" s="407">
        <f t="shared" ref="O18:O24" si="5">ROUND(M18*$N$13,2)</f>
        <v>0.04</v>
      </c>
      <c r="P18" s="407">
        <f t="shared" ref="P18:P24" si="6">+O18+J18</f>
        <v>5.23</v>
      </c>
    </row>
    <row r="19" spans="1:16">
      <c r="A19" s="451">
        <f t="shared" si="0"/>
        <v>11</v>
      </c>
      <c r="B19" s="253" t="str">
        <f>+B18</f>
        <v>50E-A</v>
      </c>
      <c r="C19" s="410" t="str">
        <f>+C18</f>
        <v>Mercury Vapor</v>
      </c>
      <c r="D19" s="411">
        <v>175</v>
      </c>
      <c r="E19" s="406">
        <v>0</v>
      </c>
      <c r="F19" s="407">
        <v>2.0980355662743908</v>
      </c>
      <c r="G19" s="407">
        <v>0.96385052552771056</v>
      </c>
      <c r="H19" s="407">
        <v>1.7665002500829854</v>
      </c>
      <c r="I19" s="407">
        <v>2.6727326862439953</v>
      </c>
      <c r="J19" s="407">
        <f t="shared" si="1"/>
        <v>7.5</v>
      </c>
      <c r="K19" s="423">
        <v>19</v>
      </c>
      <c r="L19" s="424">
        <f t="shared" si="2"/>
        <v>1710</v>
      </c>
      <c r="M19" s="407">
        <f t="shared" si="3"/>
        <v>3.0618860918021014</v>
      </c>
      <c r="N19" s="424">
        <f t="shared" si="4"/>
        <v>698.11002893087914</v>
      </c>
      <c r="O19" s="407">
        <f t="shared" si="5"/>
        <v>0.05</v>
      </c>
      <c r="P19" s="407">
        <f t="shared" si="6"/>
        <v>7.55</v>
      </c>
    </row>
    <row r="20" spans="1:16">
      <c r="A20" s="451">
        <f t="shared" si="0"/>
        <v>12</v>
      </c>
      <c r="B20" s="253" t="str">
        <f>+B19</f>
        <v>50E-A</v>
      </c>
      <c r="C20" s="410" t="str">
        <f>+C19</f>
        <v>Mercury Vapor</v>
      </c>
      <c r="D20" s="411">
        <v>400</v>
      </c>
      <c r="E20" s="406">
        <v>0</v>
      </c>
      <c r="F20" s="407">
        <v>2.0980355662743908</v>
      </c>
      <c r="G20" s="407">
        <v>2.2030869154919097</v>
      </c>
      <c r="H20" s="407">
        <v>4.0377148573325377</v>
      </c>
      <c r="I20" s="407">
        <v>6.1091032828434182</v>
      </c>
      <c r="J20" s="407">
        <f t="shared" si="1"/>
        <v>14.45</v>
      </c>
      <c r="K20" s="423">
        <v>22</v>
      </c>
      <c r="L20" s="424">
        <f t="shared" si="2"/>
        <v>3814.7999999999997</v>
      </c>
      <c r="M20" s="407">
        <f t="shared" si="3"/>
        <v>4.301122481766301</v>
      </c>
      <c r="N20" s="424">
        <f t="shared" si="4"/>
        <v>1135.4963351863034</v>
      </c>
      <c r="O20" s="407">
        <f t="shared" si="5"/>
        <v>7.0000000000000007E-2</v>
      </c>
      <c r="P20" s="407">
        <f t="shared" si="6"/>
        <v>14.52</v>
      </c>
    </row>
    <row r="21" spans="1:16">
      <c r="A21" s="451">
        <f t="shared" si="0"/>
        <v>13</v>
      </c>
      <c r="B21" s="253" t="s">
        <v>925</v>
      </c>
      <c r="C21" s="410" t="str">
        <f>+C20</f>
        <v>Mercury Vapor</v>
      </c>
      <c r="D21" s="411">
        <v>100</v>
      </c>
      <c r="E21" s="406">
        <v>0</v>
      </c>
      <c r="F21" s="407">
        <v>0</v>
      </c>
      <c r="G21" s="407">
        <v>0.55077172887297743</v>
      </c>
      <c r="H21" s="407">
        <v>1.0094287143331344</v>
      </c>
      <c r="I21" s="407">
        <v>1.5272758207108545</v>
      </c>
      <c r="J21" s="407">
        <f t="shared" si="1"/>
        <v>3.09</v>
      </c>
      <c r="K21" s="423">
        <v>1</v>
      </c>
      <c r="L21" s="424">
        <f t="shared" si="2"/>
        <v>37.08</v>
      </c>
      <c r="M21" s="407">
        <f t="shared" si="3"/>
        <v>0.55077172887297743</v>
      </c>
      <c r="N21" s="424">
        <f t="shared" si="4"/>
        <v>6.6092607464757291</v>
      </c>
      <c r="O21" s="407">
        <f t="shared" si="5"/>
        <v>0.01</v>
      </c>
      <c r="P21" s="407">
        <f t="shared" si="6"/>
        <v>3.0999999999999996</v>
      </c>
    </row>
    <row r="22" spans="1:16">
      <c r="A22" s="451">
        <f t="shared" si="0"/>
        <v>14</v>
      </c>
      <c r="B22" s="253" t="str">
        <f t="shared" ref="B22:C24" si="7">+B21</f>
        <v>50E-B</v>
      </c>
      <c r="C22" s="410" t="str">
        <f t="shared" si="7"/>
        <v>Mercury Vapor</v>
      </c>
      <c r="D22" s="411">
        <v>175</v>
      </c>
      <c r="E22" s="406">
        <v>0</v>
      </c>
      <c r="F22" s="407">
        <v>0</v>
      </c>
      <c r="G22" s="407">
        <v>0.96385052552771056</v>
      </c>
      <c r="H22" s="407">
        <v>1.7665002500829854</v>
      </c>
      <c r="I22" s="407">
        <v>2.6727326862439953</v>
      </c>
      <c r="J22" s="407">
        <f t="shared" si="1"/>
        <v>5.4</v>
      </c>
      <c r="K22" s="423">
        <v>36</v>
      </c>
      <c r="L22" s="424">
        <f t="shared" si="2"/>
        <v>2332.8000000000002</v>
      </c>
      <c r="M22" s="407">
        <f t="shared" si="3"/>
        <v>0.96385052552771056</v>
      </c>
      <c r="N22" s="424">
        <f t="shared" si="4"/>
        <v>416.38342702797098</v>
      </c>
      <c r="O22" s="407">
        <f t="shared" si="5"/>
        <v>0.01</v>
      </c>
      <c r="P22" s="407">
        <f t="shared" si="6"/>
        <v>5.41</v>
      </c>
    </row>
    <row r="23" spans="1:16">
      <c r="A23" s="451">
        <f t="shared" si="0"/>
        <v>15</v>
      </c>
      <c r="B23" s="253" t="str">
        <f t="shared" si="7"/>
        <v>50E-B</v>
      </c>
      <c r="C23" s="410" t="str">
        <f t="shared" si="7"/>
        <v>Mercury Vapor</v>
      </c>
      <c r="D23" s="411">
        <v>400</v>
      </c>
      <c r="E23" s="406">
        <v>0</v>
      </c>
      <c r="F23" s="407">
        <v>0</v>
      </c>
      <c r="G23" s="407">
        <v>2.2030869154919097</v>
      </c>
      <c r="H23" s="407">
        <v>4.0377148573325377</v>
      </c>
      <c r="I23" s="407">
        <v>6.1091032828434182</v>
      </c>
      <c r="J23" s="407">
        <f t="shared" si="1"/>
        <v>12.35</v>
      </c>
      <c r="K23" s="423">
        <v>44</v>
      </c>
      <c r="L23" s="424">
        <f t="shared" si="2"/>
        <v>6520.7999999999993</v>
      </c>
      <c r="M23" s="407">
        <f t="shared" si="3"/>
        <v>2.2030869154919097</v>
      </c>
      <c r="N23" s="424">
        <f t="shared" si="4"/>
        <v>1163.2298913797283</v>
      </c>
      <c r="O23" s="407">
        <f t="shared" si="5"/>
        <v>0.03</v>
      </c>
      <c r="P23" s="407">
        <f t="shared" si="6"/>
        <v>12.379999999999999</v>
      </c>
    </row>
    <row r="24" spans="1:16">
      <c r="A24" s="451">
        <f t="shared" si="0"/>
        <v>16</v>
      </c>
      <c r="B24" s="253" t="str">
        <f t="shared" si="7"/>
        <v>50E-B</v>
      </c>
      <c r="C24" s="410" t="str">
        <f t="shared" si="7"/>
        <v>Mercury Vapor</v>
      </c>
      <c r="D24" s="411">
        <v>700</v>
      </c>
      <c r="E24" s="406">
        <v>0</v>
      </c>
      <c r="F24" s="407">
        <v>0</v>
      </c>
      <c r="G24" s="407">
        <v>3.8554021021108422</v>
      </c>
      <c r="H24" s="407">
        <v>7.0660010003319416</v>
      </c>
      <c r="I24" s="407">
        <v>10.690930744975981</v>
      </c>
      <c r="J24" s="407">
        <f t="shared" si="1"/>
        <v>21.61</v>
      </c>
      <c r="K24" s="423">
        <v>0</v>
      </c>
      <c r="L24" s="424">
        <f t="shared" si="2"/>
        <v>0</v>
      </c>
      <c r="M24" s="407">
        <f t="shared" si="3"/>
        <v>3.8554021021108422</v>
      </c>
      <c r="N24" s="424">
        <f t="shared" si="4"/>
        <v>0</v>
      </c>
      <c r="O24" s="407">
        <f t="shared" si="5"/>
        <v>0.06</v>
      </c>
      <c r="P24" s="407">
        <f t="shared" si="6"/>
        <v>21.669999999999998</v>
      </c>
    </row>
    <row r="25" spans="1:16">
      <c r="A25" s="451">
        <f t="shared" si="0"/>
        <v>17</v>
      </c>
      <c r="B25" s="412"/>
      <c r="C25" s="413"/>
      <c r="D25" s="403"/>
      <c r="E25" s="406"/>
      <c r="F25" s="404"/>
      <c r="G25" s="404"/>
      <c r="H25" s="404"/>
      <c r="I25" s="404"/>
      <c r="J25" s="404"/>
      <c r="K25" s="423"/>
      <c r="L25" s="404"/>
      <c r="M25" s="404"/>
      <c r="N25" s="404"/>
      <c r="O25" s="404"/>
      <c r="P25" s="404"/>
    </row>
    <row r="26" spans="1:16">
      <c r="A26" s="451">
        <f t="shared" si="0"/>
        <v>18</v>
      </c>
      <c r="B26" s="412" t="s">
        <v>926</v>
      </c>
      <c r="C26" s="413"/>
      <c r="D26" s="403"/>
      <c r="E26" s="406"/>
      <c r="F26" s="404"/>
      <c r="G26" s="404"/>
      <c r="H26" s="404"/>
      <c r="I26" s="404"/>
      <c r="J26" s="404"/>
      <c r="K26" s="423"/>
      <c r="L26" s="404"/>
      <c r="M26" s="404"/>
      <c r="N26" s="404"/>
      <c r="O26" s="404"/>
      <c r="P26" s="404"/>
    </row>
    <row r="27" spans="1:16">
      <c r="A27" s="451">
        <f t="shared" si="0"/>
        <v>19</v>
      </c>
      <c r="B27" s="253" t="s">
        <v>927</v>
      </c>
      <c r="C27" s="414" t="s">
        <v>928</v>
      </c>
      <c r="D27" s="415" t="s">
        <v>929</v>
      </c>
      <c r="E27" s="406">
        <v>0</v>
      </c>
      <c r="F27" s="407">
        <v>0</v>
      </c>
      <c r="G27" s="407">
        <v>0.24784727799283984</v>
      </c>
      <c r="H27" s="407">
        <v>0.45424292144991052</v>
      </c>
      <c r="I27" s="407">
        <v>0.68727411931988447</v>
      </c>
      <c r="J27" s="407">
        <f t="shared" ref="J27:J35" si="8">ROUND(SUM(E27:I27),2)</f>
        <v>1.39</v>
      </c>
      <c r="K27" s="423">
        <v>542</v>
      </c>
      <c r="L27" s="424">
        <f t="shared" ref="L27:L35" si="9">+K27*J27*12</f>
        <v>9040.56</v>
      </c>
      <c r="M27" s="407">
        <f t="shared" ref="M27:M35" si="10">SUM(E27:G27)</f>
        <v>0.24784727799283984</v>
      </c>
      <c r="N27" s="424">
        <f t="shared" ref="N27:N35" si="11">+M27*K27*12</f>
        <v>1611.9986960654305</v>
      </c>
      <c r="O27" s="407">
        <f t="shared" ref="O27:O35" si="12">ROUND(M27*$N$13,2)</f>
        <v>0</v>
      </c>
      <c r="P27" s="407">
        <f t="shared" ref="P27:P35" si="13">+O27+J27</f>
        <v>1.39</v>
      </c>
    </row>
    <row r="28" spans="1:16">
      <c r="A28" s="451">
        <f t="shared" si="0"/>
        <v>20</v>
      </c>
      <c r="B28" s="253" t="s">
        <v>927</v>
      </c>
      <c r="C28" s="414" t="s">
        <v>928</v>
      </c>
      <c r="D28" s="415" t="s">
        <v>930</v>
      </c>
      <c r="E28" s="406">
        <v>0</v>
      </c>
      <c r="F28" s="407">
        <v>0</v>
      </c>
      <c r="G28" s="407">
        <v>0.41307879665473307</v>
      </c>
      <c r="H28" s="407">
        <v>0.75707153574985075</v>
      </c>
      <c r="I28" s="407">
        <v>1.1454568655331407</v>
      </c>
      <c r="J28" s="407">
        <f t="shared" si="8"/>
        <v>2.3199999999999998</v>
      </c>
      <c r="K28" s="423">
        <v>285</v>
      </c>
      <c r="L28" s="424">
        <f t="shared" si="9"/>
        <v>7934.4</v>
      </c>
      <c r="M28" s="407">
        <f t="shared" si="10"/>
        <v>0.41307879665473307</v>
      </c>
      <c r="N28" s="424">
        <f t="shared" si="11"/>
        <v>1412.7294845591871</v>
      </c>
      <c r="O28" s="407">
        <f t="shared" si="12"/>
        <v>0.01</v>
      </c>
      <c r="P28" s="407">
        <f t="shared" si="13"/>
        <v>2.3299999999999996</v>
      </c>
    </row>
    <row r="29" spans="1:16">
      <c r="A29" s="451">
        <f t="shared" si="0"/>
        <v>21</v>
      </c>
      <c r="B29" s="253" t="s">
        <v>927</v>
      </c>
      <c r="C29" s="414" t="s">
        <v>928</v>
      </c>
      <c r="D29" s="415" t="s">
        <v>931</v>
      </c>
      <c r="E29" s="406">
        <v>0</v>
      </c>
      <c r="F29" s="407">
        <v>0</v>
      </c>
      <c r="G29" s="407">
        <v>0.57831031531662636</v>
      </c>
      <c r="H29" s="407">
        <v>1.0599001500497911</v>
      </c>
      <c r="I29" s="407">
        <v>1.6036396117463971</v>
      </c>
      <c r="J29" s="407">
        <f t="shared" si="8"/>
        <v>3.24</v>
      </c>
      <c r="K29" s="423">
        <v>164</v>
      </c>
      <c r="L29" s="424">
        <f t="shared" si="9"/>
        <v>6376.32</v>
      </c>
      <c r="M29" s="407">
        <f t="shared" si="10"/>
        <v>0.57831031531662636</v>
      </c>
      <c r="N29" s="424">
        <f t="shared" si="11"/>
        <v>1138.1147005431208</v>
      </c>
      <c r="O29" s="407">
        <f t="shared" si="12"/>
        <v>0.01</v>
      </c>
      <c r="P29" s="407">
        <f t="shared" si="13"/>
        <v>3.25</v>
      </c>
    </row>
    <row r="30" spans="1:16">
      <c r="A30" s="451">
        <f t="shared" si="0"/>
        <v>22</v>
      </c>
      <c r="B30" s="253" t="s">
        <v>927</v>
      </c>
      <c r="C30" s="414" t="s">
        <v>928</v>
      </c>
      <c r="D30" s="415" t="s">
        <v>932</v>
      </c>
      <c r="E30" s="406">
        <v>0</v>
      </c>
      <c r="F30" s="407">
        <v>0</v>
      </c>
      <c r="G30" s="407">
        <v>0.74354183397851958</v>
      </c>
      <c r="H30" s="407">
        <v>1.3627287643497317</v>
      </c>
      <c r="I30" s="407">
        <v>2.0618223579596537</v>
      </c>
      <c r="J30" s="407">
        <f t="shared" si="8"/>
        <v>4.17</v>
      </c>
      <c r="K30" s="423">
        <v>98</v>
      </c>
      <c r="L30" s="424">
        <f t="shared" si="9"/>
        <v>4903.92</v>
      </c>
      <c r="M30" s="407">
        <f t="shared" si="10"/>
        <v>0.74354183397851958</v>
      </c>
      <c r="N30" s="424">
        <f t="shared" si="11"/>
        <v>874.40519675873907</v>
      </c>
      <c r="O30" s="407">
        <f t="shared" si="12"/>
        <v>0.01</v>
      </c>
      <c r="P30" s="407">
        <f t="shared" si="13"/>
        <v>4.18</v>
      </c>
    </row>
    <row r="31" spans="1:16">
      <c r="A31" s="451">
        <f t="shared" si="0"/>
        <v>23</v>
      </c>
      <c r="B31" s="253" t="s">
        <v>927</v>
      </c>
      <c r="C31" s="414" t="s">
        <v>928</v>
      </c>
      <c r="D31" s="415" t="s">
        <v>933</v>
      </c>
      <c r="E31" s="406">
        <v>0</v>
      </c>
      <c r="F31" s="407">
        <v>0</v>
      </c>
      <c r="G31" s="407">
        <v>0.90877335264041281</v>
      </c>
      <c r="H31" s="407">
        <v>1.6655573786496718</v>
      </c>
      <c r="I31" s="407">
        <v>2.5200051041729097</v>
      </c>
      <c r="J31" s="407">
        <f t="shared" si="8"/>
        <v>5.09</v>
      </c>
      <c r="K31" s="423">
        <v>16</v>
      </c>
      <c r="L31" s="424">
        <f t="shared" si="9"/>
        <v>977.28</v>
      </c>
      <c r="M31" s="407">
        <f t="shared" si="10"/>
        <v>0.90877335264041281</v>
      </c>
      <c r="N31" s="424">
        <f t="shared" si="11"/>
        <v>174.48448370695925</v>
      </c>
      <c r="O31" s="407">
        <f t="shared" si="12"/>
        <v>0.01</v>
      </c>
      <c r="P31" s="407">
        <f t="shared" si="13"/>
        <v>5.0999999999999996</v>
      </c>
    </row>
    <row r="32" spans="1:16">
      <c r="A32" s="451">
        <f t="shared" si="0"/>
        <v>24</v>
      </c>
      <c r="B32" s="253" t="s">
        <v>927</v>
      </c>
      <c r="C32" s="414" t="s">
        <v>928</v>
      </c>
      <c r="D32" s="415" t="s">
        <v>934</v>
      </c>
      <c r="E32" s="406">
        <v>0</v>
      </c>
      <c r="F32" s="407">
        <v>0</v>
      </c>
      <c r="G32" s="407">
        <v>1.074004871302306</v>
      </c>
      <c r="H32" s="407">
        <v>1.9683859929496124</v>
      </c>
      <c r="I32" s="407">
        <v>2.9781878503861661</v>
      </c>
      <c r="J32" s="407">
        <f t="shared" si="8"/>
        <v>6.02</v>
      </c>
      <c r="K32" s="423">
        <v>98</v>
      </c>
      <c r="L32" s="424">
        <f t="shared" si="9"/>
        <v>7079.5199999999986</v>
      </c>
      <c r="M32" s="407">
        <f t="shared" si="10"/>
        <v>1.074004871302306</v>
      </c>
      <c r="N32" s="424">
        <f t="shared" si="11"/>
        <v>1263.029728651512</v>
      </c>
      <c r="O32" s="407">
        <f t="shared" si="12"/>
        <v>0.02</v>
      </c>
      <c r="P32" s="407">
        <f t="shared" si="13"/>
        <v>6.0399999999999991</v>
      </c>
    </row>
    <row r="33" spans="1:16">
      <c r="A33" s="451">
        <f t="shared" si="0"/>
        <v>25</v>
      </c>
      <c r="B33" s="253" t="s">
        <v>927</v>
      </c>
      <c r="C33" s="414" t="s">
        <v>928</v>
      </c>
      <c r="D33" s="415" t="s">
        <v>935</v>
      </c>
      <c r="E33" s="406">
        <v>0</v>
      </c>
      <c r="F33" s="407">
        <v>0</v>
      </c>
      <c r="G33" s="407">
        <v>1.2392363899641992</v>
      </c>
      <c r="H33" s="407">
        <v>2.2712146072495525</v>
      </c>
      <c r="I33" s="407">
        <v>3.4363705965994225</v>
      </c>
      <c r="J33" s="407">
        <f t="shared" si="8"/>
        <v>6.95</v>
      </c>
      <c r="K33" s="423">
        <v>0</v>
      </c>
      <c r="L33" s="424">
        <f t="shared" si="9"/>
        <v>0</v>
      </c>
      <c r="M33" s="407">
        <f t="shared" si="10"/>
        <v>1.2392363899641992</v>
      </c>
      <c r="N33" s="424">
        <f t="shared" si="11"/>
        <v>0</v>
      </c>
      <c r="O33" s="407">
        <f t="shared" si="12"/>
        <v>0.02</v>
      </c>
      <c r="P33" s="407">
        <f t="shared" si="13"/>
        <v>6.97</v>
      </c>
    </row>
    <row r="34" spans="1:16">
      <c r="A34" s="451">
        <f t="shared" si="0"/>
        <v>26</v>
      </c>
      <c r="B34" s="253" t="s">
        <v>927</v>
      </c>
      <c r="C34" s="414" t="s">
        <v>928</v>
      </c>
      <c r="D34" s="415" t="s">
        <v>936</v>
      </c>
      <c r="E34" s="406">
        <v>0</v>
      </c>
      <c r="F34" s="407">
        <v>0</v>
      </c>
      <c r="G34" s="407">
        <v>1.4044679086260925</v>
      </c>
      <c r="H34" s="407">
        <v>2.5740432215494931</v>
      </c>
      <c r="I34" s="407">
        <v>3.8945533428126788</v>
      </c>
      <c r="J34" s="407">
        <f t="shared" si="8"/>
        <v>7.87</v>
      </c>
      <c r="K34" s="423">
        <v>21</v>
      </c>
      <c r="L34" s="424">
        <f t="shared" si="9"/>
        <v>1983.2400000000002</v>
      </c>
      <c r="M34" s="407">
        <f t="shared" si="10"/>
        <v>1.4044679086260925</v>
      </c>
      <c r="N34" s="424">
        <f t="shared" si="11"/>
        <v>353.92591297377533</v>
      </c>
      <c r="O34" s="407">
        <f t="shared" si="12"/>
        <v>0.02</v>
      </c>
      <c r="P34" s="407">
        <f t="shared" si="13"/>
        <v>7.89</v>
      </c>
    </row>
    <row r="35" spans="1:16">
      <c r="A35" s="451">
        <f t="shared" si="0"/>
        <v>27</v>
      </c>
      <c r="B35" s="253" t="s">
        <v>927</v>
      </c>
      <c r="C35" s="414" t="s">
        <v>928</v>
      </c>
      <c r="D35" s="415" t="s">
        <v>937</v>
      </c>
      <c r="E35" s="406">
        <v>0</v>
      </c>
      <c r="F35" s="407">
        <v>0</v>
      </c>
      <c r="G35" s="407">
        <v>1.5696994272879856</v>
      </c>
      <c r="H35" s="407">
        <v>2.8768718358494336</v>
      </c>
      <c r="I35" s="407">
        <v>4.3527360890259352</v>
      </c>
      <c r="J35" s="407">
        <f t="shared" si="8"/>
        <v>8.8000000000000007</v>
      </c>
      <c r="K35" s="423">
        <v>17</v>
      </c>
      <c r="L35" s="424">
        <f t="shared" si="9"/>
        <v>1795.2000000000003</v>
      </c>
      <c r="M35" s="407">
        <f t="shared" si="10"/>
        <v>1.5696994272879856</v>
      </c>
      <c r="N35" s="424">
        <f t="shared" si="11"/>
        <v>320.21868316674909</v>
      </c>
      <c r="O35" s="407">
        <f t="shared" si="12"/>
        <v>0.02</v>
      </c>
      <c r="P35" s="407">
        <f t="shared" si="13"/>
        <v>8.82</v>
      </c>
    </row>
    <row r="36" spans="1:16">
      <c r="A36" s="451">
        <f t="shared" si="0"/>
        <v>28</v>
      </c>
      <c r="B36" s="412"/>
      <c r="C36" s="250"/>
      <c r="D36" s="403"/>
      <c r="E36" s="406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</row>
    <row r="37" spans="1:16">
      <c r="A37" s="451">
        <f t="shared" si="0"/>
        <v>29</v>
      </c>
      <c r="B37" s="412" t="s">
        <v>938</v>
      </c>
      <c r="C37" s="250"/>
      <c r="D37" s="403"/>
      <c r="E37" s="406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</row>
    <row r="38" spans="1:16">
      <c r="A38" s="451">
        <f t="shared" si="0"/>
        <v>30</v>
      </c>
      <c r="B38" s="253" t="s">
        <v>939</v>
      </c>
      <c r="C38" s="416" t="s">
        <v>940</v>
      </c>
      <c r="D38" s="417">
        <v>50</v>
      </c>
      <c r="E38" s="406">
        <v>0</v>
      </c>
      <c r="F38" s="407">
        <v>0</v>
      </c>
      <c r="G38" s="407">
        <v>0.27538586443648871</v>
      </c>
      <c r="H38" s="407">
        <v>0.50471435716656721</v>
      </c>
      <c r="I38" s="407">
        <v>0.76363791035542727</v>
      </c>
      <c r="J38" s="407">
        <f t="shared" ref="J38:J53" si="14">ROUND(SUM(E38:I38),2)</f>
        <v>1.54</v>
      </c>
      <c r="K38" s="423">
        <v>0</v>
      </c>
      <c r="L38" s="424">
        <f t="shared" ref="L38:L45" si="15">+K38*J38*12</f>
        <v>0</v>
      </c>
      <c r="M38" s="407">
        <f t="shared" ref="M38:M45" si="16">SUM(E38:G38)</f>
        <v>0.27538586443648871</v>
      </c>
      <c r="N38" s="424">
        <f t="shared" ref="N38:N45" si="17">+M38*K38*12</f>
        <v>0</v>
      </c>
      <c r="O38" s="407">
        <f t="shared" ref="O38:O45" si="18">ROUND(M38*$N$13,2)</f>
        <v>0</v>
      </c>
      <c r="P38" s="407">
        <f t="shared" ref="P38:P45" si="19">+O38+J38</f>
        <v>1.54</v>
      </c>
    </row>
    <row r="39" spans="1:16">
      <c r="A39" s="451">
        <f t="shared" si="0"/>
        <v>31</v>
      </c>
      <c r="B39" s="253" t="str">
        <f t="shared" ref="B39:B45" si="20">+B38</f>
        <v xml:space="preserve">52E </v>
      </c>
      <c r="C39" s="416" t="s">
        <v>940</v>
      </c>
      <c r="D39" s="417">
        <v>70</v>
      </c>
      <c r="E39" s="406">
        <v>0</v>
      </c>
      <c r="F39" s="407">
        <v>0</v>
      </c>
      <c r="G39" s="407">
        <v>0.3855402102110842</v>
      </c>
      <c r="H39" s="407">
        <v>0.70660010003319418</v>
      </c>
      <c r="I39" s="407">
        <v>1.0690930744975982</v>
      </c>
      <c r="J39" s="407">
        <f t="shared" si="14"/>
        <v>2.16</v>
      </c>
      <c r="K39" s="423">
        <v>713</v>
      </c>
      <c r="L39" s="424">
        <f t="shared" si="15"/>
        <v>18480.960000000003</v>
      </c>
      <c r="M39" s="407">
        <f t="shared" si="16"/>
        <v>0.3855402102110842</v>
      </c>
      <c r="N39" s="424">
        <f t="shared" si="17"/>
        <v>3298.6820385660367</v>
      </c>
      <c r="O39" s="407">
        <f t="shared" si="18"/>
        <v>0.01</v>
      </c>
      <c r="P39" s="407">
        <f t="shared" si="19"/>
        <v>2.17</v>
      </c>
    </row>
    <row r="40" spans="1:16">
      <c r="A40" s="451">
        <f t="shared" si="0"/>
        <v>32</v>
      </c>
      <c r="B40" s="253" t="str">
        <f t="shared" si="20"/>
        <v xml:space="preserve">52E </v>
      </c>
      <c r="C40" s="416" t="s">
        <v>940</v>
      </c>
      <c r="D40" s="417">
        <v>100</v>
      </c>
      <c r="E40" s="406">
        <v>0</v>
      </c>
      <c r="F40" s="407">
        <v>0</v>
      </c>
      <c r="G40" s="407">
        <v>0.55077172887297743</v>
      </c>
      <c r="H40" s="407">
        <v>1.0094287143331344</v>
      </c>
      <c r="I40" s="407">
        <v>1.5272758207108545</v>
      </c>
      <c r="J40" s="407">
        <f t="shared" si="14"/>
        <v>3.09</v>
      </c>
      <c r="K40" s="423">
        <v>10587</v>
      </c>
      <c r="L40" s="424">
        <f t="shared" si="15"/>
        <v>392565.95999999996</v>
      </c>
      <c r="M40" s="407">
        <f t="shared" si="16"/>
        <v>0.55077172887297743</v>
      </c>
      <c r="N40" s="424">
        <f t="shared" si="17"/>
        <v>69972.243522938545</v>
      </c>
      <c r="O40" s="407">
        <f t="shared" si="18"/>
        <v>0.01</v>
      </c>
      <c r="P40" s="407">
        <f t="shared" si="19"/>
        <v>3.0999999999999996</v>
      </c>
    </row>
    <row r="41" spans="1:16">
      <c r="A41" s="451">
        <f t="shared" si="0"/>
        <v>33</v>
      </c>
      <c r="B41" s="253" t="str">
        <f t="shared" si="20"/>
        <v xml:space="preserve">52E </v>
      </c>
      <c r="C41" s="416" t="s">
        <v>940</v>
      </c>
      <c r="D41" s="417">
        <v>150</v>
      </c>
      <c r="E41" s="406">
        <v>0</v>
      </c>
      <c r="F41" s="407">
        <v>0</v>
      </c>
      <c r="G41" s="407">
        <v>0.82615759330946614</v>
      </c>
      <c r="H41" s="407">
        <v>1.5141430714997015</v>
      </c>
      <c r="I41" s="407">
        <v>2.2909137310662815</v>
      </c>
      <c r="J41" s="407">
        <f t="shared" si="14"/>
        <v>4.63</v>
      </c>
      <c r="K41" s="423">
        <v>4812</v>
      </c>
      <c r="L41" s="424">
        <f t="shared" si="15"/>
        <v>267354.71999999997</v>
      </c>
      <c r="M41" s="407">
        <f t="shared" si="16"/>
        <v>0.82615759330946614</v>
      </c>
      <c r="N41" s="424">
        <f t="shared" si="17"/>
        <v>47705.644068061811</v>
      </c>
      <c r="O41" s="407">
        <f t="shared" si="18"/>
        <v>0.01</v>
      </c>
      <c r="P41" s="407">
        <f t="shared" si="19"/>
        <v>4.6399999999999997</v>
      </c>
    </row>
    <row r="42" spans="1:16">
      <c r="A42" s="451">
        <f t="shared" si="0"/>
        <v>34</v>
      </c>
      <c r="B42" s="253" t="str">
        <f t="shared" si="20"/>
        <v xml:space="preserve">52E </v>
      </c>
      <c r="C42" s="416" t="s">
        <v>940</v>
      </c>
      <c r="D42" s="417">
        <v>200</v>
      </c>
      <c r="E42" s="406">
        <v>0</v>
      </c>
      <c r="F42" s="407">
        <v>0</v>
      </c>
      <c r="G42" s="407">
        <v>1.1015434577459549</v>
      </c>
      <c r="H42" s="407">
        <v>2.0188574286662688</v>
      </c>
      <c r="I42" s="407">
        <v>3.0545516414217091</v>
      </c>
      <c r="J42" s="407">
        <f t="shared" si="14"/>
        <v>6.17</v>
      </c>
      <c r="K42" s="423">
        <v>1157</v>
      </c>
      <c r="L42" s="424">
        <f t="shared" si="15"/>
        <v>85664.28</v>
      </c>
      <c r="M42" s="407">
        <f t="shared" si="16"/>
        <v>1.1015434577459549</v>
      </c>
      <c r="N42" s="424">
        <f t="shared" si="17"/>
        <v>15293.829367344835</v>
      </c>
      <c r="O42" s="407">
        <f t="shared" si="18"/>
        <v>0.02</v>
      </c>
      <c r="P42" s="407">
        <f t="shared" si="19"/>
        <v>6.1899999999999995</v>
      </c>
    </row>
    <row r="43" spans="1:16">
      <c r="A43" s="451">
        <f t="shared" si="0"/>
        <v>35</v>
      </c>
      <c r="B43" s="253" t="str">
        <f t="shared" si="20"/>
        <v xml:space="preserve">52E </v>
      </c>
      <c r="C43" s="416" t="s">
        <v>940</v>
      </c>
      <c r="D43" s="417">
        <v>250</v>
      </c>
      <c r="E43" s="406">
        <v>0</v>
      </c>
      <c r="F43" s="407">
        <v>0</v>
      </c>
      <c r="G43" s="407">
        <v>1.3769293221824437</v>
      </c>
      <c r="H43" s="407">
        <v>2.5235717858328361</v>
      </c>
      <c r="I43" s="407">
        <v>3.8181895517771363</v>
      </c>
      <c r="J43" s="407">
        <f t="shared" si="14"/>
        <v>7.72</v>
      </c>
      <c r="K43" s="423">
        <v>1495</v>
      </c>
      <c r="L43" s="424">
        <f t="shared" si="15"/>
        <v>138496.79999999999</v>
      </c>
      <c r="M43" s="407">
        <f t="shared" si="16"/>
        <v>1.3769293221824437</v>
      </c>
      <c r="N43" s="424">
        <f t="shared" si="17"/>
        <v>24702.112039953041</v>
      </c>
      <c r="O43" s="407">
        <f t="shared" si="18"/>
        <v>0.02</v>
      </c>
      <c r="P43" s="407">
        <f t="shared" si="19"/>
        <v>7.7399999999999993</v>
      </c>
    </row>
    <row r="44" spans="1:16">
      <c r="A44" s="451">
        <f t="shared" si="0"/>
        <v>36</v>
      </c>
      <c r="B44" s="253" t="str">
        <f t="shared" si="20"/>
        <v xml:space="preserve">52E </v>
      </c>
      <c r="C44" s="416" t="s">
        <v>940</v>
      </c>
      <c r="D44" s="417">
        <v>310</v>
      </c>
      <c r="E44" s="406">
        <v>0</v>
      </c>
      <c r="F44" s="407">
        <v>0</v>
      </c>
      <c r="G44" s="407">
        <v>1.7073923595062301</v>
      </c>
      <c r="H44" s="407">
        <v>3.1292290144327168</v>
      </c>
      <c r="I44" s="407">
        <v>4.734555044203649</v>
      </c>
      <c r="J44" s="407">
        <f t="shared" si="14"/>
        <v>9.57</v>
      </c>
      <c r="K44" s="423">
        <v>152</v>
      </c>
      <c r="L44" s="424">
        <f t="shared" si="15"/>
        <v>17455.68</v>
      </c>
      <c r="M44" s="407">
        <f t="shared" si="16"/>
        <v>1.7073923595062301</v>
      </c>
      <c r="N44" s="424">
        <f t="shared" si="17"/>
        <v>3114.2836637393639</v>
      </c>
      <c r="O44" s="407">
        <f t="shared" si="18"/>
        <v>0.03</v>
      </c>
      <c r="P44" s="407">
        <f t="shared" si="19"/>
        <v>9.6</v>
      </c>
    </row>
    <row r="45" spans="1:16">
      <c r="A45" s="451">
        <f t="shared" si="0"/>
        <v>37</v>
      </c>
      <c r="B45" s="253" t="str">
        <f t="shared" si="20"/>
        <v xml:space="preserve">52E </v>
      </c>
      <c r="C45" s="416" t="s">
        <v>940</v>
      </c>
      <c r="D45" s="417">
        <v>400</v>
      </c>
      <c r="E45" s="406">
        <v>0</v>
      </c>
      <c r="F45" s="407">
        <v>0</v>
      </c>
      <c r="G45" s="407">
        <v>2.2030869154919097</v>
      </c>
      <c r="H45" s="407">
        <v>4.0377148573325377</v>
      </c>
      <c r="I45" s="407">
        <v>6.1091032828434182</v>
      </c>
      <c r="J45" s="407">
        <f t="shared" si="14"/>
        <v>12.35</v>
      </c>
      <c r="K45" s="423">
        <v>611</v>
      </c>
      <c r="L45" s="424">
        <f t="shared" si="15"/>
        <v>90550.2</v>
      </c>
      <c r="M45" s="407">
        <f t="shared" si="16"/>
        <v>2.2030869154919097</v>
      </c>
      <c r="N45" s="424">
        <f t="shared" si="17"/>
        <v>16153.033264386682</v>
      </c>
      <c r="O45" s="407">
        <f t="shared" si="18"/>
        <v>0.03</v>
      </c>
      <c r="P45" s="407">
        <f t="shared" si="19"/>
        <v>12.379999999999999</v>
      </c>
    </row>
    <row r="46" spans="1:16">
      <c r="A46" s="451">
        <f t="shared" si="0"/>
        <v>38</v>
      </c>
      <c r="B46" s="252"/>
      <c r="C46" s="416"/>
      <c r="D46" s="417"/>
      <c r="E46" s="406"/>
      <c r="F46" s="404"/>
      <c r="G46" s="404"/>
      <c r="H46" s="404"/>
      <c r="I46" s="404"/>
      <c r="J46" s="404"/>
      <c r="K46" s="404"/>
      <c r="L46" s="404"/>
      <c r="M46" s="404"/>
      <c r="N46" s="404"/>
      <c r="O46" s="404"/>
      <c r="P46" s="404"/>
    </row>
    <row r="47" spans="1:16">
      <c r="A47" s="451">
        <f t="shared" si="0"/>
        <v>39</v>
      </c>
      <c r="B47" s="253" t="str">
        <f>+B42</f>
        <v xml:space="preserve">52E </v>
      </c>
      <c r="C47" s="416" t="s">
        <v>941</v>
      </c>
      <c r="D47" s="417">
        <v>70</v>
      </c>
      <c r="E47" s="406">
        <v>0</v>
      </c>
      <c r="F47" s="407">
        <v>0</v>
      </c>
      <c r="G47" s="407">
        <v>0.3855402102110842</v>
      </c>
      <c r="H47" s="407">
        <v>0.70660010003319418</v>
      </c>
      <c r="I47" s="407">
        <v>1.0690930744975982</v>
      </c>
      <c r="J47" s="407">
        <f t="shared" si="14"/>
        <v>2.16</v>
      </c>
      <c r="K47" s="423">
        <v>65</v>
      </c>
      <c r="L47" s="424">
        <f t="shared" ref="L47:L53" si="21">+K47*J47*12</f>
        <v>1684.8000000000002</v>
      </c>
      <c r="M47" s="407">
        <f t="shared" ref="M47:M53" si="22">SUM(E47:G47)</f>
        <v>0.3855402102110842</v>
      </c>
      <c r="N47" s="424">
        <f t="shared" ref="N47:N53" si="23">+M47*K47*12</f>
        <v>300.72136396464566</v>
      </c>
      <c r="O47" s="407">
        <f t="shared" ref="O47:O53" si="24">ROUND(M47*$N$13,2)</f>
        <v>0.01</v>
      </c>
      <c r="P47" s="407">
        <f t="shared" ref="P47:P53" si="25">+O47+J47</f>
        <v>2.17</v>
      </c>
    </row>
    <row r="48" spans="1:16">
      <c r="A48" s="451">
        <f t="shared" si="0"/>
        <v>40</v>
      </c>
      <c r="B48" s="253" t="str">
        <f>+B43</f>
        <v xml:space="preserve">52E </v>
      </c>
      <c r="C48" s="416" t="s">
        <v>941</v>
      </c>
      <c r="D48" s="417">
        <v>100</v>
      </c>
      <c r="E48" s="406">
        <v>0</v>
      </c>
      <c r="F48" s="407">
        <v>0</v>
      </c>
      <c r="G48" s="407">
        <v>0.55077172887297743</v>
      </c>
      <c r="H48" s="407">
        <v>1.0094287143331344</v>
      </c>
      <c r="I48" s="407">
        <v>1.5272758207108545</v>
      </c>
      <c r="J48" s="407">
        <f t="shared" si="14"/>
        <v>3.09</v>
      </c>
      <c r="K48" s="423">
        <v>4</v>
      </c>
      <c r="L48" s="424">
        <f t="shared" si="21"/>
        <v>148.32</v>
      </c>
      <c r="M48" s="407">
        <f t="shared" si="22"/>
        <v>0.55077172887297743</v>
      </c>
      <c r="N48" s="424">
        <f t="shared" si="23"/>
        <v>26.437042985902917</v>
      </c>
      <c r="O48" s="407">
        <f t="shared" si="24"/>
        <v>0.01</v>
      </c>
      <c r="P48" s="407">
        <f t="shared" si="25"/>
        <v>3.0999999999999996</v>
      </c>
    </row>
    <row r="49" spans="1:16">
      <c r="A49" s="451">
        <f t="shared" si="0"/>
        <v>41</v>
      </c>
      <c r="B49" s="253" t="str">
        <f>+B44</f>
        <v xml:space="preserve">52E </v>
      </c>
      <c r="C49" s="416" t="s">
        <v>941</v>
      </c>
      <c r="D49" s="417">
        <v>150</v>
      </c>
      <c r="E49" s="406">
        <v>0</v>
      </c>
      <c r="F49" s="407">
        <v>0</v>
      </c>
      <c r="G49" s="407">
        <v>0.82615759330946614</v>
      </c>
      <c r="H49" s="407">
        <v>1.5141430714997015</v>
      </c>
      <c r="I49" s="407">
        <v>2.2909137310662815</v>
      </c>
      <c r="J49" s="407">
        <f t="shared" si="14"/>
        <v>4.63</v>
      </c>
      <c r="K49" s="423">
        <v>204</v>
      </c>
      <c r="L49" s="424">
        <f t="shared" si="21"/>
        <v>11334.24</v>
      </c>
      <c r="M49" s="407">
        <f t="shared" si="22"/>
        <v>0.82615759330946614</v>
      </c>
      <c r="N49" s="424">
        <f t="shared" si="23"/>
        <v>2022.4337884215734</v>
      </c>
      <c r="O49" s="407">
        <f t="shared" si="24"/>
        <v>0.01</v>
      </c>
      <c r="P49" s="407">
        <f t="shared" si="25"/>
        <v>4.6399999999999997</v>
      </c>
    </row>
    <row r="50" spans="1:16">
      <c r="A50" s="451">
        <f t="shared" si="0"/>
        <v>42</v>
      </c>
      <c r="B50" s="253" t="str">
        <f>+B45</f>
        <v xml:space="preserve">52E </v>
      </c>
      <c r="C50" s="416" t="s">
        <v>941</v>
      </c>
      <c r="D50" s="417">
        <v>175</v>
      </c>
      <c r="E50" s="406">
        <v>0</v>
      </c>
      <c r="F50" s="407">
        <v>0</v>
      </c>
      <c r="G50" s="407">
        <v>0.96385052552771056</v>
      </c>
      <c r="H50" s="407">
        <v>1.7665002500829854</v>
      </c>
      <c r="I50" s="407">
        <v>2.6727326862439953</v>
      </c>
      <c r="J50" s="407">
        <f t="shared" si="14"/>
        <v>5.4</v>
      </c>
      <c r="K50" s="423">
        <v>222</v>
      </c>
      <c r="L50" s="424">
        <f t="shared" si="21"/>
        <v>14385.600000000002</v>
      </c>
      <c r="M50" s="407">
        <f t="shared" si="22"/>
        <v>0.96385052552771056</v>
      </c>
      <c r="N50" s="424">
        <f t="shared" si="23"/>
        <v>2567.6978000058207</v>
      </c>
      <c r="O50" s="407">
        <f t="shared" si="24"/>
        <v>0.01</v>
      </c>
      <c r="P50" s="407">
        <f t="shared" si="25"/>
        <v>5.41</v>
      </c>
    </row>
    <row r="51" spans="1:16">
      <c r="A51" s="451">
        <f t="shared" si="0"/>
        <v>43</v>
      </c>
      <c r="B51" s="253" t="str">
        <f t="shared" ref="B51:C53" si="26">+B50</f>
        <v xml:space="preserve">52E </v>
      </c>
      <c r="C51" s="416" t="str">
        <f t="shared" si="26"/>
        <v>Metal Halide</v>
      </c>
      <c r="D51" s="417">
        <v>250</v>
      </c>
      <c r="E51" s="406">
        <v>0</v>
      </c>
      <c r="F51" s="407">
        <v>0</v>
      </c>
      <c r="G51" s="407">
        <v>1.3769293221824437</v>
      </c>
      <c r="H51" s="407">
        <v>2.5235717858328361</v>
      </c>
      <c r="I51" s="407">
        <v>3.8181895517771363</v>
      </c>
      <c r="J51" s="407">
        <f t="shared" si="14"/>
        <v>7.72</v>
      </c>
      <c r="K51" s="423">
        <v>61</v>
      </c>
      <c r="L51" s="424">
        <f t="shared" si="21"/>
        <v>5651.0399999999991</v>
      </c>
      <c r="M51" s="407">
        <f t="shared" si="22"/>
        <v>1.3769293221824437</v>
      </c>
      <c r="N51" s="424">
        <f t="shared" si="23"/>
        <v>1007.9122638375488</v>
      </c>
      <c r="O51" s="407">
        <f t="shared" si="24"/>
        <v>0.02</v>
      </c>
      <c r="P51" s="407">
        <f t="shared" si="25"/>
        <v>7.7399999999999993</v>
      </c>
    </row>
    <row r="52" spans="1:16">
      <c r="A52" s="451">
        <f t="shared" si="0"/>
        <v>44</v>
      </c>
      <c r="B52" s="253" t="str">
        <f t="shared" si="26"/>
        <v xml:space="preserve">52E </v>
      </c>
      <c r="C52" s="416" t="str">
        <f t="shared" si="26"/>
        <v>Metal Halide</v>
      </c>
      <c r="D52" s="417">
        <v>400</v>
      </c>
      <c r="E52" s="406">
        <v>0</v>
      </c>
      <c r="F52" s="407">
        <v>0</v>
      </c>
      <c r="G52" s="407">
        <v>2.2030869154919097</v>
      </c>
      <c r="H52" s="407">
        <v>4.0377148573325377</v>
      </c>
      <c r="I52" s="407">
        <v>6.1091032828434182</v>
      </c>
      <c r="J52" s="407">
        <f t="shared" si="14"/>
        <v>12.35</v>
      </c>
      <c r="K52" s="423">
        <v>60</v>
      </c>
      <c r="L52" s="424">
        <f t="shared" si="21"/>
        <v>8892</v>
      </c>
      <c r="M52" s="407">
        <f t="shared" si="22"/>
        <v>2.2030869154919097</v>
      </c>
      <c r="N52" s="424">
        <f t="shared" si="23"/>
        <v>1586.222579154175</v>
      </c>
      <c r="O52" s="407">
        <f t="shared" si="24"/>
        <v>0.03</v>
      </c>
      <c r="P52" s="407">
        <f t="shared" si="25"/>
        <v>12.379999999999999</v>
      </c>
    </row>
    <row r="53" spans="1:16">
      <c r="A53" s="451">
        <f t="shared" si="0"/>
        <v>45</v>
      </c>
      <c r="B53" s="253" t="str">
        <f t="shared" si="26"/>
        <v xml:space="preserve">52E </v>
      </c>
      <c r="C53" s="416" t="str">
        <f t="shared" si="26"/>
        <v>Metal Halide</v>
      </c>
      <c r="D53" s="417">
        <v>1000</v>
      </c>
      <c r="E53" s="406">
        <v>0</v>
      </c>
      <c r="F53" s="407">
        <v>0</v>
      </c>
      <c r="G53" s="407">
        <v>5.5077172887297747</v>
      </c>
      <c r="H53" s="407">
        <v>10.094287143331345</v>
      </c>
      <c r="I53" s="407">
        <v>15.272758207108545</v>
      </c>
      <c r="J53" s="407">
        <f t="shared" si="14"/>
        <v>30.87</v>
      </c>
      <c r="K53" s="423">
        <v>18</v>
      </c>
      <c r="L53" s="424">
        <f t="shared" si="21"/>
        <v>6667.92</v>
      </c>
      <c r="M53" s="407">
        <f t="shared" si="22"/>
        <v>5.5077172887297747</v>
      </c>
      <c r="N53" s="424">
        <f t="shared" si="23"/>
        <v>1189.6669343656313</v>
      </c>
      <c r="O53" s="407">
        <f t="shared" si="24"/>
        <v>0.08</v>
      </c>
      <c r="P53" s="407">
        <f t="shared" si="25"/>
        <v>30.95</v>
      </c>
    </row>
    <row r="54" spans="1:16">
      <c r="A54" s="451">
        <f t="shared" si="0"/>
        <v>46</v>
      </c>
      <c r="B54" s="412"/>
      <c r="C54" s="250"/>
      <c r="D54" s="403"/>
      <c r="E54" s="406"/>
      <c r="F54" s="404"/>
      <c r="G54" s="404"/>
      <c r="H54" s="404"/>
      <c r="I54" s="404"/>
      <c r="J54" s="404"/>
      <c r="K54" s="404"/>
      <c r="L54" s="404"/>
      <c r="M54" s="404"/>
      <c r="N54" s="404"/>
      <c r="O54" s="404"/>
      <c r="P54" s="404"/>
    </row>
    <row r="55" spans="1:16">
      <c r="A55" s="451">
        <f t="shared" si="0"/>
        <v>47</v>
      </c>
      <c r="B55" s="412" t="s">
        <v>942</v>
      </c>
      <c r="C55" s="250"/>
      <c r="D55" s="403"/>
      <c r="E55" s="406"/>
      <c r="F55" s="404"/>
      <c r="G55" s="404"/>
      <c r="H55" s="404"/>
      <c r="I55" s="404"/>
      <c r="J55" s="404"/>
      <c r="K55" s="404"/>
      <c r="L55" s="404"/>
      <c r="M55" s="404"/>
      <c r="N55" s="404"/>
      <c r="O55" s="404"/>
      <c r="P55" s="404"/>
    </row>
    <row r="56" spans="1:16">
      <c r="A56" s="451">
        <f t="shared" si="0"/>
        <v>48</v>
      </c>
      <c r="B56" s="253" t="s">
        <v>943</v>
      </c>
      <c r="C56" s="416" t="s">
        <v>940</v>
      </c>
      <c r="D56" s="417">
        <v>50</v>
      </c>
      <c r="E56" s="406">
        <v>7.0750976925504272</v>
      </c>
      <c r="F56" s="407">
        <v>2.0980355662743908</v>
      </c>
      <c r="G56" s="407">
        <v>0.27538586443648871</v>
      </c>
      <c r="H56" s="407">
        <v>0.50471435716656721</v>
      </c>
      <c r="I56" s="407">
        <v>0.76363791035542727</v>
      </c>
      <c r="J56" s="407">
        <f t="shared" ref="J56:J107" si="27">ROUND(SUM(E56:I56),2)</f>
        <v>10.72</v>
      </c>
      <c r="K56" s="423">
        <v>8</v>
      </c>
      <c r="L56" s="424">
        <f t="shared" ref="L56:L64" si="28">+K56*J56*12</f>
        <v>1029.1200000000001</v>
      </c>
      <c r="M56" s="407">
        <f t="shared" ref="M56:M64" si="29">SUM(E56:G56)</f>
        <v>9.4485191232613062</v>
      </c>
      <c r="N56" s="424">
        <f t="shared" ref="N56:N64" si="30">+M56*K56*12</f>
        <v>907.05783583308539</v>
      </c>
      <c r="O56" s="407">
        <f t="shared" ref="O56:O64" si="31">ROUND(M56*$N$13,2)</f>
        <v>0.14000000000000001</v>
      </c>
      <c r="P56" s="407">
        <f t="shared" ref="P56:P64" si="32">+O56+J56</f>
        <v>10.860000000000001</v>
      </c>
    </row>
    <row r="57" spans="1:16">
      <c r="A57" s="451">
        <f t="shared" si="0"/>
        <v>49</v>
      </c>
      <c r="B57" s="253" t="str">
        <f t="shared" ref="B57:B64" si="33">+B56</f>
        <v>53E - Company Owned</v>
      </c>
      <c r="C57" s="416" t="s">
        <v>940</v>
      </c>
      <c r="D57" s="417">
        <v>70</v>
      </c>
      <c r="E57" s="406">
        <v>7.2431553304916019</v>
      </c>
      <c r="F57" s="407">
        <v>2.0980355662743908</v>
      </c>
      <c r="G57" s="407">
        <v>0.3855402102110842</v>
      </c>
      <c r="H57" s="407">
        <v>0.70660010003319418</v>
      </c>
      <c r="I57" s="407">
        <v>1.0690930744975982</v>
      </c>
      <c r="J57" s="407">
        <f t="shared" si="27"/>
        <v>11.5</v>
      </c>
      <c r="K57" s="423">
        <v>5846</v>
      </c>
      <c r="L57" s="424">
        <f t="shared" si="28"/>
        <v>806748</v>
      </c>
      <c r="M57" s="407">
        <f t="shared" si="29"/>
        <v>9.726731106977077</v>
      </c>
      <c r="N57" s="424">
        <f t="shared" si="30"/>
        <v>682349.64061665593</v>
      </c>
      <c r="O57" s="407">
        <f t="shared" si="31"/>
        <v>0.15</v>
      </c>
      <c r="P57" s="407">
        <f t="shared" si="32"/>
        <v>11.65</v>
      </c>
    </row>
    <row r="58" spans="1:16">
      <c r="A58" s="451">
        <f t="shared" si="0"/>
        <v>50</v>
      </c>
      <c r="B58" s="253" t="str">
        <f t="shared" si="33"/>
        <v>53E - Company Owned</v>
      </c>
      <c r="C58" s="416" t="s">
        <v>940</v>
      </c>
      <c r="D58" s="417">
        <v>100</v>
      </c>
      <c r="E58" s="406">
        <v>7.4952417874033648</v>
      </c>
      <c r="F58" s="407">
        <v>2.0980355662743908</v>
      </c>
      <c r="G58" s="407">
        <v>0.55077172887297743</v>
      </c>
      <c r="H58" s="407">
        <v>1.0094287143331344</v>
      </c>
      <c r="I58" s="407">
        <v>1.5272758207108545</v>
      </c>
      <c r="J58" s="407">
        <f t="shared" si="27"/>
        <v>12.68</v>
      </c>
      <c r="K58" s="423">
        <v>41723</v>
      </c>
      <c r="L58" s="424">
        <f t="shared" si="28"/>
        <v>6348571.6799999997</v>
      </c>
      <c r="M58" s="407">
        <f t="shared" si="29"/>
        <v>10.144049082550733</v>
      </c>
      <c r="N58" s="424">
        <f t="shared" si="30"/>
        <v>5078881.9184551705</v>
      </c>
      <c r="O58" s="407">
        <f t="shared" si="31"/>
        <v>0.16</v>
      </c>
      <c r="P58" s="407">
        <f t="shared" si="32"/>
        <v>12.84</v>
      </c>
    </row>
    <row r="59" spans="1:16">
      <c r="A59" s="451">
        <f t="shared" si="0"/>
        <v>51</v>
      </c>
      <c r="B59" s="253" t="str">
        <f t="shared" si="33"/>
        <v>53E - Company Owned</v>
      </c>
      <c r="C59" s="416" t="s">
        <v>940</v>
      </c>
      <c r="D59" s="417">
        <v>150</v>
      </c>
      <c r="E59" s="406">
        <v>7.9153858822563024</v>
      </c>
      <c r="F59" s="407">
        <v>2.0980355662743908</v>
      </c>
      <c r="G59" s="407">
        <v>0.82615759330946614</v>
      </c>
      <c r="H59" s="407">
        <v>1.5141430714997015</v>
      </c>
      <c r="I59" s="407">
        <v>2.2909137310662815</v>
      </c>
      <c r="J59" s="407">
        <f t="shared" si="27"/>
        <v>14.64</v>
      </c>
      <c r="K59" s="423">
        <v>5463</v>
      </c>
      <c r="L59" s="424">
        <f t="shared" si="28"/>
        <v>959739.84000000008</v>
      </c>
      <c r="M59" s="407">
        <f t="shared" si="29"/>
        <v>10.839579041840159</v>
      </c>
      <c r="N59" s="424">
        <f t="shared" si="30"/>
        <v>710599.4436668735</v>
      </c>
      <c r="O59" s="407">
        <f t="shared" si="31"/>
        <v>0.17</v>
      </c>
      <c r="P59" s="407">
        <f t="shared" si="32"/>
        <v>14.81</v>
      </c>
    </row>
    <row r="60" spans="1:16">
      <c r="A60" s="451">
        <f t="shared" si="0"/>
        <v>52</v>
      </c>
      <c r="B60" s="253" t="str">
        <f t="shared" si="33"/>
        <v>53E - Company Owned</v>
      </c>
      <c r="C60" s="416" t="s">
        <v>940</v>
      </c>
      <c r="D60" s="417">
        <v>200</v>
      </c>
      <c r="E60" s="406">
        <v>8.3355299771092408</v>
      </c>
      <c r="F60" s="407">
        <v>2.0980355662743908</v>
      </c>
      <c r="G60" s="407">
        <v>1.1015434577459549</v>
      </c>
      <c r="H60" s="407">
        <v>2.0188574286662688</v>
      </c>
      <c r="I60" s="407">
        <v>3.0545516414217091</v>
      </c>
      <c r="J60" s="407">
        <f t="shared" si="27"/>
        <v>16.61</v>
      </c>
      <c r="K60" s="423">
        <v>6823</v>
      </c>
      <c r="L60" s="424">
        <f t="shared" si="28"/>
        <v>1359960.3599999999</v>
      </c>
      <c r="M60" s="407">
        <f t="shared" si="29"/>
        <v>11.535109001129586</v>
      </c>
      <c r="N60" s="424">
        <f t="shared" si="30"/>
        <v>944448.58457648603</v>
      </c>
      <c r="O60" s="407">
        <f t="shared" si="31"/>
        <v>0.18</v>
      </c>
      <c r="P60" s="407">
        <f t="shared" si="32"/>
        <v>16.79</v>
      </c>
    </row>
    <row r="61" spans="1:16">
      <c r="A61" s="451">
        <f t="shared" si="0"/>
        <v>53</v>
      </c>
      <c r="B61" s="253" t="str">
        <f t="shared" si="33"/>
        <v>53E - Company Owned</v>
      </c>
      <c r="C61" s="416" t="s">
        <v>940</v>
      </c>
      <c r="D61" s="417">
        <v>250</v>
      </c>
      <c r="E61" s="406">
        <v>8.7556740719621793</v>
      </c>
      <c r="F61" s="407">
        <v>2.0980355662743908</v>
      </c>
      <c r="G61" s="407">
        <v>1.3769293221824437</v>
      </c>
      <c r="H61" s="407">
        <v>2.5235717858328361</v>
      </c>
      <c r="I61" s="407">
        <v>3.8181895517771363</v>
      </c>
      <c r="J61" s="407">
        <f t="shared" si="27"/>
        <v>18.57</v>
      </c>
      <c r="K61" s="423">
        <v>2469</v>
      </c>
      <c r="L61" s="424">
        <f t="shared" si="28"/>
        <v>550191.96</v>
      </c>
      <c r="M61" s="407">
        <f t="shared" si="29"/>
        <v>12.230638960419013</v>
      </c>
      <c r="N61" s="424">
        <f t="shared" si="30"/>
        <v>362369.37111929449</v>
      </c>
      <c r="O61" s="407">
        <f t="shared" si="31"/>
        <v>0.19</v>
      </c>
      <c r="P61" s="407">
        <f t="shared" si="32"/>
        <v>18.760000000000002</v>
      </c>
    </row>
    <row r="62" spans="1:16">
      <c r="A62" s="451">
        <f t="shared" si="0"/>
        <v>54</v>
      </c>
      <c r="B62" s="253" t="str">
        <f t="shared" si="33"/>
        <v>53E - Company Owned</v>
      </c>
      <c r="C62" s="416" t="s">
        <v>940</v>
      </c>
      <c r="D62" s="417">
        <v>310</v>
      </c>
      <c r="E62" s="406">
        <v>9.2598469857857033</v>
      </c>
      <c r="F62" s="407">
        <v>2.0980355662743908</v>
      </c>
      <c r="G62" s="407">
        <v>1.7073923595062301</v>
      </c>
      <c r="H62" s="407">
        <v>3.1292290144327168</v>
      </c>
      <c r="I62" s="407">
        <v>4.734555044203649</v>
      </c>
      <c r="J62" s="407">
        <f t="shared" si="27"/>
        <v>20.93</v>
      </c>
      <c r="K62" s="423">
        <v>22</v>
      </c>
      <c r="L62" s="424">
        <f t="shared" si="28"/>
        <v>5525.5199999999995</v>
      </c>
      <c r="M62" s="407">
        <f t="shared" si="29"/>
        <v>13.065274911566323</v>
      </c>
      <c r="N62" s="424">
        <f t="shared" si="30"/>
        <v>3449.2325766535091</v>
      </c>
      <c r="O62" s="407">
        <f t="shared" si="31"/>
        <v>0.2</v>
      </c>
      <c r="P62" s="407">
        <f t="shared" si="32"/>
        <v>21.13</v>
      </c>
    </row>
    <row r="63" spans="1:16">
      <c r="A63" s="451">
        <f t="shared" si="0"/>
        <v>55</v>
      </c>
      <c r="B63" s="253" t="str">
        <f t="shared" si="33"/>
        <v>53E - Company Owned</v>
      </c>
      <c r="C63" s="416" t="s">
        <v>940</v>
      </c>
      <c r="D63" s="417">
        <v>400</v>
      </c>
      <c r="E63" s="406">
        <v>10.016106356520991</v>
      </c>
      <c r="F63" s="407">
        <v>2.0980355662743908</v>
      </c>
      <c r="G63" s="407">
        <v>2.2030869154919097</v>
      </c>
      <c r="H63" s="407">
        <v>4.0377148573325377</v>
      </c>
      <c r="I63" s="407">
        <v>6.1091032828434182</v>
      </c>
      <c r="J63" s="407">
        <f t="shared" si="27"/>
        <v>24.46</v>
      </c>
      <c r="K63" s="423">
        <v>1245</v>
      </c>
      <c r="L63" s="424">
        <f t="shared" si="28"/>
        <v>365432.4</v>
      </c>
      <c r="M63" s="407">
        <f t="shared" si="29"/>
        <v>14.317228838287292</v>
      </c>
      <c r="N63" s="424">
        <f t="shared" si="30"/>
        <v>213899.39884401215</v>
      </c>
      <c r="O63" s="407">
        <f t="shared" si="31"/>
        <v>0.22</v>
      </c>
      <c r="P63" s="407">
        <f t="shared" si="32"/>
        <v>24.68</v>
      </c>
    </row>
    <row r="64" spans="1:16">
      <c r="A64" s="451">
        <f t="shared" si="0"/>
        <v>56</v>
      </c>
      <c r="B64" s="253" t="str">
        <f t="shared" si="33"/>
        <v>53E - Company Owned</v>
      </c>
      <c r="C64" s="416" t="s">
        <v>940</v>
      </c>
      <c r="D64" s="417">
        <v>1000</v>
      </c>
      <c r="E64" s="406">
        <v>15.057835494756246</v>
      </c>
      <c r="F64" s="407">
        <v>2.0980355662743908</v>
      </c>
      <c r="G64" s="407">
        <v>5.5077172887297747</v>
      </c>
      <c r="H64" s="407">
        <v>10.094287143331345</v>
      </c>
      <c r="I64" s="407">
        <v>15.272758207108545</v>
      </c>
      <c r="J64" s="407">
        <f t="shared" si="27"/>
        <v>48.03</v>
      </c>
      <c r="K64" s="423">
        <v>0</v>
      </c>
      <c r="L64" s="424">
        <f t="shared" si="28"/>
        <v>0</v>
      </c>
      <c r="M64" s="407">
        <f t="shared" si="29"/>
        <v>22.663588349760413</v>
      </c>
      <c r="N64" s="424">
        <f t="shared" si="30"/>
        <v>0</v>
      </c>
      <c r="O64" s="407">
        <f t="shared" si="31"/>
        <v>0.35</v>
      </c>
      <c r="P64" s="407">
        <f t="shared" si="32"/>
        <v>48.38</v>
      </c>
    </row>
    <row r="65" spans="1:16">
      <c r="A65" s="451">
        <f t="shared" si="0"/>
        <v>57</v>
      </c>
      <c r="B65" s="253"/>
      <c r="C65" s="416"/>
      <c r="D65" s="417"/>
      <c r="E65" s="406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</row>
    <row r="66" spans="1:16">
      <c r="A66" s="451">
        <f t="shared" si="0"/>
        <v>58</v>
      </c>
      <c r="B66" s="253" t="str">
        <f>+B64</f>
        <v>53E - Company Owned</v>
      </c>
      <c r="C66" s="416" t="s">
        <v>941</v>
      </c>
      <c r="D66" s="417">
        <v>70</v>
      </c>
      <c r="E66" s="406">
        <v>7.8260628603325069</v>
      </c>
      <c r="F66" s="407">
        <v>4.1960711325487816</v>
      </c>
      <c r="G66" s="407">
        <v>0.3855402102110842</v>
      </c>
      <c r="H66" s="407">
        <v>0.70660010003319418</v>
      </c>
      <c r="I66" s="407">
        <v>1.0690930744975982</v>
      </c>
      <c r="J66" s="407">
        <f t="shared" si="27"/>
        <v>14.18</v>
      </c>
      <c r="K66" s="423">
        <v>0</v>
      </c>
      <c r="L66" s="424">
        <f>+K66*J66*12</f>
        <v>0</v>
      </c>
      <c r="M66" s="407">
        <f>SUM(E66:G66)</f>
        <v>12.407674203092373</v>
      </c>
      <c r="N66" s="424">
        <f>+M66*K66*12</f>
        <v>0</v>
      </c>
      <c r="O66" s="407">
        <f>ROUND(M66*$N$13,2)</f>
        <v>0.19</v>
      </c>
      <c r="P66" s="407">
        <f>+O66+J66</f>
        <v>14.37</v>
      </c>
    </row>
    <row r="67" spans="1:16">
      <c r="A67" s="451">
        <f t="shared" si="0"/>
        <v>59</v>
      </c>
      <c r="B67" s="253" t="str">
        <f>+B66</f>
        <v>53E - Company Owned</v>
      </c>
      <c r="C67" s="416" t="s">
        <v>941</v>
      </c>
      <c r="D67" s="417">
        <v>100</v>
      </c>
      <c r="E67" s="406">
        <v>8.1516436979470388</v>
      </c>
      <c r="F67" s="407">
        <v>4.1960711325487816</v>
      </c>
      <c r="G67" s="407">
        <v>0.55077172887297743</v>
      </c>
      <c r="H67" s="407">
        <v>1.0094287143331344</v>
      </c>
      <c r="I67" s="407">
        <v>1.5272758207108545</v>
      </c>
      <c r="J67" s="407">
        <f t="shared" si="27"/>
        <v>15.44</v>
      </c>
      <c r="K67" s="423">
        <v>0</v>
      </c>
      <c r="L67" s="424">
        <f>+K67*J67*12</f>
        <v>0</v>
      </c>
      <c r="M67" s="407">
        <f>SUM(E67:G67)</f>
        <v>12.898486559368799</v>
      </c>
      <c r="N67" s="424">
        <f>+M67*K67*12</f>
        <v>0</v>
      </c>
      <c r="O67" s="407">
        <f>ROUND(M67*$N$13,2)</f>
        <v>0.2</v>
      </c>
      <c r="P67" s="407">
        <f>+O67+J67</f>
        <v>15.639999999999999</v>
      </c>
    </row>
    <row r="68" spans="1:16">
      <c r="A68" s="451">
        <f t="shared" si="0"/>
        <v>60</v>
      </c>
      <c r="B68" s="253" t="str">
        <f>+B67</f>
        <v>53E - Company Owned</v>
      </c>
      <c r="C68" s="416" t="s">
        <v>941</v>
      </c>
      <c r="D68" s="417">
        <v>150</v>
      </c>
      <c r="E68" s="406">
        <v>8.6942784273045906</v>
      </c>
      <c r="F68" s="407">
        <v>4.1960711325487816</v>
      </c>
      <c r="G68" s="407">
        <v>0.82615759330946614</v>
      </c>
      <c r="H68" s="407">
        <v>1.5141430714997015</v>
      </c>
      <c r="I68" s="407">
        <v>2.2909137310662815</v>
      </c>
      <c r="J68" s="407">
        <f t="shared" si="27"/>
        <v>17.52</v>
      </c>
      <c r="K68" s="423">
        <v>0</v>
      </c>
      <c r="L68" s="424">
        <f>+K68*J68*12</f>
        <v>0</v>
      </c>
      <c r="M68" s="407">
        <f>SUM(E68:G68)</f>
        <v>13.716507153162839</v>
      </c>
      <c r="N68" s="424">
        <f>+M68*K68*12</f>
        <v>0</v>
      </c>
      <c r="O68" s="407">
        <f>ROUND(M68*$N$13,2)</f>
        <v>0.21</v>
      </c>
      <c r="P68" s="407">
        <f>+O68+J68</f>
        <v>17.73</v>
      </c>
    </row>
    <row r="69" spans="1:16">
      <c r="A69" s="451">
        <f t="shared" si="0"/>
        <v>61</v>
      </c>
      <c r="B69" s="253" t="str">
        <f>B68</f>
        <v>53E - Company Owned</v>
      </c>
      <c r="C69" s="416" t="s">
        <v>941</v>
      </c>
      <c r="D69" s="417">
        <v>250</v>
      </c>
      <c r="E69" s="406">
        <v>9.7795478860196958</v>
      </c>
      <c r="F69" s="407">
        <v>4.1960711325487816</v>
      </c>
      <c r="G69" s="407">
        <v>1.3769293221824437</v>
      </c>
      <c r="H69" s="407">
        <v>2.5235717858328361</v>
      </c>
      <c r="I69" s="407">
        <v>3.8181895517771363</v>
      </c>
      <c r="J69" s="407">
        <f t="shared" si="27"/>
        <v>21.69</v>
      </c>
      <c r="K69" s="423">
        <v>0</v>
      </c>
      <c r="L69" s="424">
        <f>+K69*J69*12</f>
        <v>0</v>
      </c>
      <c r="M69" s="407">
        <f>SUM(E69:G69)</f>
        <v>15.35254834075092</v>
      </c>
      <c r="N69" s="424">
        <f>+M69*K69*12</f>
        <v>0</v>
      </c>
      <c r="O69" s="407">
        <f>ROUND(M69*$N$13,2)</f>
        <v>0.23</v>
      </c>
      <c r="P69" s="407">
        <f>+O69+J69</f>
        <v>21.92</v>
      </c>
    </row>
    <row r="70" spans="1:16">
      <c r="A70" s="451">
        <f t="shared" si="0"/>
        <v>62</v>
      </c>
      <c r="B70" s="253" t="str">
        <f>B69</f>
        <v>53E - Company Owned</v>
      </c>
      <c r="C70" s="416" t="s">
        <v>941</v>
      </c>
      <c r="D70" s="417">
        <v>400</v>
      </c>
      <c r="E70" s="406">
        <v>11.407452074092353</v>
      </c>
      <c r="F70" s="407">
        <v>4.1960711325487816</v>
      </c>
      <c r="G70" s="407">
        <v>2.2030869154919097</v>
      </c>
      <c r="H70" s="407">
        <v>4.0377148573325377</v>
      </c>
      <c r="I70" s="407">
        <v>6.1091032828434182</v>
      </c>
      <c r="J70" s="407">
        <f t="shared" si="27"/>
        <v>27.95</v>
      </c>
      <c r="K70" s="423">
        <v>0</v>
      </c>
      <c r="L70" s="424">
        <f>+K70*J70*12</f>
        <v>0</v>
      </c>
      <c r="M70" s="407">
        <f>SUM(E70:G70)</f>
        <v>17.806610122133044</v>
      </c>
      <c r="N70" s="424">
        <f>+M70*K70*12</f>
        <v>0</v>
      </c>
      <c r="O70" s="407">
        <f>ROUND(M70*$N$13,2)</f>
        <v>0.27</v>
      </c>
      <c r="P70" s="407">
        <f>+O70+J70</f>
        <v>28.22</v>
      </c>
    </row>
    <row r="71" spans="1:16">
      <c r="A71" s="451">
        <f t="shared" si="0"/>
        <v>63</v>
      </c>
      <c r="B71" s="253"/>
      <c r="C71" s="416"/>
      <c r="D71" s="417"/>
      <c r="E71" s="406"/>
      <c r="F71" s="404"/>
      <c r="G71" s="404"/>
      <c r="H71" s="404"/>
      <c r="I71" s="404"/>
      <c r="J71" s="404"/>
      <c r="K71" s="404"/>
      <c r="L71" s="404"/>
      <c r="M71" s="404"/>
      <c r="N71" s="404"/>
      <c r="O71" s="404"/>
      <c r="P71" s="404"/>
    </row>
    <row r="72" spans="1:16">
      <c r="A72" s="451">
        <f t="shared" si="0"/>
        <v>64</v>
      </c>
      <c r="B72" s="253" t="str">
        <f>+B70</f>
        <v>53E - Company Owned</v>
      </c>
      <c r="C72" s="418" t="s">
        <v>928</v>
      </c>
      <c r="D72" s="415" t="s">
        <v>929</v>
      </c>
      <c r="E72" s="406">
        <v>8.1590663927740827</v>
      </c>
      <c r="F72" s="407">
        <v>0.41960711325487821</v>
      </c>
      <c r="G72" s="407">
        <v>0.24784727799283984</v>
      </c>
      <c r="H72" s="407">
        <v>0.45424292144991052</v>
      </c>
      <c r="I72" s="407">
        <v>0.68727411931988447</v>
      </c>
      <c r="J72" s="407">
        <f t="shared" si="27"/>
        <v>9.9700000000000006</v>
      </c>
      <c r="K72" s="423">
        <v>9514</v>
      </c>
      <c r="L72" s="424">
        <f t="shared" ref="L72:L80" si="34">+K72*J72*12</f>
        <v>1138254.96</v>
      </c>
      <c r="M72" s="407">
        <f t="shared" ref="M72:M80" si="35">SUM(E72:G72)</f>
        <v>8.8265207840218007</v>
      </c>
      <c r="N72" s="424">
        <f t="shared" ref="N72:N80" si="36">+M72*K72*12</f>
        <v>1007706.224870201</v>
      </c>
      <c r="O72" s="407">
        <f t="shared" ref="O72:O80" si="37">ROUND(M72*$N$13,2)</f>
        <v>0.13</v>
      </c>
      <c r="P72" s="407">
        <f t="shared" ref="P72:P80" si="38">+O72+J72</f>
        <v>10.100000000000001</v>
      </c>
    </row>
    <row r="73" spans="1:16">
      <c r="A73" s="451">
        <f t="shared" si="0"/>
        <v>65</v>
      </c>
      <c r="B73" s="253" t="str">
        <f>B72</f>
        <v>53E - Company Owned</v>
      </c>
      <c r="C73" s="418" t="s">
        <v>928</v>
      </c>
      <c r="D73" s="415" t="s">
        <v>930</v>
      </c>
      <c r="E73" s="406">
        <v>8.2974983260878137</v>
      </c>
      <c r="F73" s="407">
        <v>0.41960711325487821</v>
      </c>
      <c r="G73" s="407">
        <v>0.41307879665473307</v>
      </c>
      <c r="H73" s="407">
        <v>0.75707153574985075</v>
      </c>
      <c r="I73" s="407">
        <v>1.1454568655331407</v>
      </c>
      <c r="J73" s="407">
        <f t="shared" si="27"/>
        <v>11.03</v>
      </c>
      <c r="K73" s="423">
        <v>97</v>
      </c>
      <c r="L73" s="424">
        <f t="shared" si="34"/>
        <v>12838.919999999998</v>
      </c>
      <c r="M73" s="407">
        <f t="shared" si="35"/>
        <v>9.1301842359974259</v>
      </c>
      <c r="N73" s="424">
        <f t="shared" si="36"/>
        <v>10627.534450701003</v>
      </c>
      <c r="O73" s="407">
        <f t="shared" si="37"/>
        <v>0.14000000000000001</v>
      </c>
      <c r="P73" s="407">
        <f t="shared" si="38"/>
        <v>11.17</v>
      </c>
    </row>
    <row r="74" spans="1:16">
      <c r="A74" s="451">
        <f t="shared" si="0"/>
        <v>66</v>
      </c>
      <c r="B74" s="253" t="str">
        <f t="shared" ref="B74:B80" si="39">B73</f>
        <v>53E - Company Owned</v>
      </c>
      <c r="C74" s="418" t="s">
        <v>928</v>
      </c>
      <c r="D74" s="415" t="s">
        <v>931</v>
      </c>
      <c r="E74" s="406">
        <v>8.4359302594015464</v>
      </c>
      <c r="F74" s="407">
        <v>0.41960711325487821</v>
      </c>
      <c r="G74" s="407">
        <v>0.57831031531662636</v>
      </c>
      <c r="H74" s="407">
        <v>1.0599001500497911</v>
      </c>
      <c r="I74" s="407">
        <v>1.6036396117463971</v>
      </c>
      <c r="J74" s="407">
        <f t="shared" si="27"/>
        <v>12.1</v>
      </c>
      <c r="K74" s="423">
        <v>642</v>
      </c>
      <c r="L74" s="424">
        <f t="shared" si="34"/>
        <v>93218.4</v>
      </c>
      <c r="M74" s="407">
        <f t="shared" si="35"/>
        <v>9.4338476879730511</v>
      </c>
      <c r="N74" s="424">
        <f t="shared" si="36"/>
        <v>72678.362588144373</v>
      </c>
      <c r="O74" s="407">
        <f t="shared" si="37"/>
        <v>0.14000000000000001</v>
      </c>
      <c r="P74" s="407">
        <f t="shared" si="38"/>
        <v>12.24</v>
      </c>
    </row>
    <row r="75" spans="1:16">
      <c r="A75" s="451">
        <f t="shared" si="0"/>
        <v>67</v>
      </c>
      <c r="B75" s="253" t="str">
        <f t="shared" si="39"/>
        <v>53E - Company Owned</v>
      </c>
      <c r="C75" s="418" t="s">
        <v>928</v>
      </c>
      <c r="D75" s="415" t="s">
        <v>932</v>
      </c>
      <c r="E75" s="406">
        <v>8.5743621927152773</v>
      </c>
      <c r="F75" s="407">
        <v>0.41960711325487821</v>
      </c>
      <c r="G75" s="407">
        <v>0.74354183397851958</v>
      </c>
      <c r="H75" s="407">
        <v>1.3627287643497317</v>
      </c>
      <c r="I75" s="407">
        <v>2.0618223579596537</v>
      </c>
      <c r="J75" s="407">
        <f t="shared" si="27"/>
        <v>13.16</v>
      </c>
      <c r="K75" s="423">
        <v>1206</v>
      </c>
      <c r="L75" s="424">
        <f t="shared" si="34"/>
        <v>190451.52000000002</v>
      </c>
      <c r="M75" s="407">
        <f t="shared" si="35"/>
        <v>9.7375111399486762</v>
      </c>
      <c r="N75" s="424">
        <f t="shared" si="36"/>
        <v>140921.26121733725</v>
      </c>
      <c r="O75" s="407">
        <f t="shared" si="37"/>
        <v>0.15</v>
      </c>
      <c r="P75" s="407">
        <f t="shared" si="38"/>
        <v>13.31</v>
      </c>
    </row>
    <row r="76" spans="1:16">
      <c r="A76" s="451">
        <f t="shared" si="0"/>
        <v>68</v>
      </c>
      <c r="B76" s="253" t="str">
        <f t="shared" si="39"/>
        <v>53E - Company Owned</v>
      </c>
      <c r="C76" s="418" t="s">
        <v>928</v>
      </c>
      <c r="D76" s="415" t="s">
        <v>933</v>
      </c>
      <c r="E76" s="406">
        <v>8.71279412602901</v>
      </c>
      <c r="F76" s="407">
        <v>0.41960711325487821</v>
      </c>
      <c r="G76" s="407">
        <v>0.90877335264041281</v>
      </c>
      <c r="H76" s="407">
        <v>1.6655573786496718</v>
      </c>
      <c r="I76" s="407">
        <v>2.5200051041729097</v>
      </c>
      <c r="J76" s="407">
        <f t="shared" si="27"/>
        <v>14.23</v>
      </c>
      <c r="K76" s="423">
        <v>17</v>
      </c>
      <c r="L76" s="424">
        <f t="shared" si="34"/>
        <v>2902.92</v>
      </c>
      <c r="M76" s="407">
        <f t="shared" si="35"/>
        <v>10.041174591924301</v>
      </c>
      <c r="N76" s="424">
        <f t="shared" si="36"/>
        <v>2048.3996167525574</v>
      </c>
      <c r="O76" s="407">
        <f t="shared" si="37"/>
        <v>0.15</v>
      </c>
      <c r="P76" s="407">
        <f t="shared" si="38"/>
        <v>14.38</v>
      </c>
    </row>
    <row r="77" spans="1:16">
      <c r="A77" s="451">
        <f t="shared" si="0"/>
        <v>69</v>
      </c>
      <c r="B77" s="253" t="str">
        <f t="shared" si="39"/>
        <v>53E - Company Owned</v>
      </c>
      <c r="C77" s="418" t="s">
        <v>928</v>
      </c>
      <c r="D77" s="415" t="s">
        <v>934</v>
      </c>
      <c r="E77" s="406">
        <v>8.851226059342741</v>
      </c>
      <c r="F77" s="407">
        <v>0.41960711325487821</v>
      </c>
      <c r="G77" s="407">
        <v>1.074004871302306</v>
      </c>
      <c r="H77" s="407">
        <v>1.9683859929496124</v>
      </c>
      <c r="I77" s="407">
        <v>2.9781878503861661</v>
      </c>
      <c r="J77" s="407">
        <f t="shared" si="27"/>
        <v>15.29</v>
      </c>
      <c r="K77" s="423">
        <v>213</v>
      </c>
      <c r="L77" s="424">
        <f t="shared" si="34"/>
        <v>39081.24</v>
      </c>
      <c r="M77" s="407">
        <f t="shared" si="35"/>
        <v>10.344838043899925</v>
      </c>
      <c r="N77" s="424">
        <f t="shared" si="36"/>
        <v>26441.406040208207</v>
      </c>
      <c r="O77" s="407">
        <f t="shared" si="37"/>
        <v>0.16</v>
      </c>
      <c r="P77" s="407">
        <f t="shared" si="38"/>
        <v>15.45</v>
      </c>
    </row>
    <row r="78" spans="1:16">
      <c r="A78" s="451">
        <f t="shared" si="0"/>
        <v>70</v>
      </c>
      <c r="B78" s="253" t="str">
        <f t="shared" si="39"/>
        <v>53E - Company Owned</v>
      </c>
      <c r="C78" s="418" t="s">
        <v>928</v>
      </c>
      <c r="D78" s="415" t="s">
        <v>935</v>
      </c>
      <c r="E78" s="406">
        <v>8.9896579926564719</v>
      </c>
      <c r="F78" s="407">
        <v>0.41960711325487821</v>
      </c>
      <c r="G78" s="407">
        <v>1.2392363899641992</v>
      </c>
      <c r="H78" s="407">
        <v>2.2712146072495525</v>
      </c>
      <c r="I78" s="407">
        <v>3.4363705965994225</v>
      </c>
      <c r="J78" s="407">
        <f t="shared" si="27"/>
        <v>16.36</v>
      </c>
      <c r="K78" s="423">
        <v>0</v>
      </c>
      <c r="L78" s="424">
        <f t="shared" si="34"/>
        <v>0</v>
      </c>
      <c r="M78" s="407">
        <f t="shared" si="35"/>
        <v>10.64850149587555</v>
      </c>
      <c r="N78" s="424">
        <f t="shared" si="36"/>
        <v>0</v>
      </c>
      <c r="O78" s="407">
        <f t="shared" si="37"/>
        <v>0.16</v>
      </c>
      <c r="P78" s="407">
        <f t="shared" si="38"/>
        <v>16.52</v>
      </c>
    </row>
    <row r="79" spans="1:16">
      <c r="A79" s="451">
        <f t="shared" ref="A79:A119" si="40">A78+1</f>
        <v>71</v>
      </c>
      <c r="B79" s="253" t="str">
        <f t="shared" si="39"/>
        <v>53E - Company Owned</v>
      </c>
      <c r="C79" s="418" t="s">
        <v>928</v>
      </c>
      <c r="D79" s="415" t="s">
        <v>936</v>
      </c>
      <c r="E79" s="406">
        <v>9.1280899259702029</v>
      </c>
      <c r="F79" s="407">
        <v>0.41960711325487821</v>
      </c>
      <c r="G79" s="407">
        <v>1.4044679086260925</v>
      </c>
      <c r="H79" s="407">
        <v>2.5740432215494931</v>
      </c>
      <c r="I79" s="407">
        <v>3.8945533428126788</v>
      </c>
      <c r="J79" s="407">
        <f t="shared" si="27"/>
        <v>17.420000000000002</v>
      </c>
      <c r="K79" s="423">
        <v>25</v>
      </c>
      <c r="L79" s="424">
        <f t="shared" si="34"/>
        <v>5226.0000000000009</v>
      </c>
      <c r="M79" s="407">
        <f t="shared" si="35"/>
        <v>10.952164947851173</v>
      </c>
      <c r="N79" s="424">
        <f t="shared" si="36"/>
        <v>3285.6494843553523</v>
      </c>
      <c r="O79" s="407">
        <f t="shared" si="37"/>
        <v>0.17</v>
      </c>
      <c r="P79" s="407">
        <f t="shared" si="38"/>
        <v>17.590000000000003</v>
      </c>
    </row>
    <row r="80" spans="1:16">
      <c r="A80" s="451">
        <f t="shared" si="40"/>
        <v>72</v>
      </c>
      <c r="B80" s="253" t="str">
        <f t="shared" si="39"/>
        <v>53E - Company Owned</v>
      </c>
      <c r="C80" s="418" t="s">
        <v>928</v>
      </c>
      <c r="D80" s="415" t="s">
        <v>937</v>
      </c>
      <c r="E80" s="406">
        <v>9.2665218592839356</v>
      </c>
      <c r="F80" s="407">
        <v>0.41960711325487821</v>
      </c>
      <c r="G80" s="407">
        <v>1.5696994272879856</v>
      </c>
      <c r="H80" s="407">
        <v>2.8768718358494336</v>
      </c>
      <c r="I80" s="407">
        <v>4.3527360890259352</v>
      </c>
      <c r="J80" s="407">
        <f t="shared" si="27"/>
        <v>18.489999999999998</v>
      </c>
      <c r="K80" s="423">
        <v>74</v>
      </c>
      <c r="L80" s="424">
        <f t="shared" si="34"/>
        <v>16419.12</v>
      </c>
      <c r="M80" s="407">
        <f t="shared" si="35"/>
        <v>11.2558283998268</v>
      </c>
      <c r="N80" s="424">
        <f t="shared" si="36"/>
        <v>9995.1756190462002</v>
      </c>
      <c r="O80" s="407">
        <f t="shared" si="37"/>
        <v>0.17</v>
      </c>
      <c r="P80" s="407">
        <f t="shared" si="38"/>
        <v>18.66</v>
      </c>
    </row>
    <row r="81" spans="1:16">
      <c r="A81" s="451">
        <f t="shared" si="40"/>
        <v>73</v>
      </c>
      <c r="B81" s="253"/>
      <c r="C81" s="416"/>
      <c r="D81" s="417"/>
      <c r="E81" s="406"/>
      <c r="F81" s="404"/>
      <c r="G81" s="404"/>
      <c r="H81" s="404"/>
      <c r="I81" s="404"/>
      <c r="J81" s="404"/>
      <c r="K81" s="404"/>
      <c r="L81" s="404"/>
      <c r="M81" s="404"/>
      <c r="N81" s="404"/>
      <c r="O81" s="404"/>
      <c r="P81" s="404"/>
    </row>
    <row r="82" spans="1:16">
      <c r="A82" s="451">
        <f t="shared" si="40"/>
        <v>74</v>
      </c>
      <c r="B82" s="253" t="s">
        <v>944</v>
      </c>
      <c r="C82" s="416" t="s">
        <v>940</v>
      </c>
      <c r="D82" s="417">
        <v>50</v>
      </c>
      <c r="E82" s="406">
        <v>0</v>
      </c>
      <c r="F82" s="407">
        <v>2.0980355662743908</v>
      </c>
      <c r="G82" s="407">
        <v>0.27538586443648871</v>
      </c>
      <c r="H82" s="407">
        <v>0.50471435716656721</v>
      </c>
      <c r="I82" s="407">
        <v>0.76363791035542727</v>
      </c>
      <c r="J82" s="407">
        <f t="shared" si="27"/>
        <v>3.64</v>
      </c>
      <c r="K82" s="423">
        <v>5</v>
      </c>
      <c r="L82" s="424">
        <f t="shared" ref="L82:L90" si="41">+K82*J82*12</f>
        <v>218.39999999999998</v>
      </c>
      <c r="M82" s="407">
        <f t="shared" ref="M82:M90" si="42">SUM(E82:G82)</f>
        <v>2.3734214307108794</v>
      </c>
      <c r="N82" s="424">
        <f t="shared" ref="N82:N90" si="43">+M82*K82*12</f>
        <v>142.40528584265275</v>
      </c>
      <c r="O82" s="407">
        <f t="shared" ref="O82:O90" si="44">ROUND(M82*$N$13,2)</f>
        <v>0.04</v>
      </c>
      <c r="P82" s="407">
        <f t="shared" ref="P82:P90" si="45">+O82+J82</f>
        <v>3.68</v>
      </c>
    </row>
    <row r="83" spans="1:16">
      <c r="A83" s="451">
        <f t="shared" si="40"/>
        <v>75</v>
      </c>
      <c r="B83" s="253" t="str">
        <f t="shared" ref="B83:B90" si="46">+B82</f>
        <v>53E - Customer Owned</v>
      </c>
      <c r="C83" s="416" t="s">
        <v>940</v>
      </c>
      <c r="D83" s="417">
        <v>70</v>
      </c>
      <c r="E83" s="406">
        <v>0</v>
      </c>
      <c r="F83" s="407">
        <v>2.0980355662743908</v>
      </c>
      <c r="G83" s="407">
        <v>0.3855402102110842</v>
      </c>
      <c r="H83" s="407">
        <v>0.70660010003319418</v>
      </c>
      <c r="I83" s="407">
        <v>1.0690930744975982</v>
      </c>
      <c r="J83" s="407">
        <f t="shared" si="27"/>
        <v>4.26</v>
      </c>
      <c r="K83" s="423">
        <v>91</v>
      </c>
      <c r="L83" s="424">
        <f t="shared" si="41"/>
        <v>4651.92</v>
      </c>
      <c r="M83" s="407">
        <f t="shared" si="42"/>
        <v>2.4835757764854751</v>
      </c>
      <c r="N83" s="424">
        <f t="shared" si="43"/>
        <v>2712.0647479221388</v>
      </c>
      <c r="O83" s="407">
        <f t="shared" si="44"/>
        <v>0.04</v>
      </c>
      <c r="P83" s="407">
        <f t="shared" si="45"/>
        <v>4.3</v>
      </c>
    </row>
    <row r="84" spans="1:16">
      <c r="A84" s="451">
        <f t="shared" si="40"/>
        <v>76</v>
      </c>
      <c r="B84" s="253" t="str">
        <f t="shared" si="46"/>
        <v>53E - Customer Owned</v>
      </c>
      <c r="C84" s="416" t="s">
        <v>940</v>
      </c>
      <c r="D84" s="417">
        <v>100</v>
      </c>
      <c r="E84" s="406">
        <v>0</v>
      </c>
      <c r="F84" s="407">
        <v>2.0980355662743908</v>
      </c>
      <c r="G84" s="407">
        <v>0.55077172887297743</v>
      </c>
      <c r="H84" s="407">
        <v>1.0094287143331344</v>
      </c>
      <c r="I84" s="407">
        <v>1.5272758207108545</v>
      </c>
      <c r="J84" s="407">
        <f t="shared" si="27"/>
        <v>5.19</v>
      </c>
      <c r="K84" s="423">
        <v>409</v>
      </c>
      <c r="L84" s="424">
        <f t="shared" si="41"/>
        <v>25472.52</v>
      </c>
      <c r="M84" s="407">
        <f t="shared" si="42"/>
        <v>2.6488072951473685</v>
      </c>
      <c r="N84" s="424">
        <f t="shared" si="43"/>
        <v>13000.346204583284</v>
      </c>
      <c r="O84" s="407">
        <f t="shared" si="44"/>
        <v>0.04</v>
      </c>
      <c r="P84" s="407">
        <f t="shared" si="45"/>
        <v>5.23</v>
      </c>
    </row>
    <row r="85" spans="1:16">
      <c r="A85" s="451">
        <f t="shared" si="40"/>
        <v>77</v>
      </c>
      <c r="B85" s="253" t="str">
        <f t="shared" si="46"/>
        <v>53E - Customer Owned</v>
      </c>
      <c r="C85" s="416" t="s">
        <v>940</v>
      </c>
      <c r="D85" s="417">
        <v>150</v>
      </c>
      <c r="E85" s="406">
        <v>0</v>
      </c>
      <c r="F85" s="407">
        <v>2.0980355662743908</v>
      </c>
      <c r="G85" s="407">
        <v>0.82615759330946614</v>
      </c>
      <c r="H85" s="407">
        <v>1.5141430714997015</v>
      </c>
      <c r="I85" s="407">
        <v>2.2909137310662815</v>
      </c>
      <c r="J85" s="407">
        <f t="shared" si="27"/>
        <v>6.73</v>
      </c>
      <c r="K85" s="423">
        <v>259</v>
      </c>
      <c r="L85" s="424">
        <f t="shared" si="41"/>
        <v>20916.840000000004</v>
      </c>
      <c r="M85" s="407">
        <f t="shared" si="42"/>
        <v>2.9241931595838571</v>
      </c>
      <c r="N85" s="424">
        <f t="shared" si="43"/>
        <v>9088.3923399866289</v>
      </c>
      <c r="O85" s="407">
        <f t="shared" si="44"/>
        <v>0.04</v>
      </c>
      <c r="P85" s="407">
        <f t="shared" si="45"/>
        <v>6.7700000000000005</v>
      </c>
    </row>
    <row r="86" spans="1:16">
      <c r="A86" s="451">
        <f t="shared" si="40"/>
        <v>78</v>
      </c>
      <c r="B86" s="253" t="str">
        <f t="shared" si="46"/>
        <v>53E - Customer Owned</v>
      </c>
      <c r="C86" s="416" t="s">
        <v>940</v>
      </c>
      <c r="D86" s="417">
        <v>200</v>
      </c>
      <c r="E86" s="406">
        <v>0</v>
      </c>
      <c r="F86" s="407">
        <v>2.0980355662743908</v>
      </c>
      <c r="G86" s="407">
        <v>1.1015434577459549</v>
      </c>
      <c r="H86" s="407">
        <v>2.0188574286662688</v>
      </c>
      <c r="I86" s="407">
        <v>3.0545516414217091</v>
      </c>
      <c r="J86" s="407">
        <f t="shared" si="27"/>
        <v>8.27</v>
      </c>
      <c r="K86" s="423">
        <v>817</v>
      </c>
      <c r="L86" s="424">
        <f t="shared" si="41"/>
        <v>81079.079999999987</v>
      </c>
      <c r="M86" s="407">
        <f t="shared" si="42"/>
        <v>3.1995790240203457</v>
      </c>
      <c r="N86" s="424">
        <f t="shared" si="43"/>
        <v>31368.672751495469</v>
      </c>
      <c r="O86" s="407">
        <f t="shared" si="44"/>
        <v>0.05</v>
      </c>
      <c r="P86" s="407">
        <f t="shared" si="45"/>
        <v>8.32</v>
      </c>
    </row>
    <row r="87" spans="1:16">
      <c r="A87" s="451">
        <f t="shared" si="40"/>
        <v>79</v>
      </c>
      <c r="B87" s="253" t="str">
        <f t="shared" si="46"/>
        <v>53E - Customer Owned</v>
      </c>
      <c r="C87" s="416" t="s">
        <v>940</v>
      </c>
      <c r="D87" s="417">
        <v>250</v>
      </c>
      <c r="E87" s="406">
        <v>0</v>
      </c>
      <c r="F87" s="407">
        <v>2.0980355662743908</v>
      </c>
      <c r="G87" s="407">
        <v>1.3769293221824437</v>
      </c>
      <c r="H87" s="407">
        <v>2.5235717858328361</v>
      </c>
      <c r="I87" s="407">
        <v>3.8181895517771363</v>
      </c>
      <c r="J87" s="407">
        <f t="shared" si="27"/>
        <v>9.82</v>
      </c>
      <c r="K87" s="423">
        <v>570</v>
      </c>
      <c r="L87" s="424">
        <f t="shared" si="41"/>
        <v>67168.800000000003</v>
      </c>
      <c r="M87" s="407">
        <f t="shared" si="42"/>
        <v>3.4749648884568343</v>
      </c>
      <c r="N87" s="424">
        <f t="shared" si="43"/>
        <v>23768.759837044745</v>
      </c>
      <c r="O87" s="407">
        <f t="shared" si="44"/>
        <v>0.05</v>
      </c>
      <c r="P87" s="407">
        <f t="shared" si="45"/>
        <v>9.870000000000001</v>
      </c>
    </row>
    <row r="88" spans="1:16">
      <c r="A88" s="451">
        <f t="shared" si="40"/>
        <v>80</v>
      </c>
      <c r="B88" s="253" t="str">
        <f t="shared" si="46"/>
        <v>53E - Customer Owned</v>
      </c>
      <c r="C88" s="416" t="s">
        <v>940</v>
      </c>
      <c r="D88" s="417">
        <v>310</v>
      </c>
      <c r="E88" s="406">
        <v>0</v>
      </c>
      <c r="F88" s="407">
        <v>2.0980355662743908</v>
      </c>
      <c r="G88" s="407">
        <v>1.7073923595062301</v>
      </c>
      <c r="H88" s="407">
        <v>3.1292290144327168</v>
      </c>
      <c r="I88" s="407">
        <v>4.734555044203649</v>
      </c>
      <c r="J88" s="407">
        <f t="shared" si="27"/>
        <v>11.67</v>
      </c>
      <c r="K88" s="423">
        <v>19</v>
      </c>
      <c r="L88" s="424">
        <f t="shared" si="41"/>
        <v>2660.7599999999998</v>
      </c>
      <c r="M88" s="407">
        <f t="shared" si="42"/>
        <v>3.8054279257806209</v>
      </c>
      <c r="N88" s="424">
        <f t="shared" si="43"/>
        <v>867.63756707798154</v>
      </c>
      <c r="O88" s="407">
        <f t="shared" si="44"/>
        <v>0.06</v>
      </c>
      <c r="P88" s="407">
        <f t="shared" si="45"/>
        <v>11.73</v>
      </c>
    </row>
    <row r="89" spans="1:16">
      <c r="A89" s="451">
        <f t="shared" si="40"/>
        <v>81</v>
      </c>
      <c r="B89" s="253" t="str">
        <f t="shared" si="46"/>
        <v>53E - Customer Owned</v>
      </c>
      <c r="C89" s="416" t="s">
        <v>940</v>
      </c>
      <c r="D89" s="417">
        <v>400</v>
      </c>
      <c r="E89" s="406">
        <v>0</v>
      </c>
      <c r="F89" s="407">
        <v>2.0980355662743908</v>
      </c>
      <c r="G89" s="407">
        <v>2.2030869154919097</v>
      </c>
      <c r="H89" s="407">
        <v>4.0377148573325377</v>
      </c>
      <c r="I89" s="407">
        <v>6.1091032828434182</v>
      </c>
      <c r="J89" s="407">
        <f t="shared" si="27"/>
        <v>14.45</v>
      </c>
      <c r="K89" s="423">
        <v>964</v>
      </c>
      <c r="L89" s="424">
        <f t="shared" si="41"/>
        <v>167157.59999999998</v>
      </c>
      <c r="M89" s="407">
        <f t="shared" si="42"/>
        <v>4.301122481766301</v>
      </c>
      <c r="N89" s="424">
        <f t="shared" si="43"/>
        <v>49755.384869072572</v>
      </c>
      <c r="O89" s="407">
        <f t="shared" si="44"/>
        <v>7.0000000000000007E-2</v>
      </c>
      <c r="P89" s="407">
        <f t="shared" si="45"/>
        <v>14.52</v>
      </c>
    </row>
    <row r="90" spans="1:16">
      <c r="A90" s="451">
        <f t="shared" si="40"/>
        <v>82</v>
      </c>
      <c r="B90" s="253" t="str">
        <f t="shared" si="46"/>
        <v>53E - Customer Owned</v>
      </c>
      <c r="C90" s="416" t="s">
        <v>940</v>
      </c>
      <c r="D90" s="417">
        <v>1000</v>
      </c>
      <c r="E90" s="406">
        <v>0</v>
      </c>
      <c r="F90" s="407">
        <v>2.0980355662743908</v>
      </c>
      <c r="G90" s="407">
        <v>5.5077172887297747</v>
      </c>
      <c r="H90" s="407">
        <v>10.094287143331345</v>
      </c>
      <c r="I90" s="407">
        <v>15.272758207108545</v>
      </c>
      <c r="J90" s="407">
        <f t="shared" si="27"/>
        <v>32.97</v>
      </c>
      <c r="K90" s="423">
        <v>0</v>
      </c>
      <c r="L90" s="424">
        <f t="shared" si="41"/>
        <v>0</v>
      </c>
      <c r="M90" s="407">
        <f t="shared" si="42"/>
        <v>7.605752855004166</v>
      </c>
      <c r="N90" s="424">
        <f t="shared" si="43"/>
        <v>0</v>
      </c>
      <c r="O90" s="407">
        <f t="shared" si="44"/>
        <v>0.12</v>
      </c>
      <c r="P90" s="407">
        <f t="shared" si="45"/>
        <v>33.089999999999996</v>
      </c>
    </row>
    <row r="91" spans="1:16">
      <c r="A91" s="451">
        <f t="shared" si="40"/>
        <v>83</v>
      </c>
      <c r="B91" s="253"/>
      <c r="C91" s="416"/>
      <c r="D91" s="417"/>
      <c r="E91" s="406"/>
      <c r="F91" s="404"/>
      <c r="G91" s="404"/>
      <c r="H91" s="404"/>
      <c r="I91" s="404"/>
      <c r="J91" s="404"/>
      <c r="K91" s="404"/>
      <c r="L91" s="404"/>
      <c r="M91" s="404"/>
      <c r="N91" s="404"/>
      <c r="O91" s="404"/>
      <c r="P91" s="404"/>
    </row>
    <row r="92" spans="1:16">
      <c r="A92" s="451">
        <f t="shared" si="40"/>
        <v>84</v>
      </c>
      <c r="B92" s="253" t="str">
        <f>+B90</f>
        <v>53E - Customer Owned</v>
      </c>
      <c r="C92" s="416" t="s">
        <v>941</v>
      </c>
      <c r="D92" s="417">
        <v>70</v>
      </c>
      <c r="E92" s="406">
        <v>0</v>
      </c>
      <c r="F92" s="407">
        <v>4.1960711325487816</v>
      </c>
      <c r="G92" s="407">
        <v>0.3855402102110842</v>
      </c>
      <c r="H92" s="407">
        <v>0.70660010003319418</v>
      </c>
      <c r="I92" s="407">
        <v>1.0690930744975982</v>
      </c>
      <c r="J92" s="407">
        <f t="shared" si="27"/>
        <v>6.36</v>
      </c>
      <c r="K92" s="423">
        <v>0</v>
      </c>
      <c r="L92" s="424">
        <f t="shared" ref="L92:L97" si="47">+K92*J92*12</f>
        <v>0</v>
      </c>
      <c r="M92" s="407">
        <f t="shared" ref="M92:M97" si="48">SUM(E92:G92)</f>
        <v>4.5816113427598655</v>
      </c>
      <c r="N92" s="424">
        <f t="shared" ref="N92:N97" si="49">+M92*K92*12</f>
        <v>0</v>
      </c>
      <c r="O92" s="407">
        <f t="shared" ref="O92:O97" si="50">ROUND(M92*$N$13,2)</f>
        <v>7.0000000000000007E-2</v>
      </c>
      <c r="P92" s="407">
        <f t="shared" ref="P92:P97" si="51">+O92+J92</f>
        <v>6.4300000000000006</v>
      </c>
    </row>
    <row r="93" spans="1:16">
      <c r="A93" s="451">
        <f t="shared" si="40"/>
        <v>85</v>
      </c>
      <c r="B93" s="253" t="str">
        <f>+B92</f>
        <v>53E - Customer Owned</v>
      </c>
      <c r="C93" s="416" t="s">
        <v>941</v>
      </c>
      <c r="D93" s="417">
        <v>100</v>
      </c>
      <c r="E93" s="406">
        <v>0</v>
      </c>
      <c r="F93" s="407">
        <v>4.1960711325487816</v>
      </c>
      <c r="G93" s="407">
        <v>0.55077172887297743</v>
      </c>
      <c r="H93" s="407">
        <v>1.0094287143331344</v>
      </c>
      <c r="I93" s="407">
        <v>1.5272758207108545</v>
      </c>
      <c r="J93" s="407">
        <f t="shared" si="27"/>
        <v>7.28</v>
      </c>
      <c r="K93" s="423">
        <v>0</v>
      </c>
      <c r="L93" s="424">
        <f t="shared" si="47"/>
        <v>0</v>
      </c>
      <c r="M93" s="407">
        <f t="shared" si="48"/>
        <v>4.7468428614217588</v>
      </c>
      <c r="N93" s="424">
        <f t="shared" si="49"/>
        <v>0</v>
      </c>
      <c r="O93" s="407">
        <f t="shared" si="50"/>
        <v>7.0000000000000007E-2</v>
      </c>
      <c r="P93" s="407">
        <f t="shared" si="51"/>
        <v>7.3500000000000005</v>
      </c>
    </row>
    <row r="94" spans="1:16">
      <c r="A94" s="451">
        <f t="shared" si="40"/>
        <v>86</v>
      </c>
      <c r="B94" s="253" t="str">
        <f>+B93</f>
        <v>53E - Customer Owned</v>
      </c>
      <c r="C94" s="416" t="s">
        <v>941</v>
      </c>
      <c r="D94" s="417">
        <v>150</v>
      </c>
      <c r="E94" s="406">
        <v>0</v>
      </c>
      <c r="F94" s="407">
        <v>4.1960711325487816</v>
      </c>
      <c r="G94" s="407">
        <v>0.82615759330946614</v>
      </c>
      <c r="H94" s="407">
        <v>1.5141430714997015</v>
      </c>
      <c r="I94" s="407">
        <v>2.2909137310662815</v>
      </c>
      <c r="J94" s="407">
        <f t="shared" si="27"/>
        <v>8.83</v>
      </c>
      <c r="K94" s="423">
        <v>0</v>
      </c>
      <c r="L94" s="424">
        <f t="shared" si="47"/>
        <v>0</v>
      </c>
      <c r="M94" s="407">
        <f t="shared" si="48"/>
        <v>5.0222287258582474</v>
      </c>
      <c r="N94" s="424">
        <f t="shared" si="49"/>
        <v>0</v>
      </c>
      <c r="O94" s="407">
        <f t="shared" si="50"/>
        <v>0.08</v>
      </c>
      <c r="P94" s="407">
        <f t="shared" si="51"/>
        <v>8.91</v>
      </c>
    </row>
    <row r="95" spans="1:16">
      <c r="A95" s="451">
        <f t="shared" si="40"/>
        <v>87</v>
      </c>
      <c r="B95" s="253" t="str">
        <f>+B94</f>
        <v>53E - Customer Owned</v>
      </c>
      <c r="C95" s="416" t="s">
        <v>941</v>
      </c>
      <c r="D95" s="417">
        <v>175</v>
      </c>
      <c r="E95" s="406">
        <v>0</v>
      </c>
      <c r="F95" s="407">
        <v>4.1960711325487816</v>
      </c>
      <c r="G95" s="407">
        <v>0.96385052552771056</v>
      </c>
      <c r="H95" s="407">
        <v>1.7665002500829854</v>
      </c>
      <c r="I95" s="407">
        <v>2.6727326862439953</v>
      </c>
      <c r="J95" s="407">
        <f t="shared" si="27"/>
        <v>9.6</v>
      </c>
      <c r="K95" s="423">
        <v>4</v>
      </c>
      <c r="L95" s="424">
        <f t="shared" si="47"/>
        <v>460.79999999999995</v>
      </c>
      <c r="M95" s="407">
        <f t="shared" si="48"/>
        <v>5.1599216580764917</v>
      </c>
      <c r="N95" s="424">
        <f t="shared" si="49"/>
        <v>247.6762395876716</v>
      </c>
      <c r="O95" s="407">
        <f t="shared" si="50"/>
        <v>0.08</v>
      </c>
      <c r="P95" s="407">
        <f t="shared" si="51"/>
        <v>9.68</v>
      </c>
    </row>
    <row r="96" spans="1:16">
      <c r="A96" s="451">
        <f t="shared" si="40"/>
        <v>88</v>
      </c>
      <c r="B96" s="253" t="str">
        <f>+B95</f>
        <v>53E - Customer Owned</v>
      </c>
      <c r="C96" s="416" t="s">
        <v>941</v>
      </c>
      <c r="D96" s="417">
        <v>250</v>
      </c>
      <c r="E96" s="406">
        <v>0</v>
      </c>
      <c r="F96" s="407">
        <v>4.1960711325487816</v>
      </c>
      <c r="G96" s="407">
        <v>1.3769293221824437</v>
      </c>
      <c r="H96" s="407">
        <v>2.5235717858328361</v>
      </c>
      <c r="I96" s="407">
        <v>3.8181895517771363</v>
      </c>
      <c r="J96" s="407">
        <f t="shared" si="27"/>
        <v>11.91</v>
      </c>
      <c r="K96" s="423">
        <v>0</v>
      </c>
      <c r="L96" s="424">
        <f t="shared" si="47"/>
        <v>0</v>
      </c>
      <c r="M96" s="407">
        <f t="shared" si="48"/>
        <v>5.5730004547312255</v>
      </c>
      <c r="N96" s="424">
        <f t="shared" si="49"/>
        <v>0</v>
      </c>
      <c r="O96" s="407">
        <f t="shared" si="50"/>
        <v>0.09</v>
      </c>
      <c r="P96" s="407">
        <f t="shared" si="51"/>
        <v>12</v>
      </c>
    </row>
    <row r="97" spans="1:16">
      <c r="A97" s="451">
        <f t="shared" si="40"/>
        <v>89</v>
      </c>
      <c r="B97" s="253" t="str">
        <f>+B96</f>
        <v>53E - Customer Owned</v>
      </c>
      <c r="C97" s="416" t="s">
        <v>941</v>
      </c>
      <c r="D97" s="417">
        <v>400</v>
      </c>
      <c r="E97" s="406">
        <v>0</v>
      </c>
      <c r="F97" s="407">
        <v>4.1960711325487816</v>
      </c>
      <c r="G97" s="407">
        <v>2.2030869154919097</v>
      </c>
      <c r="H97" s="407">
        <v>4.0377148573325377</v>
      </c>
      <c r="I97" s="407">
        <v>6.1091032828434182</v>
      </c>
      <c r="J97" s="407">
        <f t="shared" si="27"/>
        <v>16.55</v>
      </c>
      <c r="K97" s="423">
        <v>0</v>
      </c>
      <c r="L97" s="424">
        <f t="shared" si="47"/>
        <v>0</v>
      </c>
      <c r="M97" s="407">
        <f t="shared" si="48"/>
        <v>6.3991580480406913</v>
      </c>
      <c r="N97" s="424">
        <f t="shared" si="49"/>
        <v>0</v>
      </c>
      <c r="O97" s="407">
        <f t="shared" si="50"/>
        <v>0.1</v>
      </c>
      <c r="P97" s="407">
        <f t="shared" si="51"/>
        <v>16.650000000000002</v>
      </c>
    </row>
    <row r="98" spans="1:16">
      <c r="A98" s="451">
        <f t="shared" si="40"/>
        <v>90</v>
      </c>
      <c r="B98" s="253"/>
      <c r="C98" s="416"/>
      <c r="D98" s="417"/>
      <c r="E98" s="406"/>
      <c r="F98" s="404"/>
      <c r="G98" s="404"/>
      <c r="H98" s="404"/>
      <c r="I98" s="404"/>
      <c r="J98" s="404"/>
      <c r="K98" s="404"/>
      <c r="L98" s="404"/>
      <c r="M98" s="404"/>
      <c r="N98" s="404"/>
      <c r="O98" s="404"/>
      <c r="P98" s="404"/>
    </row>
    <row r="99" spans="1:16">
      <c r="A99" s="451">
        <f t="shared" si="40"/>
        <v>91</v>
      </c>
      <c r="B99" s="253" t="str">
        <f>+B97</f>
        <v>53E - Customer Owned</v>
      </c>
      <c r="C99" s="418" t="s">
        <v>928</v>
      </c>
      <c r="D99" s="415" t="s">
        <v>929</v>
      </c>
      <c r="E99" s="406">
        <v>0</v>
      </c>
      <c r="F99" s="407">
        <v>0.41960711325487821</v>
      </c>
      <c r="G99" s="407">
        <v>0.24784727799283984</v>
      </c>
      <c r="H99" s="407">
        <v>0.45424292144991052</v>
      </c>
      <c r="I99" s="407">
        <v>0.68727411931988447</v>
      </c>
      <c r="J99" s="407">
        <f t="shared" si="27"/>
        <v>1.81</v>
      </c>
      <c r="K99" s="423">
        <v>296</v>
      </c>
      <c r="L99" s="424">
        <f t="shared" ref="L99:L107" si="52">+K99*J99*12</f>
        <v>6429.12</v>
      </c>
      <c r="M99" s="407">
        <f t="shared" ref="M99:M107" si="53">SUM(E99:G99)</f>
        <v>0.66745439124771799</v>
      </c>
      <c r="N99" s="424">
        <f t="shared" ref="N99:N107" si="54">+M99*K99*12</f>
        <v>2370.7979977118939</v>
      </c>
      <c r="O99" s="407">
        <f t="shared" ref="O99:O107" si="55">ROUND(M99*$N$13,2)</f>
        <v>0.01</v>
      </c>
      <c r="P99" s="407">
        <f t="shared" ref="P99:P107" si="56">+O99+J99</f>
        <v>1.82</v>
      </c>
    </row>
    <row r="100" spans="1:16">
      <c r="A100" s="451">
        <f t="shared" si="40"/>
        <v>92</v>
      </c>
      <c r="B100" s="253" t="str">
        <f>B99</f>
        <v>53E - Customer Owned</v>
      </c>
      <c r="C100" s="418" t="s">
        <v>928</v>
      </c>
      <c r="D100" s="415" t="s">
        <v>930</v>
      </c>
      <c r="E100" s="406">
        <v>0</v>
      </c>
      <c r="F100" s="407">
        <v>0.41960711325487821</v>
      </c>
      <c r="G100" s="407">
        <v>0.41307879665473307</v>
      </c>
      <c r="H100" s="407">
        <v>0.75707153574985075</v>
      </c>
      <c r="I100" s="407">
        <v>1.1454568655331407</v>
      </c>
      <c r="J100" s="407">
        <f t="shared" si="27"/>
        <v>2.74</v>
      </c>
      <c r="K100" s="423">
        <v>409</v>
      </c>
      <c r="L100" s="424">
        <f t="shared" si="52"/>
        <v>13447.920000000002</v>
      </c>
      <c r="M100" s="407">
        <f t="shared" si="53"/>
        <v>0.83268590990961133</v>
      </c>
      <c r="N100" s="424">
        <f t="shared" si="54"/>
        <v>4086.8224458363729</v>
      </c>
      <c r="O100" s="407">
        <f t="shared" si="55"/>
        <v>0.01</v>
      </c>
      <c r="P100" s="407">
        <f t="shared" si="56"/>
        <v>2.75</v>
      </c>
    </row>
    <row r="101" spans="1:16">
      <c r="A101" s="451">
        <f t="shared" si="40"/>
        <v>93</v>
      </c>
      <c r="B101" s="253" t="str">
        <f t="shared" ref="B101:B107" si="57">B100</f>
        <v>53E - Customer Owned</v>
      </c>
      <c r="C101" s="418" t="s">
        <v>928</v>
      </c>
      <c r="D101" s="415" t="s">
        <v>931</v>
      </c>
      <c r="E101" s="406">
        <v>0</v>
      </c>
      <c r="F101" s="407">
        <v>0.41960711325487821</v>
      </c>
      <c r="G101" s="407">
        <v>0.57831031531662636</v>
      </c>
      <c r="H101" s="407">
        <v>1.0599001500497911</v>
      </c>
      <c r="I101" s="407">
        <v>1.6036396117463971</v>
      </c>
      <c r="J101" s="407">
        <f t="shared" si="27"/>
        <v>3.66</v>
      </c>
      <c r="K101" s="423">
        <v>452</v>
      </c>
      <c r="L101" s="424">
        <f t="shared" si="52"/>
        <v>19851.840000000004</v>
      </c>
      <c r="M101" s="407">
        <f t="shared" si="53"/>
        <v>0.99791742857150456</v>
      </c>
      <c r="N101" s="424">
        <f t="shared" si="54"/>
        <v>5412.704132571841</v>
      </c>
      <c r="O101" s="407">
        <f t="shared" si="55"/>
        <v>0.02</v>
      </c>
      <c r="P101" s="407">
        <f t="shared" si="56"/>
        <v>3.68</v>
      </c>
    </row>
    <row r="102" spans="1:16">
      <c r="A102" s="451">
        <f t="shared" si="40"/>
        <v>94</v>
      </c>
      <c r="B102" s="253" t="str">
        <f t="shared" si="57"/>
        <v>53E - Customer Owned</v>
      </c>
      <c r="C102" s="418" t="s">
        <v>928</v>
      </c>
      <c r="D102" s="415" t="s">
        <v>932</v>
      </c>
      <c r="E102" s="406">
        <v>0</v>
      </c>
      <c r="F102" s="407">
        <v>0.41960711325487821</v>
      </c>
      <c r="G102" s="407">
        <v>0.74354183397851958</v>
      </c>
      <c r="H102" s="407">
        <v>1.3627287643497317</v>
      </c>
      <c r="I102" s="407">
        <v>2.0618223579596537</v>
      </c>
      <c r="J102" s="407">
        <f t="shared" si="27"/>
        <v>4.59</v>
      </c>
      <c r="K102" s="423">
        <v>10</v>
      </c>
      <c r="L102" s="424">
        <f t="shared" si="52"/>
        <v>550.79999999999995</v>
      </c>
      <c r="M102" s="407">
        <f t="shared" si="53"/>
        <v>1.1631489472333978</v>
      </c>
      <c r="N102" s="424">
        <f t="shared" si="54"/>
        <v>139.57787366800773</v>
      </c>
      <c r="O102" s="407">
        <f t="shared" si="55"/>
        <v>0.02</v>
      </c>
      <c r="P102" s="407">
        <f t="shared" si="56"/>
        <v>4.6099999999999994</v>
      </c>
    </row>
    <row r="103" spans="1:16">
      <c r="A103" s="451">
        <f t="shared" si="40"/>
        <v>95</v>
      </c>
      <c r="B103" s="253" t="str">
        <f t="shared" si="57"/>
        <v>53E - Customer Owned</v>
      </c>
      <c r="C103" s="418" t="s">
        <v>928</v>
      </c>
      <c r="D103" s="415" t="s">
        <v>933</v>
      </c>
      <c r="E103" s="406">
        <v>0</v>
      </c>
      <c r="F103" s="407">
        <v>0.41960711325487821</v>
      </c>
      <c r="G103" s="407">
        <v>0.90877335264041281</v>
      </c>
      <c r="H103" s="407">
        <v>1.6655573786496718</v>
      </c>
      <c r="I103" s="407">
        <v>2.5200051041729097</v>
      </c>
      <c r="J103" s="407">
        <f t="shared" si="27"/>
        <v>5.51</v>
      </c>
      <c r="K103" s="423">
        <v>987</v>
      </c>
      <c r="L103" s="424">
        <f t="shared" si="52"/>
        <v>65260.44</v>
      </c>
      <c r="M103" s="407">
        <f t="shared" si="53"/>
        <v>1.3283804658952909</v>
      </c>
      <c r="N103" s="424">
        <f t="shared" si="54"/>
        <v>15733.338238063825</v>
      </c>
      <c r="O103" s="407">
        <f t="shared" si="55"/>
        <v>0.02</v>
      </c>
      <c r="P103" s="407">
        <f t="shared" si="56"/>
        <v>5.5299999999999994</v>
      </c>
    </row>
    <row r="104" spans="1:16">
      <c r="A104" s="451">
        <f t="shared" si="40"/>
        <v>96</v>
      </c>
      <c r="B104" s="253" t="str">
        <f t="shared" si="57"/>
        <v>53E - Customer Owned</v>
      </c>
      <c r="C104" s="418" t="s">
        <v>928</v>
      </c>
      <c r="D104" s="415" t="s">
        <v>934</v>
      </c>
      <c r="E104" s="406">
        <v>0</v>
      </c>
      <c r="F104" s="407">
        <v>0.41960711325487821</v>
      </c>
      <c r="G104" s="407">
        <v>1.074004871302306</v>
      </c>
      <c r="H104" s="407">
        <v>1.9683859929496124</v>
      </c>
      <c r="I104" s="407">
        <v>2.9781878503861661</v>
      </c>
      <c r="J104" s="407">
        <f t="shared" si="27"/>
        <v>6.44</v>
      </c>
      <c r="K104" s="423">
        <v>1</v>
      </c>
      <c r="L104" s="424">
        <f t="shared" si="52"/>
        <v>77.28</v>
      </c>
      <c r="M104" s="407">
        <f t="shared" si="53"/>
        <v>1.4936119845571842</v>
      </c>
      <c r="N104" s="424">
        <f t="shared" si="54"/>
        <v>17.923343814686213</v>
      </c>
      <c r="O104" s="407">
        <f t="shared" si="55"/>
        <v>0.02</v>
      </c>
      <c r="P104" s="407">
        <f t="shared" si="56"/>
        <v>6.46</v>
      </c>
    </row>
    <row r="105" spans="1:16">
      <c r="A105" s="451">
        <f t="shared" si="40"/>
        <v>97</v>
      </c>
      <c r="B105" s="253" t="str">
        <f t="shared" si="57"/>
        <v>53E - Customer Owned</v>
      </c>
      <c r="C105" s="418" t="s">
        <v>928</v>
      </c>
      <c r="D105" s="415" t="s">
        <v>935</v>
      </c>
      <c r="E105" s="406">
        <v>0</v>
      </c>
      <c r="F105" s="407">
        <v>0.41960711325487821</v>
      </c>
      <c r="G105" s="407">
        <v>1.2392363899641992</v>
      </c>
      <c r="H105" s="407">
        <v>2.2712146072495525</v>
      </c>
      <c r="I105" s="407">
        <v>3.4363705965994225</v>
      </c>
      <c r="J105" s="407">
        <f t="shared" si="27"/>
        <v>7.37</v>
      </c>
      <c r="K105" s="423">
        <v>0</v>
      </c>
      <c r="L105" s="424">
        <f t="shared" si="52"/>
        <v>0</v>
      </c>
      <c r="M105" s="407">
        <f t="shared" si="53"/>
        <v>1.6588435032190774</v>
      </c>
      <c r="N105" s="424">
        <f t="shared" si="54"/>
        <v>0</v>
      </c>
      <c r="O105" s="407">
        <f t="shared" si="55"/>
        <v>0.03</v>
      </c>
      <c r="P105" s="407">
        <f t="shared" si="56"/>
        <v>7.4</v>
      </c>
    </row>
    <row r="106" spans="1:16">
      <c r="A106" s="451">
        <f t="shared" si="40"/>
        <v>98</v>
      </c>
      <c r="B106" s="253" t="str">
        <f t="shared" si="57"/>
        <v>53E - Customer Owned</v>
      </c>
      <c r="C106" s="418" t="s">
        <v>928</v>
      </c>
      <c r="D106" s="415" t="s">
        <v>936</v>
      </c>
      <c r="E106" s="406">
        <v>0</v>
      </c>
      <c r="F106" s="407">
        <v>0.41960711325487821</v>
      </c>
      <c r="G106" s="407">
        <v>1.4044679086260925</v>
      </c>
      <c r="H106" s="407">
        <v>2.5740432215494931</v>
      </c>
      <c r="I106" s="407">
        <v>3.8945533428126788</v>
      </c>
      <c r="J106" s="407">
        <f t="shared" si="27"/>
        <v>8.2899999999999991</v>
      </c>
      <c r="K106" s="423">
        <v>0</v>
      </c>
      <c r="L106" s="424">
        <f t="shared" si="52"/>
        <v>0</v>
      </c>
      <c r="M106" s="407">
        <f t="shared" si="53"/>
        <v>1.8240750218809707</v>
      </c>
      <c r="N106" s="424">
        <f t="shared" si="54"/>
        <v>0</v>
      </c>
      <c r="O106" s="407">
        <f t="shared" si="55"/>
        <v>0.03</v>
      </c>
      <c r="P106" s="407">
        <f t="shared" si="56"/>
        <v>8.3199999999999985</v>
      </c>
    </row>
    <row r="107" spans="1:16">
      <c r="A107" s="451">
        <f t="shared" si="40"/>
        <v>99</v>
      </c>
      <c r="B107" s="253" t="str">
        <f t="shared" si="57"/>
        <v>53E - Customer Owned</v>
      </c>
      <c r="C107" s="418" t="s">
        <v>928</v>
      </c>
      <c r="D107" s="415" t="s">
        <v>937</v>
      </c>
      <c r="E107" s="406">
        <v>0</v>
      </c>
      <c r="F107" s="407">
        <v>0.41960711325487821</v>
      </c>
      <c r="G107" s="407">
        <v>1.5696994272879856</v>
      </c>
      <c r="H107" s="407">
        <v>2.8768718358494336</v>
      </c>
      <c r="I107" s="407">
        <v>4.3527360890259352</v>
      </c>
      <c r="J107" s="407">
        <f t="shared" si="27"/>
        <v>9.2200000000000006</v>
      </c>
      <c r="K107" s="423">
        <v>0</v>
      </c>
      <c r="L107" s="424">
        <f t="shared" si="52"/>
        <v>0</v>
      </c>
      <c r="M107" s="407">
        <f t="shared" si="53"/>
        <v>1.9893065405428638</v>
      </c>
      <c r="N107" s="424">
        <f t="shared" si="54"/>
        <v>0</v>
      </c>
      <c r="O107" s="407">
        <f t="shared" si="55"/>
        <v>0.03</v>
      </c>
      <c r="P107" s="407">
        <f t="shared" si="56"/>
        <v>9.25</v>
      </c>
    </row>
    <row r="108" spans="1:16">
      <c r="A108" s="451">
        <f t="shared" si="40"/>
        <v>100</v>
      </c>
      <c r="B108" s="263"/>
      <c r="C108" s="416"/>
      <c r="D108" s="417"/>
      <c r="E108" s="406"/>
      <c r="F108" s="404"/>
      <c r="G108" s="404"/>
      <c r="H108" s="404"/>
      <c r="I108" s="404"/>
      <c r="J108" s="404"/>
      <c r="K108" s="404"/>
      <c r="L108" s="404"/>
      <c r="M108" s="404"/>
      <c r="N108" s="404"/>
      <c r="O108" s="404"/>
      <c r="P108" s="404"/>
    </row>
    <row r="109" spans="1:16">
      <c r="A109" s="451">
        <f t="shared" si="40"/>
        <v>101</v>
      </c>
      <c r="B109" s="250" t="s">
        <v>945</v>
      </c>
      <c r="C109" s="250"/>
      <c r="D109" s="403"/>
      <c r="E109" s="406"/>
      <c r="F109" s="404"/>
      <c r="G109" s="404"/>
      <c r="H109" s="404"/>
      <c r="I109" s="404"/>
      <c r="J109" s="404"/>
      <c r="K109" s="404"/>
      <c r="L109" s="404"/>
      <c r="M109" s="404"/>
      <c r="N109" s="404"/>
      <c r="O109" s="404"/>
      <c r="P109" s="404"/>
    </row>
    <row r="110" spans="1:16">
      <c r="A110" s="451">
        <f t="shared" si="40"/>
        <v>102</v>
      </c>
      <c r="B110" s="253" t="s">
        <v>946</v>
      </c>
      <c r="C110" s="416" t="s">
        <v>940</v>
      </c>
      <c r="D110" s="417">
        <v>50</v>
      </c>
      <c r="E110" s="406">
        <v>0</v>
      </c>
      <c r="F110" s="407">
        <v>0</v>
      </c>
      <c r="G110" s="407">
        <v>0.27538586443648871</v>
      </c>
      <c r="H110" s="407">
        <v>0.50471435716656721</v>
      </c>
      <c r="I110" s="407">
        <v>0.76363791035542727</v>
      </c>
      <c r="J110" s="407">
        <f t="shared" ref="J110:J118" si="58">ROUND(SUM(E110:I110),2)</f>
        <v>1.54</v>
      </c>
      <c r="K110" s="423">
        <v>38</v>
      </c>
      <c r="L110" s="424">
        <f t="shared" ref="L110:L118" si="59">+K110*J110*12</f>
        <v>702.24</v>
      </c>
      <c r="M110" s="407">
        <f t="shared" ref="M110:M118" si="60">SUM(E110:G110)</f>
        <v>0.27538586443648871</v>
      </c>
      <c r="N110" s="424">
        <f t="shared" ref="N110:N118" si="61">+M110*K110*12</f>
        <v>125.57595418303885</v>
      </c>
      <c r="O110" s="407">
        <f t="shared" ref="O110:O118" si="62">ROUND(M110*$N$13,2)</f>
        <v>0</v>
      </c>
      <c r="P110" s="407">
        <f t="shared" ref="P110:P118" si="63">+O110+J110</f>
        <v>1.54</v>
      </c>
    </row>
    <row r="111" spans="1:16">
      <c r="A111" s="451">
        <f t="shared" si="40"/>
        <v>103</v>
      </c>
      <c r="B111" s="253" t="str">
        <f t="shared" ref="B111:B118" si="64">+B110</f>
        <v>54E</v>
      </c>
      <c r="C111" s="416" t="s">
        <v>940</v>
      </c>
      <c r="D111" s="417">
        <v>70</v>
      </c>
      <c r="E111" s="406">
        <v>0</v>
      </c>
      <c r="F111" s="407">
        <v>0</v>
      </c>
      <c r="G111" s="407">
        <v>0.3855402102110842</v>
      </c>
      <c r="H111" s="407">
        <v>0.70660010003319418</v>
      </c>
      <c r="I111" s="407">
        <v>1.0690930744975982</v>
      </c>
      <c r="J111" s="407">
        <f t="shared" si="58"/>
        <v>2.16</v>
      </c>
      <c r="K111" s="423">
        <v>797</v>
      </c>
      <c r="L111" s="424">
        <f t="shared" si="59"/>
        <v>20658.240000000002</v>
      </c>
      <c r="M111" s="407">
        <f t="shared" si="60"/>
        <v>0.3855402102110842</v>
      </c>
      <c r="N111" s="424">
        <f t="shared" si="61"/>
        <v>3687.3065704588089</v>
      </c>
      <c r="O111" s="407">
        <f t="shared" si="62"/>
        <v>0.01</v>
      </c>
      <c r="P111" s="407">
        <f t="shared" si="63"/>
        <v>2.17</v>
      </c>
    </row>
    <row r="112" spans="1:16">
      <c r="A112" s="451">
        <f t="shared" si="40"/>
        <v>104</v>
      </c>
      <c r="B112" s="253" t="str">
        <f t="shared" si="64"/>
        <v>54E</v>
      </c>
      <c r="C112" s="416" t="s">
        <v>940</v>
      </c>
      <c r="D112" s="417">
        <v>100</v>
      </c>
      <c r="E112" s="406">
        <v>0</v>
      </c>
      <c r="F112" s="407">
        <v>0</v>
      </c>
      <c r="G112" s="407">
        <v>0.55077172887297743</v>
      </c>
      <c r="H112" s="407">
        <v>1.0094287143331344</v>
      </c>
      <c r="I112" s="407">
        <v>1.5272758207108545</v>
      </c>
      <c r="J112" s="407">
        <f t="shared" si="58"/>
        <v>3.09</v>
      </c>
      <c r="K112" s="423">
        <v>1936</v>
      </c>
      <c r="L112" s="424">
        <f t="shared" si="59"/>
        <v>71786.880000000005</v>
      </c>
      <c r="M112" s="407">
        <f t="shared" si="60"/>
        <v>0.55077172887297743</v>
      </c>
      <c r="N112" s="424">
        <f t="shared" si="61"/>
        <v>12795.528805177011</v>
      </c>
      <c r="O112" s="407">
        <f t="shared" si="62"/>
        <v>0.01</v>
      </c>
      <c r="P112" s="407">
        <f t="shared" si="63"/>
        <v>3.0999999999999996</v>
      </c>
    </row>
    <row r="113" spans="1:16">
      <c r="A113" s="451">
        <f t="shared" si="40"/>
        <v>105</v>
      </c>
      <c r="B113" s="253" t="str">
        <f t="shared" si="64"/>
        <v>54E</v>
      </c>
      <c r="C113" s="416" t="s">
        <v>940</v>
      </c>
      <c r="D113" s="417">
        <v>150</v>
      </c>
      <c r="E113" s="406">
        <v>0</v>
      </c>
      <c r="F113" s="407">
        <v>0</v>
      </c>
      <c r="G113" s="407">
        <v>0.82615759330946614</v>
      </c>
      <c r="H113" s="407">
        <v>1.5141430714997015</v>
      </c>
      <c r="I113" s="407">
        <v>2.2909137310662815</v>
      </c>
      <c r="J113" s="407">
        <f t="shared" si="58"/>
        <v>4.63</v>
      </c>
      <c r="K113" s="423">
        <v>746</v>
      </c>
      <c r="L113" s="424">
        <f t="shared" si="59"/>
        <v>41447.760000000002</v>
      </c>
      <c r="M113" s="407">
        <f t="shared" si="60"/>
        <v>0.82615759330946614</v>
      </c>
      <c r="N113" s="424">
        <f t="shared" si="61"/>
        <v>7395.7627753063407</v>
      </c>
      <c r="O113" s="407">
        <f t="shared" si="62"/>
        <v>0.01</v>
      </c>
      <c r="P113" s="407">
        <f t="shared" si="63"/>
        <v>4.6399999999999997</v>
      </c>
    </row>
    <row r="114" spans="1:16">
      <c r="A114" s="451">
        <f t="shared" si="40"/>
        <v>106</v>
      </c>
      <c r="B114" s="253" t="str">
        <f t="shared" si="64"/>
        <v>54E</v>
      </c>
      <c r="C114" s="416" t="s">
        <v>940</v>
      </c>
      <c r="D114" s="417">
        <v>200</v>
      </c>
      <c r="E114" s="406">
        <v>0</v>
      </c>
      <c r="F114" s="407">
        <v>0</v>
      </c>
      <c r="G114" s="407">
        <v>1.1015434577459549</v>
      </c>
      <c r="H114" s="407">
        <v>2.0188574286662688</v>
      </c>
      <c r="I114" s="407">
        <v>3.0545516414217091</v>
      </c>
      <c r="J114" s="407">
        <f t="shared" si="58"/>
        <v>6.17</v>
      </c>
      <c r="K114" s="423">
        <v>756</v>
      </c>
      <c r="L114" s="424">
        <f t="shared" si="59"/>
        <v>55974.239999999991</v>
      </c>
      <c r="M114" s="407">
        <f t="shared" si="60"/>
        <v>1.1015434577459549</v>
      </c>
      <c r="N114" s="424">
        <f t="shared" si="61"/>
        <v>9993.2022486713031</v>
      </c>
      <c r="O114" s="407">
        <f t="shared" si="62"/>
        <v>0.02</v>
      </c>
      <c r="P114" s="407">
        <f t="shared" si="63"/>
        <v>6.1899999999999995</v>
      </c>
    </row>
    <row r="115" spans="1:16">
      <c r="A115" s="451">
        <f t="shared" si="40"/>
        <v>107</v>
      </c>
      <c r="B115" s="253" t="str">
        <f t="shared" si="64"/>
        <v>54E</v>
      </c>
      <c r="C115" s="416" t="s">
        <v>940</v>
      </c>
      <c r="D115" s="417">
        <v>250</v>
      </c>
      <c r="E115" s="406">
        <v>0</v>
      </c>
      <c r="F115" s="407">
        <v>0</v>
      </c>
      <c r="G115" s="407">
        <v>1.3769293221824437</v>
      </c>
      <c r="H115" s="407">
        <v>2.5235717858328361</v>
      </c>
      <c r="I115" s="407">
        <v>3.8181895517771363</v>
      </c>
      <c r="J115" s="407">
        <f t="shared" si="58"/>
        <v>7.72</v>
      </c>
      <c r="K115" s="423">
        <v>1872</v>
      </c>
      <c r="L115" s="424">
        <f t="shared" si="59"/>
        <v>173422.08000000002</v>
      </c>
      <c r="M115" s="407">
        <f t="shared" si="60"/>
        <v>1.3769293221824437</v>
      </c>
      <c r="N115" s="424">
        <f t="shared" si="61"/>
        <v>30931.340293506415</v>
      </c>
      <c r="O115" s="407">
        <f t="shared" si="62"/>
        <v>0.02</v>
      </c>
      <c r="P115" s="407">
        <f t="shared" si="63"/>
        <v>7.7399999999999993</v>
      </c>
    </row>
    <row r="116" spans="1:16">
      <c r="A116" s="451">
        <f t="shared" si="40"/>
        <v>108</v>
      </c>
      <c r="B116" s="253" t="str">
        <f t="shared" si="64"/>
        <v>54E</v>
      </c>
      <c r="C116" s="416" t="s">
        <v>940</v>
      </c>
      <c r="D116" s="417">
        <v>310</v>
      </c>
      <c r="E116" s="406">
        <v>0</v>
      </c>
      <c r="F116" s="407">
        <v>0</v>
      </c>
      <c r="G116" s="407">
        <v>1.7073923595062301</v>
      </c>
      <c r="H116" s="407">
        <v>3.1292290144327168</v>
      </c>
      <c r="I116" s="407">
        <v>4.734555044203649</v>
      </c>
      <c r="J116" s="407">
        <f t="shared" si="58"/>
        <v>9.57</v>
      </c>
      <c r="K116" s="423">
        <v>77</v>
      </c>
      <c r="L116" s="424">
        <f t="shared" si="59"/>
        <v>8842.68</v>
      </c>
      <c r="M116" s="407">
        <f t="shared" si="60"/>
        <v>1.7073923595062301</v>
      </c>
      <c r="N116" s="424">
        <f t="shared" si="61"/>
        <v>1577.6305401837567</v>
      </c>
      <c r="O116" s="407">
        <f t="shared" si="62"/>
        <v>0.03</v>
      </c>
      <c r="P116" s="407">
        <f t="shared" si="63"/>
        <v>9.6</v>
      </c>
    </row>
    <row r="117" spans="1:16">
      <c r="A117" s="451">
        <f t="shared" si="40"/>
        <v>109</v>
      </c>
      <c r="B117" s="253" t="str">
        <f t="shared" si="64"/>
        <v>54E</v>
      </c>
      <c r="C117" s="416" t="s">
        <v>940</v>
      </c>
      <c r="D117" s="417">
        <v>400</v>
      </c>
      <c r="E117" s="406">
        <v>0</v>
      </c>
      <c r="F117" s="407">
        <v>0</v>
      </c>
      <c r="G117" s="407">
        <v>2.2030869154919097</v>
      </c>
      <c r="H117" s="407">
        <v>4.0377148573325377</v>
      </c>
      <c r="I117" s="407">
        <v>6.1091032828434182</v>
      </c>
      <c r="J117" s="407">
        <f t="shared" si="58"/>
        <v>12.35</v>
      </c>
      <c r="K117" s="423">
        <v>1401</v>
      </c>
      <c r="L117" s="424">
        <f t="shared" si="59"/>
        <v>207628.19999999998</v>
      </c>
      <c r="M117" s="407">
        <f t="shared" si="60"/>
        <v>2.2030869154919097</v>
      </c>
      <c r="N117" s="424">
        <f t="shared" si="61"/>
        <v>37038.297223249989</v>
      </c>
      <c r="O117" s="407">
        <f t="shared" si="62"/>
        <v>0.03</v>
      </c>
      <c r="P117" s="407">
        <f t="shared" si="63"/>
        <v>12.379999999999999</v>
      </c>
    </row>
    <row r="118" spans="1:16">
      <c r="A118" s="451">
        <f t="shared" si="40"/>
        <v>110</v>
      </c>
      <c r="B118" s="253" t="str">
        <f t="shared" si="64"/>
        <v>54E</v>
      </c>
      <c r="C118" s="416" t="s">
        <v>940</v>
      </c>
      <c r="D118" s="417">
        <v>1000</v>
      </c>
      <c r="E118" s="406">
        <v>0</v>
      </c>
      <c r="F118" s="407">
        <v>0</v>
      </c>
      <c r="G118" s="407">
        <v>5.5077172887297747</v>
      </c>
      <c r="H118" s="407">
        <v>10.094287143331345</v>
      </c>
      <c r="I118" s="407">
        <v>15.272758207108545</v>
      </c>
      <c r="J118" s="407">
        <f t="shared" si="58"/>
        <v>30.87</v>
      </c>
      <c r="K118" s="423">
        <v>11</v>
      </c>
      <c r="L118" s="424">
        <f t="shared" si="59"/>
        <v>4074.84</v>
      </c>
      <c r="M118" s="407">
        <f t="shared" si="60"/>
        <v>5.5077172887297747</v>
      </c>
      <c r="N118" s="424">
        <f t="shared" si="61"/>
        <v>727.01868211233023</v>
      </c>
      <c r="O118" s="407">
        <f t="shared" si="62"/>
        <v>0.08</v>
      </c>
      <c r="P118" s="407">
        <f t="shared" si="63"/>
        <v>30.95</v>
      </c>
    </row>
    <row r="119" spans="1:16">
      <c r="A119" s="451">
        <f t="shared" si="40"/>
        <v>111</v>
      </c>
      <c r="B119" s="263"/>
      <c r="C119" s="416"/>
      <c r="D119" s="417"/>
      <c r="E119" s="406"/>
      <c r="F119" s="404"/>
      <c r="G119" s="404"/>
      <c r="H119" s="404"/>
      <c r="I119" s="404"/>
      <c r="J119" s="404"/>
      <c r="K119" s="404"/>
      <c r="L119" s="404"/>
      <c r="M119" s="404"/>
      <c r="N119" s="404"/>
      <c r="O119" s="404"/>
      <c r="P119" s="404"/>
    </row>
    <row r="120" spans="1:16">
      <c r="A120" s="451"/>
      <c r="B120" s="263"/>
      <c r="C120" s="416"/>
      <c r="D120" s="417"/>
      <c r="E120" s="406"/>
      <c r="F120" s="404"/>
      <c r="G120" s="404"/>
      <c r="H120" s="404"/>
      <c r="I120" s="404"/>
      <c r="J120" s="404"/>
      <c r="K120" s="404"/>
      <c r="L120" s="404"/>
      <c r="M120" s="404"/>
      <c r="N120" s="404"/>
      <c r="O120" s="404"/>
      <c r="P120" s="404"/>
    </row>
    <row r="121" spans="1:16">
      <c r="A121" s="451">
        <f>A119+1</f>
        <v>112</v>
      </c>
      <c r="B121" s="253" t="str">
        <f>+B118</f>
        <v>54E</v>
      </c>
      <c r="C121" s="418" t="s">
        <v>928</v>
      </c>
      <c r="D121" s="415" t="s">
        <v>929</v>
      </c>
      <c r="E121" s="406">
        <v>0</v>
      </c>
      <c r="F121" s="407">
        <v>0</v>
      </c>
      <c r="G121" s="407">
        <v>0.24784727799283984</v>
      </c>
      <c r="H121" s="407">
        <v>0.45424292144991052</v>
      </c>
      <c r="I121" s="407">
        <v>0.68727411931988447</v>
      </c>
      <c r="J121" s="407">
        <f t="shared" ref="J121:J129" si="65">ROUND(SUM(E121:I121),2)</f>
        <v>1.39</v>
      </c>
      <c r="K121" s="423">
        <v>1132</v>
      </c>
      <c r="L121" s="424">
        <f t="shared" ref="L121:L129" si="66">+K121*J121*12</f>
        <v>18881.759999999998</v>
      </c>
      <c r="M121" s="407">
        <f t="shared" ref="M121:M129" si="67">SUM(E121:G121)</f>
        <v>0.24784727799283984</v>
      </c>
      <c r="N121" s="424">
        <f t="shared" ref="N121:N129" si="68">+M121*K121*12</f>
        <v>3366.7574242547362</v>
      </c>
      <c r="O121" s="407">
        <f t="shared" ref="O121:O129" si="69">ROUND(M121*$N$13,2)</f>
        <v>0</v>
      </c>
      <c r="P121" s="407">
        <f t="shared" ref="P121:P129" si="70">+O121+J121</f>
        <v>1.39</v>
      </c>
    </row>
    <row r="122" spans="1:16">
      <c r="A122" s="451">
        <f t="shared" ref="A122:A144" si="71">A121+1</f>
        <v>113</v>
      </c>
      <c r="B122" s="253" t="str">
        <f t="shared" ref="B122:B129" si="72">+B121</f>
        <v>54E</v>
      </c>
      <c r="C122" s="418" t="s">
        <v>928</v>
      </c>
      <c r="D122" s="415" t="s">
        <v>930</v>
      </c>
      <c r="E122" s="406">
        <v>0</v>
      </c>
      <c r="F122" s="407">
        <v>0</v>
      </c>
      <c r="G122" s="407">
        <v>0.41307879665473307</v>
      </c>
      <c r="H122" s="407">
        <v>0.75707153574985075</v>
      </c>
      <c r="I122" s="407">
        <v>1.1454568655331407</v>
      </c>
      <c r="J122" s="407">
        <f t="shared" si="65"/>
        <v>2.3199999999999998</v>
      </c>
      <c r="K122" s="423">
        <v>0</v>
      </c>
      <c r="L122" s="424">
        <f t="shared" si="66"/>
        <v>0</v>
      </c>
      <c r="M122" s="407">
        <f t="shared" si="67"/>
        <v>0.41307879665473307</v>
      </c>
      <c r="N122" s="424">
        <f t="shared" si="68"/>
        <v>0</v>
      </c>
      <c r="O122" s="407">
        <f t="shared" si="69"/>
        <v>0.01</v>
      </c>
      <c r="P122" s="407">
        <f t="shared" si="70"/>
        <v>2.3299999999999996</v>
      </c>
    </row>
    <row r="123" spans="1:16">
      <c r="A123" s="451">
        <f t="shared" si="71"/>
        <v>114</v>
      </c>
      <c r="B123" s="253" t="str">
        <f t="shared" si="72"/>
        <v>54E</v>
      </c>
      <c r="C123" s="418" t="s">
        <v>928</v>
      </c>
      <c r="D123" s="415" t="s">
        <v>931</v>
      </c>
      <c r="E123" s="406">
        <v>0</v>
      </c>
      <c r="F123" s="407">
        <v>0</v>
      </c>
      <c r="G123" s="407">
        <v>0.57831031531662636</v>
      </c>
      <c r="H123" s="407">
        <v>1.0599001500497911</v>
      </c>
      <c r="I123" s="407">
        <v>1.6036396117463971</v>
      </c>
      <c r="J123" s="407">
        <f t="shared" si="65"/>
        <v>3.24</v>
      </c>
      <c r="K123" s="423">
        <v>1517</v>
      </c>
      <c r="L123" s="424">
        <f t="shared" si="66"/>
        <v>58980.959999999999</v>
      </c>
      <c r="M123" s="407">
        <f t="shared" si="67"/>
        <v>0.57831031531662636</v>
      </c>
      <c r="N123" s="424">
        <f t="shared" si="68"/>
        <v>10527.560980023865</v>
      </c>
      <c r="O123" s="407">
        <f t="shared" si="69"/>
        <v>0.01</v>
      </c>
      <c r="P123" s="407">
        <f t="shared" si="70"/>
        <v>3.25</v>
      </c>
    </row>
    <row r="124" spans="1:16">
      <c r="A124" s="451">
        <f t="shared" si="71"/>
        <v>115</v>
      </c>
      <c r="B124" s="253" t="str">
        <f t="shared" si="72"/>
        <v>54E</v>
      </c>
      <c r="C124" s="418" t="s">
        <v>928</v>
      </c>
      <c r="D124" s="415" t="s">
        <v>932</v>
      </c>
      <c r="E124" s="406">
        <v>0</v>
      </c>
      <c r="F124" s="407">
        <v>0</v>
      </c>
      <c r="G124" s="407">
        <v>0.74354183397851958</v>
      </c>
      <c r="H124" s="407">
        <v>1.3627287643497317</v>
      </c>
      <c r="I124" s="407">
        <v>2.0618223579596537</v>
      </c>
      <c r="J124" s="407">
        <f t="shared" si="65"/>
        <v>4.17</v>
      </c>
      <c r="K124" s="423">
        <v>722</v>
      </c>
      <c r="L124" s="424">
        <f t="shared" si="66"/>
        <v>36128.879999999997</v>
      </c>
      <c r="M124" s="407">
        <f t="shared" si="67"/>
        <v>0.74354183397851958</v>
      </c>
      <c r="N124" s="424">
        <f t="shared" si="68"/>
        <v>6442.0464495898941</v>
      </c>
      <c r="O124" s="407">
        <f t="shared" si="69"/>
        <v>0.01</v>
      </c>
      <c r="P124" s="407">
        <f t="shared" si="70"/>
        <v>4.18</v>
      </c>
    </row>
    <row r="125" spans="1:16">
      <c r="A125" s="451">
        <f t="shared" si="71"/>
        <v>116</v>
      </c>
      <c r="B125" s="253" t="str">
        <f t="shared" si="72"/>
        <v>54E</v>
      </c>
      <c r="C125" s="418" t="s">
        <v>928</v>
      </c>
      <c r="D125" s="415" t="s">
        <v>933</v>
      </c>
      <c r="E125" s="406">
        <v>0</v>
      </c>
      <c r="F125" s="407">
        <v>0</v>
      </c>
      <c r="G125" s="407">
        <v>0.90877335264041281</v>
      </c>
      <c r="H125" s="407">
        <v>1.6655573786496718</v>
      </c>
      <c r="I125" s="407">
        <v>2.5200051041729097</v>
      </c>
      <c r="J125" s="407">
        <f t="shared" si="65"/>
        <v>5.09</v>
      </c>
      <c r="K125" s="423">
        <v>290</v>
      </c>
      <c r="L125" s="424">
        <f t="shared" si="66"/>
        <v>17713.199999999997</v>
      </c>
      <c r="M125" s="407">
        <f t="shared" si="67"/>
        <v>0.90877335264041281</v>
      </c>
      <c r="N125" s="424">
        <f t="shared" si="68"/>
        <v>3162.5312671886368</v>
      </c>
      <c r="O125" s="407">
        <f t="shared" si="69"/>
        <v>0.01</v>
      </c>
      <c r="P125" s="407">
        <f t="shared" si="70"/>
        <v>5.0999999999999996</v>
      </c>
    </row>
    <row r="126" spans="1:16">
      <c r="A126" s="451">
        <f t="shared" si="71"/>
        <v>117</v>
      </c>
      <c r="B126" s="253" t="str">
        <f t="shared" si="72"/>
        <v>54E</v>
      </c>
      <c r="C126" s="418" t="s">
        <v>928</v>
      </c>
      <c r="D126" s="415" t="s">
        <v>934</v>
      </c>
      <c r="E126" s="406">
        <v>0</v>
      </c>
      <c r="F126" s="407">
        <v>0</v>
      </c>
      <c r="G126" s="407">
        <v>1.074004871302306</v>
      </c>
      <c r="H126" s="407">
        <v>1.9683859929496124</v>
      </c>
      <c r="I126" s="407">
        <v>2.9781878503861661</v>
      </c>
      <c r="J126" s="407">
        <f t="shared" si="65"/>
        <v>6.02</v>
      </c>
      <c r="K126" s="423">
        <v>0</v>
      </c>
      <c r="L126" s="424">
        <f t="shared" si="66"/>
        <v>0</v>
      </c>
      <c r="M126" s="407">
        <f t="shared" si="67"/>
        <v>1.074004871302306</v>
      </c>
      <c r="N126" s="424">
        <f t="shared" si="68"/>
        <v>0</v>
      </c>
      <c r="O126" s="407">
        <f t="shared" si="69"/>
        <v>0.02</v>
      </c>
      <c r="P126" s="407">
        <f t="shared" si="70"/>
        <v>6.0399999999999991</v>
      </c>
    </row>
    <row r="127" spans="1:16">
      <c r="A127" s="451">
        <f t="shared" si="71"/>
        <v>118</v>
      </c>
      <c r="B127" s="253" t="str">
        <f t="shared" si="72"/>
        <v>54E</v>
      </c>
      <c r="C127" s="418" t="s">
        <v>928</v>
      </c>
      <c r="D127" s="415" t="s">
        <v>935</v>
      </c>
      <c r="E127" s="406">
        <v>0</v>
      </c>
      <c r="F127" s="407">
        <v>0</v>
      </c>
      <c r="G127" s="407">
        <v>1.2392363899641992</v>
      </c>
      <c r="H127" s="407">
        <v>2.2712146072495525</v>
      </c>
      <c r="I127" s="407">
        <v>3.4363705965994225</v>
      </c>
      <c r="J127" s="407">
        <f t="shared" si="65"/>
        <v>6.95</v>
      </c>
      <c r="K127" s="423">
        <v>0</v>
      </c>
      <c r="L127" s="424">
        <f t="shared" si="66"/>
        <v>0</v>
      </c>
      <c r="M127" s="407">
        <f t="shared" si="67"/>
        <v>1.2392363899641992</v>
      </c>
      <c r="N127" s="424">
        <f t="shared" si="68"/>
        <v>0</v>
      </c>
      <c r="O127" s="407">
        <f t="shared" si="69"/>
        <v>0.02</v>
      </c>
      <c r="P127" s="407">
        <f t="shared" si="70"/>
        <v>6.97</v>
      </c>
    </row>
    <row r="128" spans="1:16">
      <c r="A128" s="451">
        <f t="shared" si="71"/>
        <v>119</v>
      </c>
      <c r="B128" s="253" t="str">
        <f t="shared" si="72"/>
        <v>54E</v>
      </c>
      <c r="C128" s="418" t="s">
        <v>928</v>
      </c>
      <c r="D128" s="415" t="s">
        <v>936</v>
      </c>
      <c r="E128" s="406">
        <v>0</v>
      </c>
      <c r="F128" s="407">
        <v>0</v>
      </c>
      <c r="G128" s="407">
        <v>1.4044679086260925</v>
      </c>
      <c r="H128" s="407">
        <v>2.5740432215494931</v>
      </c>
      <c r="I128" s="407">
        <v>3.8945533428126788</v>
      </c>
      <c r="J128" s="407">
        <f t="shared" si="65"/>
        <v>7.87</v>
      </c>
      <c r="K128" s="423">
        <v>0</v>
      </c>
      <c r="L128" s="424">
        <f t="shared" si="66"/>
        <v>0</v>
      </c>
      <c r="M128" s="407">
        <f t="shared" si="67"/>
        <v>1.4044679086260925</v>
      </c>
      <c r="N128" s="424">
        <f t="shared" si="68"/>
        <v>0</v>
      </c>
      <c r="O128" s="407">
        <f t="shared" si="69"/>
        <v>0.02</v>
      </c>
      <c r="P128" s="407">
        <f t="shared" si="70"/>
        <v>7.89</v>
      </c>
    </row>
    <row r="129" spans="1:16">
      <c r="A129" s="451">
        <f t="shared" si="71"/>
        <v>120</v>
      </c>
      <c r="B129" s="253" t="str">
        <f t="shared" si="72"/>
        <v>54E</v>
      </c>
      <c r="C129" s="418" t="s">
        <v>928</v>
      </c>
      <c r="D129" s="415" t="s">
        <v>937</v>
      </c>
      <c r="E129" s="406">
        <v>0</v>
      </c>
      <c r="F129" s="407">
        <v>0</v>
      </c>
      <c r="G129" s="407">
        <v>1.5696994272879856</v>
      </c>
      <c r="H129" s="407">
        <v>2.8768718358494336</v>
      </c>
      <c r="I129" s="407">
        <v>4.3527360890259352</v>
      </c>
      <c r="J129" s="407">
        <f t="shared" si="65"/>
        <v>8.8000000000000007</v>
      </c>
      <c r="K129" s="423">
        <v>0</v>
      </c>
      <c r="L129" s="424">
        <f t="shared" si="66"/>
        <v>0</v>
      </c>
      <c r="M129" s="407">
        <f t="shared" si="67"/>
        <v>1.5696994272879856</v>
      </c>
      <c r="N129" s="424">
        <f t="shared" si="68"/>
        <v>0</v>
      </c>
      <c r="O129" s="407">
        <f t="shared" si="69"/>
        <v>0.02</v>
      </c>
      <c r="P129" s="407">
        <f t="shared" si="70"/>
        <v>8.82</v>
      </c>
    </row>
    <row r="130" spans="1:16">
      <c r="A130" s="451">
        <f t="shared" si="71"/>
        <v>121</v>
      </c>
      <c r="B130" s="263"/>
      <c r="C130" s="416"/>
      <c r="D130" s="417"/>
      <c r="E130" s="406"/>
      <c r="F130" s="404"/>
      <c r="G130" s="404"/>
      <c r="H130" s="404"/>
      <c r="I130" s="404"/>
      <c r="J130" s="404"/>
      <c r="K130" s="404"/>
      <c r="L130" s="404"/>
      <c r="M130" s="404"/>
      <c r="N130" s="404"/>
      <c r="O130" s="404"/>
      <c r="P130" s="404"/>
    </row>
    <row r="131" spans="1:16">
      <c r="A131" s="451">
        <f t="shared" si="71"/>
        <v>122</v>
      </c>
      <c r="B131" s="250" t="s">
        <v>947</v>
      </c>
      <c r="C131" s="416"/>
      <c r="D131" s="417"/>
      <c r="E131" s="406"/>
      <c r="F131" s="404"/>
      <c r="G131" s="404"/>
      <c r="H131" s="404"/>
      <c r="I131" s="404"/>
      <c r="J131" s="404"/>
      <c r="K131" s="404"/>
      <c r="L131" s="404"/>
      <c r="M131" s="404"/>
      <c r="N131" s="404"/>
      <c r="O131" s="404"/>
      <c r="P131" s="404"/>
    </row>
    <row r="132" spans="1:16">
      <c r="A132" s="451">
        <f t="shared" si="71"/>
        <v>123</v>
      </c>
      <c r="B132" s="253" t="s">
        <v>948</v>
      </c>
      <c r="C132" s="416" t="s">
        <v>940</v>
      </c>
      <c r="D132" s="417">
        <v>70</v>
      </c>
      <c r="E132" s="406">
        <v>7.2431553304916019</v>
      </c>
      <c r="F132" s="407">
        <v>2.0980355662743908</v>
      </c>
      <c r="G132" s="407">
        <v>0.3855402102110842</v>
      </c>
      <c r="H132" s="407">
        <v>0.735630470259519</v>
      </c>
      <c r="I132" s="407">
        <v>1.0690930744975982</v>
      </c>
      <c r="J132" s="407">
        <f t="shared" ref="J132:J137" si="73">ROUND(SUM(E132:I132),2)</f>
        <v>11.53</v>
      </c>
      <c r="K132" s="423">
        <v>19</v>
      </c>
      <c r="L132" s="424">
        <f t="shared" ref="L132:L137" si="74">+K132*J132*12</f>
        <v>2628.84</v>
      </c>
      <c r="M132" s="407">
        <f t="shared" ref="M132:M137" si="75">SUM(E132:G132)</f>
        <v>9.726731106977077</v>
      </c>
      <c r="N132" s="424">
        <f t="shared" ref="N132:N137" si="76">+M132*K132*12</f>
        <v>2217.6946923907735</v>
      </c>
      <c r="O132" s="407">
        <f t="shared" ref="O132:O137" si="77">ROUND(M132*$N$13,2)</f>
        <v>0.15</v>
      </c>
      <c r="P132" s="407">
        <f t="shared" ref="P132:P137" si="78">+O132+J132</f>
        <v>11.68</v>
      </c>
    </row>
    <row r="133" spans="1:16">
      <c r="A133" s="451">
        <f t="shared" si="71"/>
        <v>124</v>
      </c>
      <c r="B133" s="263" t="str">
        <f>+B132</f>
        <v>55E &amp; 56E</v>
      </c>
      <c r="C133" s="416" t="s">
        <v>940</v>
      </c>
      <c r="D133" s="417">
        <v>100</v>
      </c>
      <c r="E133" s="406">
        <v>7.4952417874033648</v>
      </c>
      <c r="F133" s="407">
        <v>2.0980355662743908</v>
      </c>
      <c r="G133" s="407">
        <v>0.55077172887297743</v>
      </c>
      <c r="H133" s="407">
        <v>1.050900671799313</v>
      </c>
      <c r="I133" s="407">
        <v>1.5272758207108545</v>
      </c>
      <c r="J133" s="407">
        <f t="shared" si="73"/>
        <v>12.72</v>
      </c>
      <c r="K133" s="423">
        <v>4211</v>
      </c>
      <c r="L133" s="424">
        <f t="shared" si="74"/>
        <v>642767.04</v>
      </c>
      <c r="M133" s="407">
        <f t="shared" si="75"/>
        <v>10.144049082550733</v>
      </c>
      <c r="N133" s="424">
        <f t="shared" si="76"/>
        <v>512599.08823945362</v>
      </c>
      <c r="O133" s="407">
        <f t="shared" si="77"/>
        <v>0.16</v>
      </c>
      <c r="P133" s="407">
        <f t="shared" si="78"/>
        <v>12.88</v>
      </c>
    </row>
    <row r="134" spans="1:16">
      <c r="A134" s="451">
        <f t="shared" si="71"/>
        <v>125</v>
      </c>
      <c r="B134" s="263" t="str">
        <f>+B133</f>
        <v>55E &amp; 56E</v>
      </c>
      <c r="C134" s="416" t="s">
        <v>940</v>
      </c>
      <c r="D134" s="417">
        <v>150</v>
      </c>
      <c r="E134" s="406">
        <v>7.9153858822563024</v>
      </c>
      <c r="F134" s="407">
        <v>2.0980355662743908</v>
      </c>
      <c r="G134" s="407">
        <v>0.82615759330946614</v>
      </c>
      <c r="H134" s="407">
        <v>1.5763510076989693</v>
      </c>
      <c r="I134" s="407">
        <v>2.2909137310662815</v>
      </c>
      <c r="J134" s="407">
        <f t="shared" si="73"/>
        <v>14.71</v>
      </c>
      <c r="K134" s="423">
        <v>575</v>
      </c>
      <c r="L134" s="424">
        <f t="shared" si="74"/>
        <v>101499</v>
      </c>
      <c r="M134" s="407">
        <f t="shared" si="75"/>
        <v>10.839579041840159</v>
      </c>
      <c r="N134" s="424">
        <f t="shared" si="76"/>
        <v>74793.095388697096</v>
      </c>
      <c r="O134" s="407">
        <f t="shared" si="77"/>
        <v>0.17</v>
      </c>
      <c r="P134" s="407">
        <f t="shared" si="78"/>
        <v>14.88</v>
      </c>
    </row>
    <row r="135" spans="1:16">
      <c r="A135" s="451">
        <f t="shared" si="71"/>
        <v>126</v>
      </c>
      <c r="B135" s="263" t="str">
        <f>+B134</f>
        <v>55E &amp; 56E</v>
      </c>
      <c r="C135" s="416" t="s">
        <v>940</v>
      </c>
      <c r="D135" s="417">
        <v>200</v>
      </c>
      <c r="E135" s="406">
        <v>8.3355299771092408</v>
      </c>
      <c r="F135" s="407">
        <v>2.0980355662743908</v>
      </c>
      <c r="G135" s="407">
        <v>1.1015434577459549</v>
      </c>
      <c r="H135" s="407">
        <v>2.101801343598626</v>
      </c>
      <c r="I135" s="407">
        <v>3.0545516414217091</v>
      </c>
      <c r="J135" s="407">
        <f t="shared" si="73"/>
        <v>16.690000000000001</v>
      </c>
      <c r="K135" s="423">
        <v>1208</v>
      </c>
      <c r="L135" s="424">
        <f t="shared" si="74"/>
        <v>241938.24</v>
      </c>
      <c r="M135" s="407">
        <f t="shared" si="75"/>
        <v>11.535109001129586</v>
      </c>
      <c r="N135" s="424">
        <f t="shared" si="76"/>
        <v>167212.94008037448</v>
      </c>
      <c r="O135" s="407">
        <f t="shared" si="77"/>
        <v>0.18</v>
      </c>
      <c r="P135" s="407">
        <f t="shared" si="78"/>
        <v>16.87</v>
      </c>
    </row>
    <row r="136" spans="1:16">
      <c r="A136" s="451">
        <f t="shared" si="71"/>
        <v>127</v>
      </c>
      <c r="B136" s="263" t="str">
        <f>+B135</f>
        <v>55E &amp; 56E</v>
      </c>
      <c r="C136" s="416" t="s">
        <v>940</v>
      </c>
      <c r="D136" s="417">
        <v>250</v>
      </c>
      <c r="E136" s="406">
        <v>8.7556740719621793</v>
      </c>
      <c r="F136" s="407">
        <v>2.0980355662743908</v>
      </c>
      <c r="G136" s="407">
        <v>1.3769293221824437</v>
      </c>
      <c r="H136" s="407">
        <v>2.6272516794982823</v>
      </c>
      <c r="I136" s="407">
        <v>3.8181895517771363</v>
      </c>
      <c r="J136" s="407">
        <f t="shared" si="73"/>
        <v>18.68</v>
      </c>
      <c r="K136" s="423">
        <v>128</v>
      </c>
      <c r="L136" s="424">
        <f t="shared" si="74"/>
        <v>28692.48</v>
      </c>
      <c r="M136" s="407">
        <f t="shared" si="75"/>
        <v>12.230638960419013</v>
      </c>
      <c r="N136" s="424">
        <f t="shared" si="76"/>
        <v>18786.261443203603</v>
      </c>
      <c r="O136" s="407">
        <f t="shared" si="77"/>
        <v>0.19</v>
      </c>
      <c r="P136" s="407">
        <f t="shared" si="78"/>
        <v>18.87</v>
      </c>
    </row>
    <row r="137" spans="1:16">
      <c r="A137" s="451">
        <f t="shared" si="71"/>
        <v>128</v>
      </c>
      <c r="B137" s="263" t="str">
        <f>+B136</f>
        <v>55E &amp; 56E</v>
      </c>
      <c r="C137" s="416" t="s">
        <v>940</v>
      </c>
      <c r="D137" s="417">
        <v>400</v>
      </c>
      <c r="E137" s="406">
        <v>10.016106356520991</v>
      </c>
      <c r="F137" s="407">
        <v>2.0980355662743908</v>
      </c>
      <c r="G137" s="407">
        <v>2.2030869154919097</v>
      </c>
      <c r="H137" s="407">
        <v>4.2036026871972521</v>
      </c>
      <c r="I137" s="407">
        <v>6.1091032828434182</v>
      </c>
      <c r="J137" s="407">
        <f t="shared" si="73"/>
        <v>24.63</v>
      </c>
      <c r="K137" s="423">
        <v>53</v>
      </c>
      <c r="L137" s="424">
        <f t="shared" si="74"/>
        <v>15664.679999999998</v>
      </c>
      <c r="M137" s="407">
        <f t="shared" si="75"/>
        <v>14.317228838287292</v>
      </c>
      <c r="N137" s="424">
        <f t="shared" si="76"/>
        <v>9105.7575411507169</v>
      </c>
      <c r="O137" s="407">
        <f t="shared" si="77"/>
        <v>0.22</v>
      </c>
      <c r="P137" s="407">
        <f t="shared" si="78"/>
        <v>24.849999999999998</v>
      </c>
    </row>
    <row r="138" spans="1:16">
      <c r="A138" s="451">
        <f t="shared" si="71"/>
        <v>129</v>
      </c>
      <c r="B138" s="263"/>
      <c r="C138" s="416"/>
      <c r="D138" s="417"/>
      <c r="E138" s="406"/>
      <c r="F138" s="404"/>
      <c r="G138" s="404"/>
      <c r="H138" s="404"/>
      <c r="I138" s="404"/>
      <c r="J138" s="404"/>
      <c r="K138" s="404"/>
      <c r="L138" s="404"/>
      <c r="M138" s="404"/>
      <c r="N138" s="404"/>
      <c r="O138" s="404"/>
      <c r="P138" s="404"/>
    </row>
    <row r="139" spans="1:16">
      <c r="A139" s="451">
        <f t="shared" si="71"/>
        <v>130</v>
      </c>
      <c r="B139" s="263" t="str">
        <f>+B137</f>
        <v>55E &amp; 56E</v>
      </c>
      <c r="C139" s="416" t="s">
        <v>941</v>
      </c>
      <c r="D139" s="417">
        <v>250</v>
      </c>
      <c r="E139" s="406">
        <v>9.7795478860196958</v>
      </c>
      <c r="F139" s="407">
        <v>4.1960711325487816</v>
      </c>
      <c r="G139" s="407">
        <v>1.3769293221824437</v>
      </c>
      <c r="H139" s="407">
        <v>2.6272516794982823</v>
      </c>
      <c r="I139" s="407">
        <v>3.8181895517771363</v>
      </c>
      <c r="J139" s="407">
        <f>ROUND(SUM(E139:I139),2)</f>
        <v>21.8</v>
      </c>
      <c r="K139" s="423">
        <v>6</v>
      </c>
      <c r="L139" s="424">
        <f>+K139*J139*12</f>
        <v>1569.6000000000001</v>
      </c>
      <c r="M139" s="407">
        <f>SUM(E139:G139)</f>
        <v>15.35254834075092</v>
      </c>
      <c r="N139" s="424">
        <f>+M139*K139*12</f>
        <v>1105.3834805340662</v>
      </c>
      <c r="O139" s="407">
        <f>ROUND(M139*$N$13,2)</f>
        <v>0.23</v>
      </c>
      <c r="P139" s="407">
        <f>+O139+J139</f>
        <v>22.03</v>
      </c>
    </row>
    <row r="140" spans="1:16">
      <c r="A140" s="451">
        <f t="shared" si="71"/>
        <v>131</v>
      </c>
      <c r="B140" s="263"/>
      <c r="C140" s="416"/>
      <c r="D140" s="417"/>
      <c r="E140" s="406"/>
      <c r="F140" s="404"/>
      <c r="G140" s="404"/>
      <c r="H140" s="404"/>
      <c r="I140" s="404"/>
      <c r="J140" s="404"/>
      <c r="K140" s="404"/>
      <c r="L140" s="404"/>
      <c r="M140" s="404"/>
      <c r="N140" s="404"/>
      <c r="O140" s="404"/>
      <c r="P140" s="404"/>
    </row>
    <row r="141" spans="1:16">
      <c r="A141" s="451">
        <f t="shared" si="71"/>
        <v>132</v>
      </c>
      <c r="B141" s="263" t="s">
        <v>948</v>
      </c>
      <c r="C141" s="418" t="s">
        <v>928</v>
      </c>
      <c r="D141" s="415" t="s">
        <v>929</v>
      </c>
      <c r="E141" s="406">
        <v>10.478450574473531</v>
      </c>
      <c r="F141" s="407">
        <v>0.41960711325487821</v>
      </c>
      <c r="G141" s="407">
        <v>0.24784727799283984</v>
      </c>
      <c r="H141" s="407">
        <v>0.4729053023096908</v>
      </c>
      <c r="I141" s="407">
        <v>0.68727411931988447</v>
      </c>
      <c r="J141" s="407">
        <f t="shared" ref="J141:J149" si="79">ROUND(SUM(E141:I141),2)</f>
        <v>12.31</v>
      </c>
      <c r="K141" s="423">
        <v>4</v>
      </c>
      <c r="L141" s="424">
        <f>+K141*J141*12</f>
        <v>590.88</v>
      </c>
      <c r="M141" s="407">
        <f t="shared" ref="M141:M149" si="80">SUM(E141:G141)</f>
        <v>11.145904965721249</v>
      </c>
      <c r="N141" s="424">
        <f t="shared" ref="N141:N149" si="81">+M141*K141*12</f>
        <v>535.0034383546199</v>
      </c>
      <c r="O141" s="407">
        <f t="shared" ref="O141:O149" si="82">ROUND(M141*$N$13,2)</f>
        <v>0.17</v>
      </c>
      <c r="P141" s="407">
        <f t="shared" ref="P141:P149" si="83">+O141+J141</f>
        <v>12.48</v>
      </c>
    </row>
    <row r="142" spans="1:16">
      <c r="A142" s="451">
        <f t="shared" si="71"/>
        <v>133</v>
      </c>
      <c r="B142" s="263" t="s">
        <v>948</v>
      </c>
      <c r="C142" s="418" t="s">
        <v>928</v>
      </c>
      <c r="D142" s="415" t="s">
        <v>930</v>
      </c>
      <c r="E142" s="406">
        <v>10.656234661687405</v>
      </c>
      <c r="F142" s="407">
        <v>0.41960711325487821</v>
      </c>
      <c r="G142" s="407">
        <v>0.41307879665473307</v>
      </c>
      <c r="H142" s="407">
        <v>0.78817550384948465</v>
      </c>
      <c r="I142" s="407">
        <v>1.1454568655331407</v>
      </c>
      <c r="J142" s="407">
        <f t="shared" si="79"/>
        <v>13.42</v>
      </c>
      <c r="K142" s="423">
        <v>0</v>
      </c>
      <c r="L142" s="424">
        <f t="shared" ref="L142:L149" si="84">+K142*J142*12</f>
        <v>0</v>
      </c>
      <c r="M142" s="407">
        <f t="shared" si="80"/>
        <v>11.488920571597017</v>
      </c>
      <c r="N142" s="424">
        <f t="shared" si="81"/>
        <v>0</v>
      </c>
      <c r="O142" s="407">
        <f t="shared" si="82"/>
        <v>0.18</v>
      </c>
      <c r="P142" s="407">
        <f t="shared" si="83"/>
        <v>13.6</v>
      </c>
    </row>
    <row r="143" spans="1:16">
      <c r="A143" s="451">
        <f t="shared" si="71"/>
        <v>134</v>
      </c>
      <c r="B143" s="263" t="s">
        <v>948</v>
      </c>
      <c r="C143" s="418" t="s">
        <v>928</v>
      </c>
      <c r="D143" s="415" t="s">
        <v>931</v>
      </c>
      <c r="E143" s="406">
        <v>10.834018748901283</v>
      </c>
      <c r="F143" s="407">
        <v>0.41960711325487821</v>
      </c>
      <c r="G143" s="407">
        <v>0.57831031531662636</v>
      </c>
      <c r="H143" s="407">
        <v>1.1034457053892786</v>
      </c>
      <c r="I143" s="407">
        <v>1.6036396117463971</v>
      </c>
      <c r="J143" s="407">
        <f t="shared" si="79"/>
        <v>14.54</v>
      </c>
      <c r="K143" s="423">
        <v>3</v>
      </c>
      <c r="L143" s="424">
        <f t="shared" si="84"/>
        <v>523.43999999999994</v>
      </c>
      <c r="M143" s="407">
        <f t="shared" si="80"/>
        <v>11.831936177472787</v>
      </c>
      <c r="N143" s="424">
        <f t="shared" si="81"/>
        <v>425.94970238902039</v>
      </c>
      <c r="O143" s="407">
        <f t="shared" si="82"/>
        <v>0.18</v>
      </c>
      <c r="P143" s="407">
        <f t="shared" si="83"/>
        <v>14.719999999999999</v>
      </c>
    </row>
    <row r="144" spans="1:16">
      <c r="A144" s="451">
        <f t="shared" si="71"/>
        <v>135</v>
      </c>
      <c r="B144" s="263" t="s">
        <v>948</v>
      </c>
      <c r="C144" s="418" t="s">
        <v>928</v>
      </c>
      <c r="D144" s="415" t="s">
        <v>932</v>
      </c>
      <c r="E144" s="406">
        <v>11.011802836115159</v>
      </c>
      <c r="F144" s="407">
        <v>0.41960711325487821</v>
      </c>
      <c r="G144" s="407">
        <v>0.74354183397851958</v>
      </c>
      <c r="H144" s="407">
        <v>1.4187159069290725</v>
      </c>
      <c r="I144" s="407">
        <v>2.0618223579596537</v>
      </c>
      <c r="J144" s="407">
        <f t="shared" si="79"/>
        <v>15.66</v>
      </c>
      <c r="K144" s="423">
        <v>0</v>
      </c>
      <c r="L144" s="424">
        <f t="shared" si="84"/>
        <v>0</v>
      </c>
      <c r="M144" s="407">
        <f t="shared" si="80"/>
        <v>12.174951783348558</v>
      </c>
      <c r="N144" s="424">
        <f t="shared" si="81"/>
        <v>0</v>
      </c>
      <c r="O144" s="407">
        <f t="shared" si="82"/>
        <v>0.19</v>
      </c>
      <c r="P144" s="407">
        <f t="shared" si="83"/>
        <v>15.85</v>
      </c>
    </row>
    <row r="145" spans="1:16">
      <c r="A145" s="451">
        <f t="shared" ref="A145:A206" si="85">A144+1</f>
        <v>136</v>
      </c>
      <c r="B145" s="263" t="s">
        <v>948</v>
      </c>
      <c r="C145" s="418" t="s">
        <v>928</v>
      </c>
      <c r="D145" s="415" t="s">
        <v>933</v>
      </c>
      <c r="E145" s="406">
        <v>11.189586923329037</v>
      </c>
      <c r="F145" s="407">
        <v>0.41960711325487821</v>
      </c>
      <c r="G145" s="407">
        <v>0.90877335264041281</v>
      </c>
      <c r="H145" s="407">
        <v>1.7339861084688664</v>
      </c>
      <c r="I145" s="407">
        <v>2.5200051041729097</v>
      </c>
      <c r="J145" s="407">
        <f t="shared" si="79"/>
        <v>16.77</v>
      </c>
      <c r="K145" s="423">
        <v>0</v>
      </c>
      <c r="L145" s="424">
        <f t="shared" si="84"/>
        <v>0</v>
      </c>
      <c r="M145" s="407">
        <f t="shared" si="80"/>
        <v>12.517967389224328</v>
      </c>
      <c r="N145" s="424">
        <f t="shared" si="81"/>
        <v>0</v>
      </c>
      <c r="O145" s="407">
        <f t="shared" si="82"/>
        <v>0.19</v>
      </c>
      <c r="P145" s="407">
        <f t="shared" si="83"/>
        <v>16.96</v>
      </c>
    </row>
    <row r="146" spans="1:16">
      <c r="A146" s="451">
        <f t="shared" si="85"/>
        <v>137</v>
      </c>
      <c r="B146" s="263" t="s">
        <v>948</v>
      </c>
      <c r="C146" s="418" t="s">
        <v>928</v>
      </c>
      <c r="D146" s="415" t="s">
        <v>934</v>
      </c>
      <c r="E146" s="406">
        <v>11.367371010542911</v>
      </c>
      <c r="F146" s="407">
        <v>0.41960711325487821</v>
      </c>
      <c r="G146" s="407">
        <v>1.074004871302306</v>
      </c>
      <c r="H146" s="407">
        <v>2.0492563100086603</v>
      </c>
      <c r="I146" s="407">
        <v>2.9781878503861661</v>
      </c>
      <c r="J146" s="407">
        <f t="shared" si="79"/>
        <v>17.89</v>
      </c>
      <c r="K146" s="423">
        <v>0</v>
      </c>
      <c r="L146" s="424">
        <f t="shared" si="84"/>
        <v>0</v>
      </c>
      <c r="M146" s="407">
        <f t="shared" si="80"/>
        <v>12.860982995100095</v>
      </c>
      <c r="N146" s="424">
        <f t="shared" si="81"/>
        <v>0</v>
      </c>
      <c r="O146" s="407">
        <f t="shared" si="82"/>
        <v>0.2</v>
      </c>
      <c r="P146" s="407">
        <f t="shared" si="83"/>
        <v>18.09</v>
      </c>
    </row>
    <row r="147" spans="1:16">
      <c r="A147" s="451">
        <f t="shared" si="85"/>
        <v>138</v>
      </c>
      <c r="B147" s="263" t="s">
        <v>948</v>
      </c>
      <c r="C147" s="418" t="s">
        <v>928</v>
      </c>
      <c r="D147" s="415" t="s">
        <v>935</v>
      </c>
      <c r="E147" s="406">
        <v>11.545155097756785</v>
      </c>
      <c r="F147" s="407">
        <v>0.41960711325487821</v>
      </c>
      <c r="G147" s="407">
        <v>1.2392363899641992</v>
      </c>
      <c r="H147" s="407">
        <v>2.3645265115484539</v>
      </c>
      <c r="I147" s="407">
        <v>3.4363705965994225</v>
      </c>
      <c r="J147" s="407">
        <f t="shared" si="79"/>
        <v>19</v>
      </c>
      <c r="K147" s="423">
        <v>0</v>
      </c>
      <c r="L147" s="424">
        <f t="shared" si="84"/>
        <v>0</v>
      </c>
      <c r="M147" s="407">
        <f t="shared" si="80"/>
        <v>13.203998600975863</v>
      </c>
      <c r="N147" s="424">
        <f t="shared" si="81"/>
        <v>0</v>
      </c>
      <c r="O147" s="407">
        <f t="shared" si="82"/>
        <v>0.2</v>
      </c>
      <c r="P147" s="407">
        <f t="shared" si="83"/>
        <v>19.2</v>
      </c>
    </row>
    <row r="148" spans="1:16">
      <c r="A148" s="451">
        <f t="shared" si="85"/>
        <v>139</v>
      </c>
      <c r="B148" s="263" t="s">
        <v>948</v>
      </c>
      <c r="C148" s="418" t="s">
        <v>928</v>
      </c>
      <c r="D148" s="415" t="s">
        <v>936</v>
      </c>
      <c r="E148" s="406">
        <v>11.722939184970663</v>
      </c>
      <c r="F148" s="407">
        <v>0.41960711325487821</v>
      </c>
      <c r="G148" s="407">
        <v>1.4044679086260925</v>
      </c>
      <c r="H148" s="407">
        <v>2.6797967130882481</v>
      </c>
      <c r="I148" s="407">
        <v>3.8945533428126788</v>
      </c>
      <c r="J148" s="407">
        <f t="shared" si="79"/>
        <v>20.12</v>
      </c>
      <c r="K148" s="423">
        <v>0</v>
      </c>
      <c r="L148" s="424">
        <f t="shared" si="84"/>
        <v>0</v>
      </c>
      <c r="M148" s="407">
        <f t="shared" si="80"/>
        <v>13.547014206851633</v>
      </c>
      <c r="N148" s="424">
        <f t="shared" si="81"/>
        <v>0</v>
      </c>
      <c r="O148" s="407">
        <f t="shared" si="82"/>
        <v>0.21</v>
      </c>
      <c r="P148" s="407">
        <f t="shared" si="83"/>
        <v>20.330000000000002</v>
      </c>
    </row>
    <row r="149" spans="1:16">
      <c r="A149" s="451">
        <f t="shared" si="85"/>
        <v>140</v>
      </c>
      <c r="B149" s="263" t="s">
        <v>948</v>
      </c>
      <c r="C149" s="418" t="s">
        <v>928</v>
      </c>
      <c r="D149" s="415" t="s">
        <v>937</v>
      </c>
      <c r="E149" s="406">
        <v>11.900723272184539</v>
      </c>
      <c r="F149" s="407">
        <v>0.41960711325487821</v>
      </c>
      <c r="G149" s="407">
        <v>1.5696994272879856</v>
      </c>
      <c r="H149" s="407">
        <v>2.9950669146280422</v>
      </c>
      <c r="I149" s="407">
        <v>4.3527360890259352</v>
      </c>
      <c r="J149" s="407">
        <f t="shared" si="79"/>
        <v>21.24</v>
      </c>
      <c r="K149" s="423">
        <v>0</v>
      </c>
      <c r="L149" s="424">
        <f t="shared" si="84"/>
        <v>0</v>
      </c>
      <c r="M149" s="407">
        <f t="shared" si="80"/>
        <v>13.890029812727404</v>
      </c>
      <c r="N149" s="424">
        <f t="shared" si="81"/>
        <v>0</v>
      </c>
      <c r="O149" s="407">
        <f t="shared" si="82"/>
        <v>0.21</v>
      </c>
      <c r="P149" s="407">
        <f t="shared" si="83"/>
        <v>21.45</v>
      </c>
    </row>
    <row r="150" spans="1:16">
      <c r="A150" s="451">
        <f t="shared" si="85"/>
        <v>141</v>
      </c>
      <c r="B150" s="263"/>
      <c r="C150" s="416"/>
      <c r="D150" s="417"/>
      <c r="E150" s="406"/>
      <c r="F150" s="404"/>
      <c r="G150" s="404"/>
      <c r="H150" s="404"/>
      <c r="I150" s="404"/>
      <c r="J150" s="404"/>
      <c r="K150" s="404"/>
      <c r="L150" s="404"/>
      <c r="M150" s="404"/>
      <c r="N150" s="404"/>
      <c r="O150" s="404"/>
      <c r="P150" s="404"/>
    </row>
    <row r="151" spans="1:16">
      <c r="A151" s="451">
        <f t="shared" si="85"/>
        <v>142</v>
      </c>
      <c r="B151" s="250" t="s">
        <v>949</v>
      </c>
      <c r="C151" s="416"/>
      <c r="D151" s="417"/>
      <c r="E151" s="406"/>
      <c r="F151" s="404"/>
      <c r="G151" s="404"/>
      <c r="H151" s="404"/>
      <c r="I151" s="404"/>
      <c r="J151" s="404"/>
      <c r="K151" s="404"/>
      <c r="L151" s="404"/>
      <c r="M151" s="404"/>
      <c r="N151" s="404"/>
      <c r="O151" s="404"/>
      <c r="P151" s="404"/>
    </row>
    <row r="152" spans="1:16">
      <c r="A152" s="451">
        <f t="shared" si="85"/>
        <v>143</v>
      </c>
      <c r="B152" s="253" t="s">
        <v>950</v>
      </c>
      <c r="C152" s="416" t="s">
        <v>940</v>
      </c>
      <c r="D152" s="419">
        <v>70</v>
      </c>
      <c r="E152" s="406">
        <v>7.2431553304916019</v>
      </c>
      <c r="F152" s="407">
        <v>2.0980355662743908</v>
      </c>
      <c r="G152" s="407">
        <v>0.3855402102110842</v>
      </c>
      <c r="H152" s="407">
        <v>0.735630470259519</v>
      </c>
      <c r="I152" s="407">
        <v>1.0690930744975982</v>
      </c>
      <c r="J152" s="407">
        <f t="shared" ref="J152:J157" si="86">ROUND(SUM(E152:I152),2)</f>
        <v>11.53</v>
      </c>
      <c r="K152" s="423">
        <v>58</v>
      </c>
      <c r="L152" s="424">
        <f t="shared" ref="L152:L157" si="87">+K152*J152*12</f>
        <v>8024.88</v>
      </c>
      <c r="M152" s="407">
        <f t="shared" ref="M152:M157" si="88">SUM(E152:G152)</f>
        <v>9.726731106977077</v>
      </c>
      <c r="N152" s="424">
        <f t="shared" ref="N152:N157" si="89">+M152*K152*12</f>
        <v>6769.8048504560466</v>
      </c>
      <c r="O152" s="407">
        <f t="shared" ref="O152:O157" si="90">ROUND(M152*$N$13,2)</f>
        <v>0.15</v>
      </c>
      <c r="P152" s="407">
        <f t="shared" ref="P152:P157" si="91">+O152+J152</f>
        <v>11.68</v>
      </c>
    </row>
    <row r="153" spans="1:16">
      <c r="A153" s="451">
        <f t="shared" si="85"/>
        <v>144</v>
      </c>
      <c r="B153" s="263" t="str">
        <f>+B152</f>
        <v>58E &amp; 59E - Directional</v>
      </c>
      <c r="C153" s="416" t="s">
        <v>940</v>
      </c>
      <c r="D153" s="419">
        <v>100</v>
      </c>
      <c r="E153" s="406">
        <v>7.4952417874033648</v>
      </c>
      <c r="F153" s="407">
        <v>2.0980355662743908</v>
      </c>
      <c r="G153" s="407">
        <v>0.55077172887297743</v>
      </c>
      <c r="H153" s="407">
        <v>1.050900671799313</v>
      </c>
      <c r="I153" s="407">
        <v>1.5272758207108545</v>
      </c>
      <c r="J153" s="407">
        <f t="shared" si="86"/>
        <v>12.72</v>
      </c>
      <c r="K153" s="423">
        <v>6</v>
      </c>
      <c r="L153" s="424">
        <f t="shared" si="87"/>
        <v>915.84000000000015</v>
      </c>
      <c r="M153" s="407">
        <f t="shared" si="88"/>
        <v>10.144049082550733</v>
      </c>
      <c r="N153" s="424">
        <f t="shared" si="89"/>
        <v>730.37153394365282</v>
      </c>
      <c r="O153" s="407">
        <f t="shared" si="90"/>
        <v>0.16</v>
      </c>
      <c r="P153" s="407">
        <f t="shared" si="91"/>
        <v>12.88</v>
      </c>
    </row>
    <row r="154" spans="1:16">
      <c r="A154" s="451">
        <f t="shared" si="85"/>
        <v>145</v>
      </c>
      <c r="B154" s="263" t="str">
        <f>+B153</f>
        <v>58E &amp; 59E - Directional</v>
      </c>
      <c r="C154" s="416" t="s">
        <v>940</v>
      </c>
      <c r="D154" s="419">
        <v>150</v>
      </c>
      <c r="E154" s="406">
        <v>7.9153858822563024</v>
      </c>
      <c r="F154" s="407">
        <v>2.0980355662743908</v>
      </c>
      <c r="G154" s="407">
        <v>0.82615759330946614</v>
      </c>
      <c r="H154" s="407">
        <v>1.5763510076989693</v>
      </c>
      <c r="I154" s="407">
        <v>2.2909137310662815</v>
      </c>
      <c r="J154" s="407">
        <f t="shared" si="86"/>
        <v>14.71</v>
      </c>
      <c r="K154" s="423">
        <v>170</v>
      </c>
      <c r="L154" s="424">
        <f t="shared" si="87"/>
        <v>30008.400000000001</v>
      </c>
      <c r="M154" s="407">
        <f t="shared" si="88"/>
        <v>10.839579041840159</v>
      </c>
      <c r="N154" s="424">
        <f t="shared" si="89"/>
        <v>22112.741245353922</v>
      </c>
      <c r="O154" s="407">
        <f t="shared" si="90"/>
        <v>0.17</v>
      </c>
      <c r="P154" s="407">
        <f t="shared" si="91"/>
        <v>14.88</v>
      </c>
    </row>
    <row r="155" spans="1:16">
      <c r="A155" s="451">
        <f t="shared" si="85"/>
        <v>146</v>
      </c>
      <c r="B155" s="263" t="str">
        <f>+B154</f>
        <v>58E &amp; 59E - Directional</v>
      </c>
      <c r="C155" s="416" t="s">
        <v>940</v>
      </c>
      <c r="D155" s="417">
        <v>200</v>
      </c>
      <c r="E155" s="406">
        <v>8.3355299771092408</v>
      </c>
      <c r="F155" s="407">
        <v>2.0980355662743908</v>
      </c>
      <c r="G155" s="407">
        <v>1.1015434577459549</v>
      </c>
      <c r="H155" s="407">
        <v>2.101801343598626</v>
      </c>
      <c r="I155" s="407">
        <v>3.0545516414217091</v>
      </c>
      <c r="J155" s="407">
        <f t="shared" si="86"/>
        <v>16.690000000000001</v>
      </c>
      <c r="K155" s="423">
        <v>303</v>
      </c>
      <c r="L155" s="424">
        <f t="shared" si="87"/>
        <v>60684.840000000011</v>
      </c>
      <c r="M155" s="407">
        <f t="shared" si="88"/>
        <v>11.535109001129586</v>
      </c>
      <c r="N155" s="424">
        <f t="shared" si="89"/>
        <v>41941.656328107172</v>
      </c>
      <c r="O155" s="407">
        <f t="shared" si="90"/>
        <v>0.18</v>
      </c>
      <c r="P155" s="407">
        <f t="shared" si="91"/>
        <v>16.87</v>
      </c>
    </row>
    <row r="156" spans="1:16">
      <c r="A156" s="451">
        <f t="shared" si="85"/>
        <v>147</v>
      </c>
      <c r="B156" s="263" t="str">
        <f>+B155</f>
        <v>58E &amp; 59E - Directional</v>
      </c>
      <c r="C156" s="416" t="s">
        <v>940</v>
      </c>
      <c r="D156" s="417">
        <v>250</v>
      </c>
      <c r="E156" s="406">
        <v>8.7556740719621793</v>
      </c>
      <c r="F156" s="407">
        <v>2.0980355662743908</v>
      </c>
      <c r="G156" s="407">
        <v>1.3769293221824437</v>
      </c>
      <c r="H156" s="407">
        <v>2.6272516794982823</v>
      </c>
      <c r="I156" s="407">
        <v>3.8181895517771363</v>
      </c>
      <c r="J156" s="407">
        <f t="shared" si="86"/>
        <v>18.68</v>
      </c>
      <c r="K156" s="423">
        <v>41</v>
      </c>
      <c r="L156" s="424">
        <f t="shared" si="87"/>
        <v>9190.56</v>
      </c>
      <c r="M156" s="407">
        <f t="shared" si="88"/>
        <v>12.230638960419013</v>
      </c>
      <c r="N156" s="424">
        <f t="shared" si="89"/>
        <v>6017.4743685261546</v>
      </c>
      <c r="O156" s="407">
        <f t="shared" si="90"/>
        <v>0.19</v>
      </c>
      <c r="P156" s="407">
        <f t="shared" si="91"/>
        <v>18.87</v>
      </c>
    </row>
    <row r="157" spans="1:16">
      <c r="A157" s="451">
        <f t="shared" si="85"/>
        <v>148</v>
      </c>
      <c r="B157" s="263" t="str">
        <f>+B156</f>
        <v>58E &amp; 59E - Directional</v>
      </c>
      <c r="C157" s="416" t="s">
        <v>940</v>
      </c>
      <c r="D157" s="417">
        <v>400</v>
      </c>
      <c r="E157" s="406">
        <v>10.016106356520991</v>
      </c>
      <c r="F157" s="407">
        <v>2.0980355662743908</v>
      </c>
      <c r="G157" s="407">
        <v>2.2030869154919097</v>
      </c>
      <c r="H157" s="407">
        <v>4.2036026871972521</v>
      </c>
      <c r="I157" s="407">
        <v>6.1091032828434182</v>
      </c>
      <c r="J157" s="407">
        <f t="shared" si="86"/>
        <v>24.63</v>
      </c>
      <c r="K157" s="423">
        <v>406</v>
      </c>
      <c r="L157" s="424">
        <f t="shared" si="87"/>
        <v>119997.35999999999</v>
      </c>
      <c r="M157" s="407">
        <f t="shared" si="88"/>
        <v>14.317228838287292</v>
      </c>
      <c r="N157" s="424">
        <f t="shared" si="89"/>
        <v>69753.538900135682</v>
      </c>
      <c r="O157" s="407">
        <f t="shared" si="90"/>
        <v>0.22</v>
      </c>
      <c r="P157" s="407">
        <f t="shared" si="91"/>
        <v>24.849999999999998</v>
      </c>
    </row>
    <row r="158" spans="1:16">
      <c r="A158" s="451">
        <f t="shared" si="85"/>
        <v>149</v>
      </c>
      <c r="B158" s="263"/>
      <c r="C158" s="416"/>
      <c r="D158" s="417"/>
      <c r="E158" s="406"/>
      <c r="F158" s="404"/>
      <c r="G158" s="404"/>
      <c r="H158" s="404"/>
      <c r="I158" s="404"/>
      <c r="J158" s="404"/>
      <c r="K158" s="404"/>
      <c r="L158" s="404"/>
      <c r="M158" s="404"/>
      <c r="N158" s="404"/>
      <c r="O158" s="404"/>
      <c r="P158" s="404"/>
    </row>
    <row r="159" spans="1:16">
      <c r="A159" s="451">
        <f t="shared" si="85"/>
        <v>150</v>
      </c>
      <c r="B159" s="253" t="s">
        <v>951</v>
      </c>
      <c r="C159" s="416" t="s">
        <v>940</v>
      </c>
      <c r="D159" s="417">
        <v>100</v>
      </c>
      <c r="E159" s="406">
        <v>7.4952417874033648</v>
      </c>
      <c r="F159" s="407">
        <v>2.0980355662743908</v>
      </c>
      <c r="G159" s="407">
        <v>0.55077172887297743</v>
      </c>
      <c r="H159" s="407">
        <v>1.050900671799313</v>
      </c>
      <c r="I159" s="407">
        <v>1.5272758207108545</v>
      </c>
      <c r="J159" s="407">
        <f>ROUND(SUM(E159:I159),2)</f>
        <v>12.72</v>
      </c>
      <c r="K159" s="423">
        <v>1</v>
      </c>
      <c r="L159" s="424">
        <f>+K159*J159*12</f>
        <v>152.64000000000001</v>
      </c>
      <c r="M159" s="407">
        <f>SUM(E159:G159)</f>
        <v>10.144049082550733</v>
      </c>
      <c r="N159" s="424">
        <f>+M159*K159*12</f>
        <v>121.7285889906088</v>
      </c>
      <c r="O159" s="407">
        <f>ROUND(M159*$N$13,2)</f>
        <v>0.16</v>
      </c>
      <c r="P159" s="407">
        <f>+O159+J159</f>
        <v>12.88</v>
      </c>
    </row>
    <row r="160" spans="1:16">
      <c r="A160" s="451">
        <f t="shared" si="85"/>
        <v>151</v>
      </c>
      <c r="B160" s="263" t="str">
        <f>B159</f>
        <v>58E &amp; 59E - Horizontal</v>
      </c>
      <c r="C160" s="416" t="s">
        <v>940</v>
      </c>
      <c r="D160" s="417">
        <v>150</v>
      </c>
      <c r="E160" s="406">
        <v>7.9153858822563024</v>
      </c>
      <c r="F160" s="407">
        <v>2.0980355662743908</v>
      </c>
      <c r="G160" s="407">
        <v>0.82615759330946614</v>
      </c>
      <c r="H160" s="407">
        <v>1.5763510076989693</v>
      </c>
      <c r="I160" s="407">
        <v>2.2909137310662815</v>
      </c>
      <c r="J160" s="407">
        <f>ROUND(SUM(E160:I160),2)</f>
        <v>14.71</v>
      </c>
      <c r="K160" s="423">
        <v>25</v>
      </c>
      <c r="L160" s="424">
        <f>+K160*J160*12</f>
        <v>4413</v>
      </c>
      <c r="M160" s="407">
        <f>SUM(E160:G160)</f>
        <v>10.839579041840159</v>
      </c>
      <c r="N160" s="424">
        <f>+M160*K160*12</f>
        <v>3251.8737125520474</v>
      </c>
      <c r="O160" s="407">
        <f>ROUND(M160*$N$13,2)</f>
        <v>0.17</v>
      </c>
      <c r="P160" s="407">
        <f>+O160+J160</f>
        <v>14.88</v>
      </c>
    </row>
    <row r="161" spans="1:16">
      <c r="A161" s="451">
        <f t="shared" si="85"/>
        <v>152</v>
      </c>
      <c r="B161" s="263" t="str">
        <f>B160</f>
        <v>58E &amp; 59E - Horizontal</v>
      </c>
      <c r="C161" s="416" t="s">
        <v>940</v>
      </c>
      <c r="D161" s="417">
        <v>200</v>
      </c>
      <c r="E161" s="406">
        <v>8.3355299771092408</v>
      </c>
      <c r="F161" s="407">
        <v>2.0980355662743908</v>
      </c>
      <c r="G161" s="407">
        <v>1.1015434577459549</v>
      </c>
      <c r="H161" s="407">
        <v>2.101801343598626</v>
      </c>
      <c r="I161" s="407">
        <v>3.0545516414217091</v>
      </c>
      <c r="J161" s="407">
        <f>ROUND(SUM(E161:I161),2)</f>
        <v>16.690000000000001</v>
      </c>
      <c r="K161" s="423">
        <v>13</v>
      </c>
      <c r="L161" s="424">
        <f>+K161*J161*12</f>
        <v>2603.6400000000003</v>
      </c>
      <c r="M161" s="407">
        <f>SUM(E161:G161)</f>
        <v>11.535109001129586</v>
      </c>
      <c r="N161" s="424">
        <f>+M161*K161*12</f>
        <v>1799.4770041762154</v>
      </c>
      <c r="O161" s="407">
        <f>ROUND(M161*$N$13,2)</f>
        <v>0.18</v>
      </c>
      <c r="P161" s="407">
        <f>+O161+J161</f>
        <v>16.87</v>
      </c>
    </row>
    <row r="162" spans="1:16">
      <c r="A162" s="451">
        <f t="shared" si="85"/>
        <v>153</v>
      </c>
      <c r="B162" s="263" t="str">
        <f>B161</f>
        <v>58E &amp; 59E - Horizontal</v>
      </c>
      <c r="C162" s="416" t="s">
        <v>940</v>
      </c>
      <c r="D162" s="417">
        <v>250</v>
      </c>
      <c r="E162" s="406">
        <v>8.7556740719621793</v>
      </c>
      <c r="F162" s="407">
        <v>2.0980355662743908</v>
      </c>
      <c r="G162" s="407">
        <v>1.3769293221824437</v>
      </c>
      <c r="H162" s="407">
        <v>2.6272516794982823</v>
      </c>
      <c r="I162" s="407">
        <v>3.8181895517771363</v>
      </c>
      <c r="J162" s="407">
        <f>ROUND(SUM(E162:I162),2)</f>
        <v>18.68</v>
      </c>
      <c r="K162" s="423">
        <v>34</v>
      </c>
      <c r="L162" s="424">
        <f>+K162*J162*12</f>
        <v>7621.4400000000005</v>
      </c>
      <c r="M162" s="407">
        <f>SUM(E162:G162)</f>
        <v>12.230638960419013</v>
      </c>
      <c r="N162" s="424">
        <f>+M162*K162*12</f>
        <v>4990.100695850957</v>
      </c>
      <c r="O162" s="407">
        <f>ROUND(M162*$N$13,2)</f>
        <v>0.19</v>
      </c>
      <c r="P162" s="407">
        <f>+O162+J162</f>
        <v>18.87</v>
      </c>
    </row>
    <row r="163" spans="1:16">
      <c r="A163" s="451">
        <f t="shared" si="85"/>
        <v>154</v>
      </c>
      <c r="B163" s="263" t="str">
        <f>B162</f>
        <v>58E &amp; 59E - Horizontal</v>
      </c>
      <c r="C163" s="416" t="s">
        <v>940</v>
      </c>
      <c r="D163" s="417">
        <v>400</v>
      </c>
      <c r="E163" s="406">
        <v>10.016106356520991</v>
      </c>
      <c r="F163" s="407">
        <v>2.0980355662743908</v>
      </c>
      <c r="G163" s="407">
        <v>2.2030869154919097</v>
      </c>
      <c r="H163" s="407">
        <v>4.2036026871972521</v>
      </c>
      <c r="I163" s="407">
        <v>6.1091032828434182</v>
      </c>
      <c r="J163" s="407">
        <f>ROUND(SUM(E163:I163),2)</f>
        <v>24.63</v>
      </c>
      <c r="K163" s="423">
        <v>65</v>
      </c>
      <c r="L163" s="424">
        <f>+K163*J163*12</f>
        <v>19211.400000000001</v>
      </c>
      <c r="M163" s="407">
        <f>SUM(E163:G163)</f>
        <v>14.317228838287292</v>
      </c>
      <c r="N163" s="424">
        <f>+M163*K163*12</f>
        <v>11167.438493864087</v>
      </c>
      <c r="O163" s="407">
        <f>ROUND(M163*$N$13,2)</f>
        <v>0.22</v>
      </c>
      <c r="P163" s="407">
        <f>+O163+J163</f>
        <v>24.849999999999998</v>
      </c>
    </row>
    <row r="164" spans="1:16">
      <c r="A164" s="451">
        <f t="shared" si="85"/>
        <v>155</v>
      </c>
      <c r="B164" s="263"/>
      <c r="C164" s="416"/>
      <c r="D164" s="417"/>
      <c r="E164" s="406"/>
      <c r="F164" s="404"/>
      <c r="G164" s="404"/>
      <c r="H164" s="404"/>
      <c r="I164" s="404"/>
      <c r="J164" s="404"/>
      <c r="K164" s="404"/>
      <c r="L164" s="404"/>
      <c r="M164" s="404"/>
      <c r="N164" s="404"/>
      <c r="O164" s="404"/>
      <c r="P164" s="404"/>
    </row>
    <row r="165" spans="1:16">
      <c r="A165" s="451">
        <f t="shared" si="85"/>
        <v>156</v>
      </c>
      <c r="B165" s="263" t="str">
        <f>B153</f>
        <v>58E &amp; 59E - Directional</v>
      </c>
      <c r="C165" s="416" t="s">
        <v>941</v>
      </c>
      <c r="D165" s="417">
        <v>175</v>
      </c>
      <c r="E165" s="406">
        <v>8.9655957919833664</v>
      </c>
      <c r="F165" s="407">
        <v>4.1960711325487816</v>
      </c>
      <c r="G165" s="407">
        <v>0.96385052552771056</v>
      </c>
      <c r="H165" s="407">
        <v>1.8390761756487974</v>
      </c>
      <c r="I165" s="407">
        <v>2.6727326862439953</v>
      </c>
      <c r="J165" s="407">
        <f>ROUND(SUM(E165:I165),2)</f>
        <v>18.64</v>
      </c>
      <c r="K165" s="423">
        <v>3</v>
      </c>
      <c r="L165" s="424">
        <f>+K165*J165*12</f>
        <v>671.04</v>
      </c>
      <c r="M165" s="407">
        <f>SUM(E165:G165)</f>
        <v>14.12551745005986</v>
      </c>
      <c r="N165" s="424">
        <f>+M165*K165*12</f>
        <v>508.51862820215496</v>
      </c>
      <c r="O165" s="407">
        <f>ROUND(M165*$N$13,2)</f>
        <v>0.22</v>
      </c>
      <c r="P165" s="407">
        <f>+O165+J165</f>
        <v>18.86</v>
      </c>
    </row>
    <row r="166" spans="1:16">
      <c r="A166" s="451">
        <f t="shared" si="85"/>
        <v>157</v>
      </c>
      <c r="B166" s="263" t="str">
        <f>B165</f>
        <v>58E &amp; 59E - Directional</v>
      </c>
      <c r="C166" s="416" t="s">
        <v>941</v>
      </c>
      <c r="D166" s="417">
        <v>250</v>
      </c>
      <c r="E166" s="406">
        <v>9.7795478860196958</v>
      </c>
      <c r="F166" s="407">
        <v>4.1960711325487816</v>
      </c>
      <c r="G166" s="407">
        <v>1.3769293221824437</v>
      </c>
      <c r="H166" s="407">
        <v>2.6272516794982823</v>
      </c>
      <c r="I166" s="407">
        <v>3.8181895517771363</v>
      </c>
      <c r="J166" s="407">
        <f>ROUND(SUM(E166:I166),2)</f>
        <v>21.8</v>
      </c>
      <c r="K166" s="423">
        <v>22</v>
      </c>
      <c r="L166" s="424">
        <f>+K166*J166*12</f>
        <v>5755.2000000000007</v>
      </c>
      <c r="M166" s="407">
        <f>SUM(E166:G166)</f>
        <v>15.35254834075092</v>
      </c>
      <c r="N166" s="424">
        <f>+M166*K166*12</f>
        <v>4053.0727619582431</v>
      </c>
      <c r="O166" s="407">
        <f>ROUND(M166*$N$13,2)</f>
        <v>0.23</v>
      </c>
      <c r="P166" s="407">
        <f>+O166+J166</f>
        <v>22.03</v>
      </c>
    </row>
    <row r="167" spans="1:16">
      <c r="A167" s="451">
        <f t="shared" si="85"/>
        <v>158</v>
      </c>
      <c r="B167" s="263" t="str">
        <f>B166</f>
        <v>58E &amp; 59E - Directional</v>
      </c>
      <c r="C167" s="416" t="s">
        <v>941</v>
      </c>
      <c r="D167" s="417">
        <v>400</v>
      </c>
      <c r="E167" s="406">
        <v>11.407452074092353</v>
      </c>
      <c r="F167" s="407">
        <v>4.1960711325487816</v>
      </c>
      <c r="G167" s="407">
        <v>2.2030869154919097</v>
      </c>
      <c r="H167" s="407">
        <v>4.2036026871972521</v>
      </c>
      <c r="I167" s="407">
        <v>6.1091032828434182</v>
      </c>
      <c r="J167" s="407">
        <f>ROUND(SUM(E167:I167),2)</f>
        <v>28.12</v>
      </c>
      <c r="K167" s="423">
        <v>86</v>
      </c>
      <c r="L167" s="424">
        <f>+K167*J167*12</f>
        <v>29019.840000000004</v>
      </c>
      <c r="M167" s="407">
        <f>SUM(E167:G167)</f>
        <v>17.806610122133044</v>
      </c>
      <c r="N167" s="424">
        <f>+M167*K167*12</f>
        <v>18376.421646041301</v>
      </c>
      <c r="O167" s="407">
        <f>ROUND(M167*$N$13,2)</f>
        <v>0.27</v>
      </c>
      <c r="P167" s="407">
        <f>+O167+J167</f>
        <v>28.39</v>
      </c>
    </row>
    <row r="168" spans="1:16">
      <c r="A168" s="451">
        <f t="shared" si="85"/>
        <v>159</v>
      </c>
      <c r="B168" s="263" t="str">
        <f>B167</f>
        <v>58E &amp; 59E - Directional</v>
      </c>
      <c r="C168" s="416" t="s">
        <v>941</v>
      </c>
      <c r="D168" s="417">
        <v>1000</v>
      </c>
      <c r="E168" s="406">
        <v>17.919068826382983</v>
      </c>
      <c r="F168" s="407">
        <v>4.1960711325487816</v>
      </c>
      <c r="G168" s="407">
        <v>5.5077172887297747</v>
      </c>
      <c r="H168" s="407">
        <v>10.509006717993129</v>
      </c>
      <c r="I168" s="407">
        <v>15.272758207108545</v>
      </c>
      <c r="J168" s="407">
        <f>ROUND(SUM(E168:I168),2)</f>
        <v>53.4</v>
      </c>
      <c r="K168" s="423">
        <v>139</v>
      </c>
      <c r="L168" s="424">
        <f>+K168*J168*12</f>
        <v>89071.2</v>
      </c>
      <c r="M168" s="407">
        <f>SUM(E168:G168)</f>
        <v>27.622857247661539</v>
      </c>
      <c r="N168" s="424">
        <f>+M168*K168*12</f>
        <v>46074.925889099446</v>
      </c>
      <c r="O168" s="407">
        <f>ROUND(M168*$N$13,2)</f>
        <v>0.42</v>
      </c>
      <c r="P168" s="407">
        <f>+O168+J168</f>
        <v>53.82</v>
      </c>
    </row>
    <row r="169" spans="1:16">
      <c r="A169" s="451">
        <f t="shared" si="85"/>
        <v>160</v>
      </c>
      <c r="B169" s="263"/>
      <c r="C169" s="416"/>
      <c r="D169" s="417"/>
      <c r="E169" s="406"/>
      <c r="F169" s="404"/>
      <c r="G169" s="404"/>
      <c r="H169" s="404"/>
      <c r="I169" s="404"/>
      <c r="J169" s="404"/>
      <c r="K169" s="404"/>
      <c r="L169" s="404"/>
      <c r="M169" s="404"/>
      <c r="N169" s="404"/>
      <c r="O169" s="404"/>
      <c r="P169" s="404"/>
    </row>
    <row r="170" spans="1:16">
      <c r="A170" s="451">
        <f t="shared" si="85"/>
        <v>161</v>
      </c>
      <c r="B170" s="263" t="str">
        <f>B159</f>
        <v>58E &amp; 59E - Horizontal</v>
      </c>
      <c r="C170" s="416" t="s">
        <v>941</v>
      </c>
      <c r="D170" s="417">
        <v>250</v>
      </c>
      <c r="E170" s="406">
        <v>9.7795478860196958</v>
      </c>
      <c r="F170" s="407">
        <v>4.1960711325487816</v>
      </c>
      <c r="G170" s="407">
        <v>1.3769293221824437</v>
      </c>
      <c r="H170" s="407">
        <v>2.6272516794982823</v>
      </c>
      <c r="I170" s="407">
        <v>3.8181895517771363</v>
      </c>
      <c r="J170" s="407">
        <f>ROUND(SUM(E170:I170),2)</f>
        <v>21.8</v>
      </c>
      <c r="K170" s="423">
        <v>11</v>
      </c>
      <c r="L170" s="424">
        <f>+K170*J170*12</f>
        <v>2877.6000000000004</v>
      </c>
      <c r="M170" s="407">
        <f>SUM(E170:G170)</f>
        <v>15.35254834075092</v>
      </c>
      <c r="N170" s="424">
        <f>+M170*K170*12</f>
        <v>2026.5363809791215</v>
      </c>
      <c r="O170" s="407">
        <f>ROUND(M170*$N$13,2)</f>
        <v>0.23</v>
      </c>
      <c r="P170" s="407">
        <f>+O170+J170</f>
        <v>22.03</v>
      </c>
    </row>
    <row r="171" spans="1:16">
      <c r="A171" s="451">
        <f t="shared" si="85"/>
        <v>162</v>
      </c>
      <c r="B171" s="263" t="str">
        <f>B170</f>
        <v>58E &amp; 59E - Horizontal</v>
      </c>
      <c r="C171" s="416" t="s">
        <v>941</v>
      </c>
      <c r="D171" s="417">
        <v>400</v>
      </c>
      <c r="E171" s="406">
        <v>11.407452074092353</v>
      </c>
      <c r="F171" s="407">
        <v>4.1960711325487816</v>
      </c>
      <c r="G171" s="407">
        <v>2.2030869154919097</v>
      </c>
      <c r="H171" s="407">
        <v>4.2036026871972521</v>
      </c>
      <c r="I171" s="407">
        <v>6.1091032828434182</v>
      </c>
      <c r="J171" s="407">
        <f>ROUND(SUM(E171:I171),2)</f>
        <v>28.12</v>
      </c>
      <c r="K171" s="423">
        <v>46</v>
      </c>
      <c r="L171" s="424">
        <f>+K171*J171*12</f>
        <v>15522.24</v>
      </c>
      <c r="M171" s="407">
        <f>SUM(E171:G171)</f>
        <v>17.806610122133044</v>
      </c>
      <c r="N171" s="424">
        <f>+M171*K171*12</f>
        <v>9829.2487874174403</v>
      </c>
      <c r="O171" s="407">
        <f>ROUND(M171*$N$13,2)</f>
        <v>0.27</v>
      </c>
      <c r="P171" s="407">
        <f>+O171+J171</f>
        <v>28.39</v>
      </c>
    </row>
    <row r="172" spans="1:16">
      <c r="A172" s="451">
        <f t="shared" si="85"/>
        <v>163</v>
      </c>
      <c r="B172" s="263"/>
      <c r="C172" s="416"/>
      <c r="D172" s="417"/>
      <c r="E172" s="406"/>
      <c r="F172" s="404"/>
      <c r="G172" s="404"/>
      <c r="H172" s="404"/>
      <c r="I172" s="404"/>
      <c r="J172" s="404"/>
      <c r="K172" s="404"/>
      <c r="L172" s="404"/>
      <c r="M172" s="404"/>
      <c r="N172" s="404"/>
      <c r="O172" s="404"/>
      <c r="P172" s="404"/>
    </row>
    <row r="173" spans="1:16">
      <c r="A173" s="451"/>
      <c r="B173" s="263"/>
      <c r="C173" s="416"/>
      <c r="D173" s="417"/>
      <c r="E173" s="406"/>
      <c r="F173" s="404"/>
      <c r="G173" s="404"/>
      <c r="H173" s="404"/>
      <c r="I173" s="404"/>
      <c r="J173" s="404"/>
      <c r="K173" s="404"/>
      <c r="L173" s="404"/>
      <c r="M173" s="404"/>
      <c r="N173" s="404"/>
      <c r="O173" s="404"/>
      <c r="P173" s="404"/>
    </row>
    <row r="174" spans="1:16">
      <c r="A174" s="451">
        <f>A172+1</f>
        <v>164</v>
      </c>
      <c r="B174" s="263" t="s">
        <v>952</v>
      </c>
      <c r="C174" s="416" t="s">
        <v>928</v>
      </c>
      <c r="D174" s="415" t="s">
        <v>929</v>
      </c>
      <c r="E174" s="406">
        <v>10.478450574473531</v>
      </c>
      <c r="F174" s="407">
        <v>0.41960711325487821</v>
      </c>
      <c r="G174" s="407">
        <v>0.24784727799283984</v>
      </c>
      <c r="H174" s="407">
        <v>0.4729053023096908</v>
      </c>
      <c r="I174" s="407">
        <v>0.68727411931988447</v>
      </c>
      <c r="J174" s="407">
        <f t="shared" ref="J174:J188" si="92">ROUND(SUM(E174:I174),2)</f>
        <v>12.31</v>
      </c>
      <c r="K174" s="423">
        <v>0</v>
      </c>
      <c r="L174" s="424">
        <f t="shared" ref="L174:L188" si="93">+K174*J174*12</f>
        <v>0</v>
      </c>
      <c r="M174" s="407">
        <f t="shared" ref="M174:M188" si="94">SUM(E174:G174)</f>
        <v>11.145904965721249</v>
      </c>
      <c r="N174" s="424">
        <f t="shared" ref="N174:N188" si="95">+M174*K174*12</f>
        <v>0</v>
      </c>
      <c r="O174" s="407">
        <f t="shared" ref="O174:O188" si="96">ROUND(M174*$N$13,2)</f>
        <v>0.17</v>
      </c>
      <c r="P174" s="407">
        <f t="shared" ref="P174:P188" si="97">+O174+J174</f>
        <v>12.48</v>
      </c>
    </row>
    <row r="175" spans="1:16">
      <c r="A175" s="451">
        <f t="shared" si="85"/>
        <v>165</v>
      </c>
      <c r="B175" s="263" t="str">
        <f>B174</f>
        <v>58E &amp; 59E</v>
      </c>
      <c r="C175" s="416" t="s">
        <v>928</v>
      </c>
      <c r="D175" s="415" t="s">
        <v>930</v>
      </c>
      <c r="E175" s="406">
        <v>10.656234661687405</v>
      </c>
      <c r="F175" s="407">
        <v>0.41960711325487821</v>
      </c>
      <c r="G175" s="407">
        <v>0.41307879665473307</v>
      </c>
      <c r="H175" s="407">
        <v>0.78817550384948465</v>
      </c>
      <c r="I175" s="407">
        <v>1.1454568655331407</v>
      </c>
      <c r="J175" s="407">
        <f t="shared" si="92"/>
        <v>13.42</v>
      </c>
      <c r="K175" s="423">
        <v>1</v>
      </c>
      <c r="L175" s="424">
        <f t="shared" si="93"/>
        <v>161.04</v>
      </c>
      <c r="M175" s="407">
        <f t="shared" si="94"/>
        <v>11.488920571597017</v>
      </c>
      <c r="N175" s="424">
        <f t="shared" si="95"/>
        <v>137.86704685916419</v>
      </c>
      <c r="O175" s="407">
        <f t="shared" si="96"/>
        <v>0.18</v>
      </c>
      <c r="P175" s="407">
        <f t="shared" si="97"/>
        <v>13.6</v>
      </c>
    </row>
    <row r="176" spans="1:16">
      <c r="A176" s="451">
        <f t="shared" si="85"/>
        <v>166</v>
      </c>
      <c r="B176" s="263" t="str">
        <f t="shared" ref="B176:B188" si="98">B175</f>
        <v>58E &amp; 59E</v>
      </c>
      <c r="C176" s="416" t="s">
        <v>928</v>
      </c>
      <c r="D176" s="415" t="s">
        <v>931</v>
      </c>
      <c r="E176" s="406">
        <v>10.834018748901283</v>
      </c>
      <c r="F176" s="407">
        <v>0.41960711325487821</v>
      </c>
      <c r="G176" s="407">
        <v>0.57831031531662636</v>
      </c>
      <c r="H176" s="407">
        <v>1.1034457053892786</v>
      </c>
      <c r="I176" s="407">
        <v>1.6036396117463971</v>
      </c>
      <c r="J176" s="407">
        <f t="shared" si="92"/>
        <v>14.54</v>
      </c>
      <c r="K176" s="423">
        <v>0</v>
      </c>
      <c r="L176" s="424">
        <f t="shared" si="93"/>
        <v>0</v>
      </c>
      <c r="M176" s="407">
        <f t="shared" si="94"/>
        <v>11.831936177472787</v>
      </c>
      <c r="N176" s="424">
        <f t="shared" si="95"/>
        <v>0</v>
      </c>
      <c r="O176" s="407">
        <f t="shared" si="96"/>
        <v>0.18</v>
      </c>
      <c r="P176" s="407">
        <f t="shared" si="97"/>
        <v>14.719999999999999</v>
      </c>
    </row>
    <row r="177" spans="1:16">
      <c r="A177" s="451">
        <f t="shared" si="85"/>
        <v>167</v>
      </c>
      <c r="B177" s="263" t="str">
        <f t="shared" si="98"/>
        <v>58E &amp; 59E</v>
      </c>
      <c r="C177" s="416" t="s">
        <v>928</v>
      </c>
      <c r="D177" s="415" t="s">
        <v>932</v>
      </c>
      <c r="E177" s="406">
        <v>11.011802836115159</v>
      </c>
      <c r="F177" s="407">
        <v>0.41960711325487821</v>
      </c>
      <c r="G177" s="407">
        <v>0.74354183397851958</v>
      </c>
      <c r="H177" s="407">
        <v>1.4187159069290725</v>
      </c>
      <c r="I177" s="407">
        <v>2.0618223579596537</v>
      </c>
      <c r="J177" s="407">
        <f t="shared" si="92"/>
        <v>15.66</v>
      </c>
      <c r="K177" s="423">
        <v>1</v>
      </c>
      <c r="L177" s="424">
        <f t="shared" si="93"/>
        <v>187.92000000000002</v>
      </c>
      <c r="M177" s="407">
        <f t="shared" si="94"/>
        <v>12.174951783348558</v>
      </c>
      <c r="N177" s="424">
        <f t="shared" si="95"/>
        <v>146.09942140018268</v>
      </c>
      <c r="O177" s="407">
        <f t="shared" si="96"/>
        <v>0.19</v>
      </c>
      <c r="P177" s="407">
        <f t="shared" si="97"/>
        <v>15.85</v>
      </c>
    </row>
    <row r="178" spans="1:16">
      <c r="A178" s="451">
        <f t="shared" si="85"/>
        <v>168</v>
      </c>
      <c r="B178" s="263" t="str">
        <f t="shared" si="98"/>
        <v>58E &amp; 59E</v>
      </c>
      <c r="C178" s="416" t="s">
        <v>928</v>
      </c>
      <c r="D178" s="415" t="s">
        <v>933</v>
      </c>
      <c r="E178" s="406">
        <v>11.189586923329037</v>
      </c>
      <c r="F178" s="407">
        <v>0.41960711325487821</v>
      </c>
      <c r="G178" s="407">
        <v>0.90877335264041281</v>
      </c>
      <c r="H178" s="407">
        <v>1.7339861084688664</v>
      </c>
      <c r="I178" s="407">
        <v>2.5200051041729097</v>
      </c>
      <c r="J178" s="407">
        <f t="shared" si="92"/>
        <v>16.77</v>
      </c>
      <c r="K178" s="423">
        <v>0</v>
      </c>
      <c r="L178" s="424">
        <f t="shared" si="93"/>
        <v>0</v>
      </c>
      <c r="M178" s="407">
        <f t="shared" si="94"/>
        <v>12.517967389224328</v>
      </c>
      <c r="N178" s="424">
        <f t="shared" si="95"/>
        <v>0</v>
      </c>
      <c r="O178" s="407">
        <f t="shared" si="96"/>
        <v>0.19</v>
      </c>
      <c r="P178" s="407">
        <f t="shared" si="97"/>
        <v>16.96</v>
      </c>
    </row>
    <row r="179" spans="1:16">
      <c r="A179" s="451">
        <f t="shared" si="85"/>
        <v>169</v>
      </c>
      <c r="B179" s="263" t="str">
        <f t="shared" si="98"/>
        <v>58E &amp; 59E</v>
      </c>
      <c r="C179" s="416" t="s">
        <v>928</v>
      </c>
      <c r="D179" s="415" t="s">
        <v>934</v>
      </c>
      <c r="E179" s="406">
        <v>11.367371010542911</v>
      </c>
      <c r="F179" s="407">
        <v>0.41960711325487821</v>
      </c>
      <c r="G179" s="407">
        <v>1.074004871302306</v>
      </c>
      <c r="H179" s="407">
        <v>2.0492563100086603</v>
      </c>
      <c r="I179" s="407">
        <v>2.9781878503861661</v>
      </c>
      <c r="J179" s="407">
        <f t="shared" si="92"/>
        <v>17.89</v>
      </c>
      <c r="K179" s="423">
        <v>0</v>
      </c>
      <c r="L179" s="424">
        <f t="shared" si="93"/>
        <v>0</v>
      </c>
      <c r="M179" s="407">
        <f t="shared" si="94"/>
        <v>12.860982995100095</v>
      </c>
      <c r="N179" s="424">
        <f t="shared" si="95"/>
        <v>0</v>
      </c>
      <c r="O179" s="407">
        <f t="shared" si="96"/>
        <v>0.2</v>
      </c>
      <c r="P179" s="407">
        <f t="shared" si="97"/>
        <v>18.09</v>
      </c>
    </row>
    <row r="180" spans="1:16">
      <c r="A180" s="451">
        <f t="shared" si="85"/>
        <v>170</v>
      </c>
      <c r="B180" s="263" t="str">
        <f t="shared" si="98"/>
        <v>58E &amp; 59E</v>
      </c>
      <c r="C180" s="416" t="s">
        <v>928</v>
      </c>
      <c r="D180" s="415" t="s">
        <v>935</v>
      </c>
      <c r="E180" s="406">
        <v>11.545155097756785</v>
      </c>
      <c r="F180" s="407">
        <v>0.41960711325487821</v>
      </c>
      <c r="G180" s="407">
        <v>1.2392363899641992</v>
      </c>
      <c r="H180" s="407">
        <v>2.3645265115484539</v>
      </c>
      <c r="I180" s="407">
        <v>3.4363705965994225</v>
      </c>
      <c r="J180" s="407">
        <f t="shared" si="92"/>
        <v>19</v>
      </c>
      <c r="K180" s="423">
        <v>0</v>
      </c>
      <c r="L180" s="424">
        <f t="shared" si="93"/>
        <v>0</v>
      </c>
      <c r="M180" s="407">
        <f t="shared" si="94"/>
        <v>13.203998600975863</v>
      </c>
      <c r="N180" s="424">
        <f t="shared" si="95"/>
        <v>0</v>
      </c>
      <c r="O180" s="407">
        <f t="shared" si="96"/>
        <v>0.2</v>
      </c>
      <c r="P180" s="407">
        <f t="shared" si="97"/>
        <v>19.2</v>
      </c>
    </row>
    <row r="181" spans="1:16">
      <c r="A181" s="451">
        <f t="shared" si="85"/>
        <v>171</v>
      </c>
      <c r="B181" s="263" t="str">
        <f t="shared" si="98"/>
        <v>58E &amp; 59E</v>
      </c>
      <c r="C181" s="416" t="s">
        <v>928</v>
      </c>
      <c r="D181" s="415" t="s">
        <v>936</v>
      </c>
      <c r="E181" s="406">
        <v>11.722939184970663</v>
      </c>
      <c r="F181" s="407">
        <v>0.41960711325487821</v>
      </c>
      <c r="G181" s="407">
        <v>1.4044679086260925</v>
      </c>
      <c r="H181" s="407">
        <v>2.6797967130882481</v>
      </c>
      <c r="I181" s="407">
        <v>3.8945533428126788</v>
      </c>
      <c r="J181" s="407">
        <f t="shared" si="92"/>
        <v>20.12</v>
      </c>
      <c r="K181" s="423">
        <v>1</v>
      </c>
      <c r="L181" s="424">
        <f t="shared" si="93"/>
        <v>241.44</v>
      </c>
      <c r="M181" s="407">
        <f t="shared" si="94"/>
        <v>13.547014206851633</v>
      </c>
      <c r="N181" s="424">
        <f t="shared" si="95"/>
        <v>162.56417048221959</v>
      </c>
      <c r="O181" s="407">
        <f t="shared" si="96"/>
        <v>0.21</v>
      </c>
      <c r="P181" s="407">
        <f t="shared" si="97"/>
        <v>20.330000000000002</v>
      </c>
    </row>
    <row r="182" spans="1:16">
      <c r="A182" s="451">
        <f t="shared" si="85"/>
        <v>172</v>
      </c>
      <c r="B182" s="263" t="str">
        <f t="shared" si="98"/>
        <v>58E &amp; 59E</v>
      </c>
      <c r="C182" s="416" t="s">
        <v>928</v>
      </c>
      <c r="D182" s="415" t="s">
        <v>937</v>
      </c>
      <c r="E182" s="406">
        <v>11.900723272184539</v>
      </c>
      <c r="F182" s="407">
        <v>0.41960711325487821</v>
      </c>
      <c r="G182" s="407">
        <v>1.5696994272879856</v>
      </c>
      <c r="H182" s="407">
        <v>2.9950669146280422</v>
      </c>
      <c r="I182" s="407">
        <v>4.3527360890259352</v>
      </c>
      <c r="J182" s="407">
        <f t="shared" si="92"/>
        <v>21.24</v>
      </c>
      <c r="K182" s="423">
        <v>0</v>
      </c>
      <c r="L182" s="424">
        <f t="shared" si="93"/>
        <v>0</v>
      </c>
      <c r="M182" s="407">
        <f t="shared" si="94"/>
        <v>13.890029812727404</v>
      </c>
      <c r="N182" s="424">
        <f t="shared" si="95"/>
        <v>0</v>
      </c>
      <c r="O182" s="407">
        <f t="shared" si="96"/>
        <v>0.21</v>
      </c>
      <c r="P182" s="407">
        <f t="shared" si="97"/>
        <v>21.45</v>
      </c>
    </row>
    <row r="183" spans="1:16">
      <c r="A183" s="451">
        <f t="shared" si="85"/>
        <v>173</v>
      </c>
      <c r="B183" s="263" t="str">
        <f t="shared" si="98"/>
        <v>58E &amp; 59E</v>
      </c>
      <c r="C183" s="416" t="s">
        <v>928</v>
      </c>
      <c r="D183" s="415" t="s">
        <v>953</v>
      </c>
      <c r="E183" s="406">
        <v>12.285922127814604</v>
      </c>
      <c r="F183" s="407">
        <v>0.41960711325487821</v>
      </c>
      <c r="G183" s="407">
        <v>1.9277010510554211</v>
      </c>
      <c r="H183" s="407">
        <v>3.6781523512975949</v>
      </c>
      <c r="I183" s="407">
        <v>5.3454653724879906</v>
      </c>
      <c r="J183" s="407">
        <f t="shared" si="92"/>
        <v>23.66</v>
      </c>
      <c r="K183" s="423">
        <v>0</v>
      </c>
      <c r="L183" s="424">
        <f t="shared" si="93"/>
        <v>0</v>
      </c>
      <c r="M183" s="407">
        <f t="shared" si="94"/>
        <v>14.633230292124903</v>
      </c>
      <c r="N183" s="424">
        <f t="shared" si="95"/>
        <v>0</v>
      </c>
      <c r="O183" s="407">
        <f t="shared" si="96"/>
        <v>0.22</v>
      </c>
      <c r="P183" s="407">
        <f t="shared" si="97"/>
        <v>23.88</v>
      </c>
    </row>
    <row r="184" spans="1:16">
      <c r="A184" s="451">
        <f t="shared" si="85"/>
        <v>174</v>
      </c>
      <c r="B184" s="263" t="str">
        <f t="shared" si="98"/>
        <v>58E &amp; 59E</v>
      </c>
      <c r="C184" s="416" t="s">
        <v>928</v>
      </c>
      <c r="D184" s="415" t="s">
        <v>954</v>
      </c>
      <c r="E184" s="406">
        <v>12.878535751860857</v>
      </c>
      <c r="F184" s="407">
        <v>0.41960711325487821</v>
      </c>
      <c r="G184" s="407">
        <v>2.4784727799283983</v>
      </c>
      <c r="H184" s="407">
        <v>4.7290530230969079</v>
      </c>
      <c r="I184" s="407">
        <v>6.8727411931988449</v>
      </c>
      <c r="J184" s="407">
        <f t="shared" si="92"/>
        <v>27.38</v>
      </c>
      <c r="K184" s="423">
        <v>0</v>
      </c>
      <c r="L184" s="424">
        <f t="shared" si="93"/>
        <v>0</v>
      </c>
      <c r="M184" s="407">
        <f t="shared" si="94"/>
        <v>15.776615645044135</v>
      </c>
      <c r="N184" s="424">
        <f t="shared" si="95"/>
        <v>0</v>
      </c>
      <c r="O184" s="407">
        <f t="shared" si="96"/>
        <v>0.24</v>
      </c>
      <c r="P184" s="407">
        <f t="shared" si="97"/>
        <v>27.619999999999997</v>
      </c>
    </row>
    <row r="185" spans="1:16">
      <c r="A185" s="451">
        <f t="shared" si="85"/>
        <v>175</v>
      </c>
      <c r="B185" s="263" t="str">
        <f t="shared" si="98"/>
        <v>58E &amp; 59E</v>
      </c>
      <c r="C185" s="416" t="s">
        <v>928</v>
      </c>
      <c r="D185" s="415" t="s">
        <v>955</v>
      </c>
      <c r="E185" s="406">
        <v>13.47114937590711</v>
      </c>
      <c r="F185" s="407">
        <v>0.41960711325487821</v>
      </c>
      <c r="G185" s="407">
        <v>3.029244508801376</v>
      </c>
      <c r="H185" s="407">
        <v>5.7799536948962214</v>
      </c>
      <c r="I185" s="407">
        <v>8.4000170139097001</v>
      </c>
      <c r="J185" s="407">
        <f t="shared" si="92"/>
        <v>31.1</v>
      </c>
      <c r="K185" s="423">
        <v>0</v>
      </c>
      <c r="L185" s="424">
        <f t="shared" si="93"/>
        <v>0</v>
      </c>
      <c r="M185" s="407">
        <f t="shared" si="94"/>
        <v>16.920000997963363</v>
      </c>
      <c r="N185" s="424">
        <f t="shared" si="95"/>
        <v>0</v>
      </c>
      <c r="O185" s="407">
        <f t="shared" si="96"/>
        <v>0.26</v>
      </c>
      <c r="P185" s="407">
        <f t="shared" si="97"/>
        <v>31.360000000000003</v>
      </c>
    </row>
    <row r="186" spans="1:16">
      <c r="A186" s="451">
        <f t="shared" si="85"/>
        <v>176</v>
      </c>
      <c r="B186" s="263" t="str">
        <f t="shared" si="98"/>
        <v>58E &amp; 59E</v>
      </c>
      <c r="C186" s="416" t="s">
        <v>928</v>
      </c>
      <c r="D186" s="415" t="s">
        <v>956</v>
      </c>
      <c r="E186" s="406">
        <v>14.063762999953363</v>
      </c>
      <c r="F186" s="407">
        <v>0.41960711325487821</v>
      </c>
      <c r="G186" s="407">
        <v>3.5800162376743536</v>
      </c>
      <c r="H186" s="407">
        <v>6.8308543666955339</v>
      </c>
      <c r="I186" s="407">
        <v>9.9272928346205536</v>
      </c>
      <c r="J186" s="407">
        <f t="shared" si="92"/>
        <v>34.82</v>
      </c>
      <c r="K186" s="423">
        <v>0</v>
      </c>
      <c r="L186" s="424">
        <f t="shared" si="93"/>
        <v>0</v>
      </c>
      <c r="M186" s="407">
        <f t="shared" si="94"/>
        <v>18.063386350882595</v>
      </c>
      <c r="N186" s="424">
        <f t="shared" si="95"/>
        <v>0</v>
      </c>
      <c r="O186" s="407">
        <f t="shared" si="96"/>
        <v>0.28000000000000003</v>
      </c>
      <c r="P186" s="407">
        <f t="shared" si="97"/>
        <v>35.1</v>
      </c>
    </row>
    <row r="187" spans="1:16">
      <c r="A187" s="451">
        <f t="shared" si="85"/>
        <v>177</v>
      </c>
      <c r="B187" s="263" t="str">
        <f t="shared" si="98"/>
        <v>58E &amp; 59E</v>
      </c>
      <c r="C187" s="416" t="s">
        <v>928</v>
      </c>
      <c r="D187" s="415" t="s">
        <v>957</v>
      </c>
      <c r="E187" s="406">
        <v>14.656376623999618</v>
      </c>
      <c r="F187" s="407">
        <v>0.41960711325487821</v>
      </c>
      <c r="G187" s="407">
        <v>4.1307879665473308</v>
      </c>
      <c r="H187" s="407">
        <v>7.8817550384948474</v>
      </c>
      <c r="I187" s="407">
        <v>11.454568655331409</v>
      </c>
      <c r="J187" s="407">
        <f t="shared" si="92"/>
        <v>38.54</v>
      </c>
      <c r="K187" s="423">
        <v>0</v>
      </c>
      <c r="L187" s="424">
        <f t="shared" si="93"/>
        <v>0</v>
      </c>
      <c r="M187" s="407">
        <f t="shared" si="94"/>
        <v>19.206771703801827</v>
      </c>
      <c r="N187" s="424">
        <f t="shared" si="95"/>
        <v>0</v>
      </c>
      <c r="O187" s="407">
        <f t="shared" si="96"/>
        <v>0.28999999999999998</v>
      </c>
      <c r="P187" s="407">
        <f t="shared" si="97"/>
        <v>38.83</v>
      </c>
    </row>
    <row r="188" spans="1:16">
      <c r="A188" s="451">
        <f t="shared" si="85"/>
        <v>178</v>
      </c>
      <c r="B188" s="263" t="str">
        <f t="shared" si="98"/>
        <v>58E &amp; 59E</v>
      </c>
      <c r="C188" s="416" t="s">
        <v>928</v>
      </c>
      <c r="D188" s="415" t="s">
        <v>958</v>
      </c>
      <c r="E188" s="406">
        <v>15.248990248045873</v>
      </c>
      <c r="F188" s="407">
        <v>0.41960711325487821</v>
      </c>
      <c r="G188" s="407">
        <v>4.681559695420308</v>
      </c>
      <c r="H188" s="407">
        <v>8.9326557102941599</v>
      </c>
      <c r="I188" s="407">
        <v>12.981844476042262</v>
      </c>
      <c r="J188" s="407">
        <f t="shared" si="92"/>
        <v>42.26</v>
      </c>
      <c r="K188" s="423">
        <v>0</v>
      </c>
      <c r="L188" s="424">
        <f t="shared" si="93"/>
        <v>0</v>
      </c>
      <c r="M188" s="407">
        <f t="shared" si="94"/>
        <v>20.350157056721059</v>
      </c>
      <c r="N188" s="424">
        <f t="shared" si="95"/>
        <v>0</v>
      </c>
      <c r="O188" s="407">
        <f t="shared" si="96"/>
        <v>0.31</v>
      </c>
      <c r="P188" s="407">
        <f t="shared" si="97"/>
        <v>42.57</v>
      </c>
    </row>
    <row r="189" spans="1:16">
      <c r="A189" s="451">
        <f t="shared" si="85"/>
        <v>179</v>
      </c>
      <c r="B189" s="263"/>
      <c r="C189" s="416"/>
      <c r="D189" s="417"/>
      <c r="E189" s="406"/>
      <c r="F189" s="404"/>
      <c r="G189" s="404"/>
      <c r="H189" s="404"/>
      <c r="I189" s="404"/>
      <c r="J189" s="404"/>
      <c r="K189" s="404"/>
      <c r="L189" s="404"/>
      <c r="M189" s="404"/>
      <c r="N189" s="404"/>
      <c r="O189" s="404"/>
      <c r="P189" s="404"/>
    </row>
    <row r="190" spans="1:16">
      <c r="A190" s="451">
        <f t="shared" si="85"/>
        <v>180</v>
      </c>
      <c r="B190" s="250" t="s">
        <v>959</v>
      </c>
      <c r="C190" s="416"/>
      <c r="D190" s="417"/>
      <c r="E190" s="406"/>
      <c r="F190" s="404"/>
      <c r="G190" s="404"/>
      <c r="H190" s="404"/>
      <c r="I190" s="404"/>
      <c r="J190" s="404"/>
      <c r="K190" s="404"/>
      <c r="L190" s="404"/>
      <c r="M190" s="404"/>
      <c r="N190" s="404"/>
      <c r="O190" s="404"/>
      <c r="P190" s="404"/>
    </row>
    <row r="191" spans="1:16">
      <c r="A191" s="451">
        <f t="shared" si="85"/>
        <v>181</v>
      </c>
      <c r="B191" s="263" t="s">
        <v>960</v>
      </c>
      <c r="C191" s="416" t="s">
        <v>961</v>
      </c>
      <c r="D191" s="417">
        <v>0</v>
      </c>
      <c r="E191" s="406">
        <v>0</v>
      </c>
      <c r="F191" s="407">
        <v>0</v>
      </c>
      <c r="G191" s="420">
        <v>1.0360514993950731E-3</v>
      </c>
      <c r="H191" s="421">
        <v>6.376028193554038E-3</v>
      </c>
      <c r="I191" s="421">
        <v>3.1854609974826392E-2</v>
      </c>
      <c r="J191" s="426">
        <f>ROUND(SUM(E191:I191),5)</f>
        <v>3.9269999999999999E-2</v>
      </c>
      <c r="K191" s="423">
        <v>1295805</v>
      </c>
      <c r="L191" s="424">
        <f>+K191*J191*12</f>
        <v>610635.14819999994</v>
      </c>
      <c r="M191" s="426">
        <f>SUM(E191:G191)</f>
        <v>1.0360514993950731E-3</v>
      </c>
      <c r="N191" s="424">
        <f>+M191*K191*12</f>
        <v>16110.248558083593</v>
      </c>
      <c r="O191" s="426">
        <f>ROUND(M191*$N$13,5)</f>
        <v>2.0000000000000002E-5</v>
      </c>
      <c r="P191" s="426">
        <f>+O191+J191</f>
        <v>3.9289999999999999E-2</v>
      </c>
    </row>
    <row r="192" spans="1:16">
      <c r="A192" s="451">
        <f t="shared" si="85"/>
        <v>182</v>
      </c>
      <c r="B192" s="250"/>
      <c r="C192" s="250"/>
      <c r="D192" s="403"/>
      <c r="E192" s="406"/>
      <c r="F192" s="404"/>
      <c r="G192" s="404"/>
      <c r="H192" s="404"/>
      <c r="I192" s="404"/>
      <c r="J192" s="404"/>
      <c r="K192" s="404"/>
      <c r="L192" s="404"/>
      <c r="M192" s="404"/>
      <c r="N192" s="404"/>
      <c r="O192" s="404"/>
      <c r="P192" s="404"/>
    </row>
    <row r="193" spans="1:16">
      <c r="A193" s="451">
        <f t="shared" si="85"/>
        <v>183</v>
      </c>
      <c r="B193" s="250" t="s">
        <v>962</v>
      </c>
      <c r="C193" s="416"/>
      <c r="D193" s="417"/>
      <c r="E193" s="406"/>
      <c r="F193" s="404"/>
      <c r="G193" s="404"/>
      <c r="H193" s="404"/>
      <c r="I193" s="404"/>
      <c r="J193" s="404"/>
      <c r="K193" s="404"/>
      <c r="L193" s="404"/>
      <c r="M193" s="404"/>
      <c r="N193" s="404"/>
      <c r="O193" s="404"/>
      <c r="P193" s="404"/>
    </row>
    <row r="194" spans="1:16">
      <c r="A194" s="451">
        <f t="shared" si="85"/>
        <v>184</v>
      </c>
      <c r="B194" s="253" t="s">
        <v>963</v>
      </c>
      <c r="C194" s="416" t="s">
        <v>964</v>
      </c>
      <c r="D194" s="417">
        <v>0</v>
      </c>
      <c r="E194" s="406">
        <v>3.8277514564327868</v>
      </c>
      <c r="F194" s="407">
        <v>2.0980355662743908</v>
      </c>
      <c r="G194" s="407">
        <v>0</v>
      </c>
      <c r="H194" s="407">
        <v>0</v>
      </c>
      <c r="I194" s="407">
        <v>0</v>
      </c>
      <c r="J194" s="407">
        <f>ROUND(SUM(E194:I194),2)</f>
        <v>5.93</v>
      </c>
      <c r="K194" s="423">
        <v>707</v>
      </c>
      <c r="L194" s="424">
        <f>+K194*J194*12</f>
        <v>50310.12</v>
      </c>
      <c r="M194" s="407">
        <f>SUM(E194:G194)</f>
        <v>5.9257870227071781</v>
      </c>
      <c r="N194" s="424">
        <f>+M194*K194*12</f>
        <v>50274.377100647704</v>
      </c>
      <c r="O194" s="407">
        <f>ROUND(M194*$N$13,2)</f>
        <v>0.09</v>
      </c>
      <c r="P194" s="407">
        <f>+O194+J194</f>
        <v>6.02</v>
      </c>
    </row>
    <row r="195" spans="1:16">
      <c r="A195" s="451">
        <f t="shared" si="85"/>
        <v>185</v>
      </c>
      <c r="B195" s="253" t="s">
        <v>965</v>
      </c>
      <c r="C195" s="416" t="s">
        <v>964</v>
      </c>
      <c r="D195" s="417">
        <v>0</v>
      </c>
      <c r="E195" s="406">
        <v>7.6555029128655736</v>
      </c>
      <c r="F195" s="407">
        <v>2.0980355662743908</v>
      </c>
      <c r="G195" s="407">
        <v>0</v>
      </c>
      <c r="H195" s="407">
        <v>0</v>
      </c>
      <c r="I195" s="407">
        <v>0</v>
      </c>
      <c r="J195" s="407">
        <f>ROUND(SUM(E195:I195),2)</f>
        <v>9.75</v>
      </c>
      <c r="K195" s="423">
        <v>303</v>
      </c>
      <c r="L195" s="424">
        <f>+K195*J195*12</f>
        <v>35451</v>
      </c>
      <c r="M195" s="407">
        <f>SUM(E195:G195)</f>
        <v>9.753538479139964</v>
      </c>
      <c r="N195" s="424">
        <f>+M195*K195*12</f>
        <v>35463.865910152905</v>
      </c>
      <c r="O195" s="407">
        <f>ROUND(M195*$N$13,2)</f>
        <v>0.15</v>
      </c>
      <c r="P195" s="407">
        <f>+O195+J195</f>
        <v>9.9</v>
      </c>
    </row>
    <row r="196" spans="1:16">
      <c r="A196" s="451">
        <f t="shared" si="85"/>
        <v>186</v>
      </c>
      <c r="B196" s="253"/>
      <c r="C196" s="250"/>
      <c r="D196" s="403"/>
      <c r="E196" s="406"/>
      <c r="F196" s="404"/>
      <c r="G196" s="404"/>
      <c r="H196" s="404"/>
      <c r="I196" s="404"/>
      <c r="J196" s="404"/>
      <c r="K196" s="404"/>
      <c r="L196" s="404"/>
      <c r="M196" s="404"/>
      <c r="N196" s="404"/>
      <c r="O196" s="404"/>
      <c r="P196" s="404"/>
    </row>
    <row r="197" spans="1:16">
      <c r="A197" s="451">
        <f t="shared" si="85"/>
        <v>187</v>
      </c>
      <c r="B197" s="253" t="s">
        <v>966</v>
      </c>
      <c r="C197" s="416" t="s">
        <v>964</v>
      </c>
      <c r="D197" s="417">
        <v>0</v>
      </c>
      <c r="E197" s="406">
        <v>7.6555029128655736</v>
      </c>
      <c r="F197" s="407">
        <v>2.0980355662743908</v>
      </c>
      <c r="G197" s="407">
        <v>0</v>
      </c>
      <c r="H197" s="407">
        <v>0</v>
      </c>
      <c r="I197" s="407">
        <v>0</v>
      </c>
      <c r="J197" s="407">
        <f>ROUND(SUM(E197:I197),2)</f>
        <v>9.75</v>
      </c>
      <c r="K197" s="423">
        <v>160</v>
      </c>
      <c r="L197" s="424">
        <f>+K197*J197*12</f>
        <v>18720</v>
      </c>
      <c r="M197" s="407">
        <f>SUM(E197:G197)</f>
        <v>9.753538479139964</v>
      </c>
      <c r="N197" s="424">
        <f>+M197*K197*12</f>
        <v>18726.793879948731</v>
      </c>
      <c r="O197" s="407">
        <f>ROUND(M197*$N$13,2)</f>
        <v>0.15</v>
      </c>
      <c r="P197" s="407">
        <f>+O197+J197</f>
        <v>9.9</v>
      </c>
    </row>
    <row r="198" spans="1:16">
      <c r="A198" s="451">
        <f t="shared" si="85"/>
        <v>188</v>
      </c>
      <c r="F198" s="407"/>
      <c r="G198" s="407"/>
      <c r="H198" s="407"/>
      <c r="I198" s="407"/>
      <c r="J198" s="407"/>
    </row>
    <row r="199" spans="1:16">
      <c r="A199" s="451">
        <f t="shared" si="85"/>
        <v>189</v>
      </c>
      <c r="B199" s="250" t="s">
        <v>989</v>
      </c>
      <c r="F199" s="407"/>
      <c r="G199" s="407"/>
      <c r="H199" s="407"/>
      <c r="I199" s="407"/>
      <c r="J199" s="407"/>
      <c r="L199" s="395"/>
    </row>
    <row r="200" spans="1:16">
      <c r="A200" s="451">
        <f t="shared" si="85"/>
        <v>190</v>
      </c>
      <c r="B200" s="263" t="s">
        <v>990</v>
      </c>
      <c r="F200" s="432">
        <v>7.3999999999999999E-4</v>
      </c>
      <c r="G200" s="433"/>
      <c r="H200" s="432">
        <v>1.2540000000000001E-2</v>
      </c>
      <c r="I200" s="433"/>
      <c r="J200" s="432">
        <f>SUM(E200:I200)</f>
        <v>1.328E-2</v>
      </c>
      <c r="L200" s="424">
        <f>+K200*J200*12</f>
        <v>0</v>
      </c>
      <c r="M200" s="432">
        <f>SUM(E200:G200)</f>
        <v>7.3999999999999999E-4</v>
      </c>
      <c r="N200" s="424">
        <f>+M200*K200*12</f>
        <v>0</v>
      </c>
      <c r="O200" s="432">
        <f>ROUND(M200*$N$13,5)</f>
        <v>1.0000000000000001E-5</v>
      </c>
      <c r="P200" s="432">
        <f>+O200+J200</f>
        <v>1.329E-2</v>
      </c>
    </row>
    <row r="201" spans="1:16">
      <c r="A201" s="451">
        <f t="shared" si="85"/>
        <v>191</v>
      </c>
      <c r="B201" s="253" t="s">
        <v>991</v>
      </c>
      <c r="F201" s="432">
        <v>7.3999999999999999E-4</v>
      </c>
      <c r="G201" s="433"/>
      <c r="H201" s="433"/>
      <c r="I201" s="433"/>
      <c r="J201" s="432">
        <f>SUM(E201:I201)</f>
        <v>7.3999999999999999E-4</v>
      </c>
      <c r="K201" s="424">
        <v>4187059</v>
      </c>
      <c r="L201" s="424">
        <f>+K201*J201*12</f>
        <v>37181.083919999997</v>
      </c>
      <c r="M201" s="432">
        <f>SUM(E201:G201)</f>
        <v>7.3999999999999999E-4</v>
      </c>
      <c r="N201" s="424">
        <f>+M201*K201*12</f>
        <v>37181.083919999997</v>
      </c>
      <c r="O201" s="432">
        <f>ROUND(M201*$N$13,5)</f>
        <v>1.0000000000000001E-5</v>
      </c>
      <c r="P201" s="432">
        <f>+O201+J201</f>
        <v>7.5000000000000002E-4</v>
      </c>
    </row>
    <row r="202" spans="1:16">
      <c r="A202" s="451">
        <f t="shared" si="85"/>
        <v>192</v>
      </c>
      <c r="F202" s="433"/>
      <c r="G202" s="433"/>
      <c r="H202" s="433"/>
      <c r="I202" s="433"/>
      <c r="J202" s="433"/>
      <c r="K202" s="424"/>
      <c r="M202" s="433"/>
      <c r="O202" s="433"/>
      <c r="P202" s="433"/>
    </row>
    <row r="203" spans="1:16">
      <c r="A203" s="451">
        <f t="shared" si="85"/>
        <v>193</v>
      </c>
      <c r="B203" s="253" t="s">
        <v>992</v>
      </c>
      <c r="F203" s="432">
        <v>2.3900000000000002E-3</v>
      </c>
      <c r="G203" s="433"/>
      <c r="H203" s="432">
        <v>1.2540000000000001E-2</v>
      </c>
      <c r="I203" s="433"/>
      <c r="J203" s="432">
        <f>SUM(E203:I203)</f>
        <v>1.4930000000000001E-2</v>
      </c>
      <c r="K203" s="424"/>
      <c r="L203" s="424">
        <f>+K203*J203*12</f>
        <v>0</v>
      </c>
      <c r="M203" s="432">
        <f>SUM(E203:G203)</f>
        <v>2.3900000000000002E-3</v>
      </c>
      <c r="N203" s="424">
        <f>+M203*K203*12</f>
        <v>0</v>
      </c>
      <c r="O203" s="432">
        <f>ROUND(M203*$N$13,5)</f>
        <v>4.0000000000000003E-5</v>
      </c>
      <c r="P203" s="432">
        <f>+O203+J203</f>
        <v>1.4970000000000001E-2</v>
      </c>
    </row>
    <row r="204" spans="1:16">
      <c r="A204" s="451">
        <f t="shared" si="85"/>
        <v>194</v>
      </c>
      <c r="B204" s="253" t="s">
        <v>993</v>
      </c>
      <c r="F204" s="432">
        <v>2.3900000000000002E-3</v>
      </c>
      <c r="G204" s="433"/>
      <c r="H204" s="433"/>
      <c r="I204" s="433"/>
      <c r="J204" s="432">
        <f>SUM(E204:I204)</f>
        <v>2.3900000000000002E-3</v>
      </c>
      <c r="K204" s="424">
        <v>55057501</v>
      </c>
      <c r="L204" s="424">
        <f>+K204*J204*12</f>
        <v>1579049.1286800001</v>
      </c>
      <c r="M204" s="432">
        <f>SUM(E204:G204)</f>
        <v>2.3900000000000002E-3</v>
      </c>
      <c r="N204" s="424">
        <f>+M204*K204*12</f>
        <v>1579049.1286800001</v>
      </c>
      <c r="O204" s="432">
        <f>ROUND(M204*$N$13,5)</f>
        <v>4.0000000000000003E-5</v>
      </c>
      <c r="P204" s="432">
        <f>+O204+J204</f>
        <v>2.4300000000000003E-3</v>
      </c>
    </row>
    <row r="205" spans="1:16">
      <c r="A205" s="451">
        <f t="shared" si="85"/>
        <v>195</v>
      </c>
    </row>
    <row r="206" spans="1:16">
      <c r="A206" s="451">
        <f t="shared" si="85"/>
        <v>196</v>
      </c>
    </row>
  </sheetData>
  <mergeCells count="5">
    <mergeCell ref="B5:J5"/>
    <mergeCell ref="A1:P1"/>
    <mergeCell ref="A2:P2"/>
    <mergeCell ref="A3:P3"/>
    <mergeCell ref="A4:P4"/>
  </mergeCells>
  <printOptions horizontalCentered="1"/>
  <pageMargins left="0.7" right="0.7" top="0.75" bottom="0.75" header="0.3" footer="0.3"/>
  <pageSetup scale="70" fitToHeight="0" orientation="landscape" r:id="rId1"/>
  <headerFooter alignWithMargins="0">
    <oddFooter>&amp;L&amp;F
&amp;A&amp;R2018 ERF Rate Design Workpapers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71"/>
  <sheetViews>
    <sheetView tabSelected="1" zoomScaleNormal="100" workbookViewId="0">
      <pane xSplit="3" ySplit="6" topLeftCell="D58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C69" sqref="C69"/>
    </sheetView>
  </sheetViews>
  <sheetFormatPr defaultColWidth="8.25" defaultRowHeight="12.75"/>
  <cols>
    <col min="1" max="1" width="4" style="272" bestFit="1" customWidth="1"/>
    <col min="2" max="2" width="9.75" style="272" bestFit="1" customWidth="1"/>
    <col min="3" max="3" width="64.625" style="272" customWidth="1"/>
    <col min="4" max="4" width="10.125" style="272" bestFit="1" customWidth="1"/>
    <col min="5" max="5" width="11.375" style="272" customWidth="1"/>
    <col min="6" max="6" width="10.875" style="272" bestFit="1" customWidth="1"/>
    <col min="7" max="7" width="8" style="272" bestFit="1" customWidth="1"/>
    <col min="8" max="8" width="8.25" style="272"/>
    <col min="9" max="9" width="6.75" style="272" bestFit="1" customWidth="1"/>
    <col min="10" max="10" width="5.375" style="272" bestFit="1" customWidth="1"/>
    <col min="11" max="248" width="8.25" style="272"/>
    <col min="249" max="249" width="4" style="272" bestFit="1" customWidth="1"/>
    <col min="250" max="250" width="9.875" style="272" customWidth="1"/>
    <col min="251" max="251" width="56.125" style="272" bestFit="1" customWidth="1"/>
    <col min="252" max="252" width="13" style="272" customWidth="1"/>
    <col min="253" max="253" width="11.25" style="272" bestFit="1" customWidth="1"/>
    <col min="254" max="254" width="11.75" style="272" customWidth="1"/>
    <col min="255" max="255" width="2.875" style="272" customWidth="1"/>
    <col min="256" max="256" width="13" style="272" bestFit="1" customWidth="1"/>
    <col min="257" max="257" width="14.875" style="272" bestFit="1" customWidth="1"/>
    <col min="258" max="258" width="13" style="272" bestFit="1" customWidth="1"/>
    <col min="259" max="504" width="8.25" style="272"/>
    <col min="505" max="505" width="4" style="272" bestFit="1" customWidth="1"/>
    <col min="506" max="506" width="9.875" style="272" customWidth="1"/>
    <col min="507" max="507" width="56.125" style="272" bestFit="1" customWidth="1"/>
    <col min="508" max="508" width="13" style="272" customWidth="1"/>
    <col min="509" max="509" width="11.25" style="272" bestFit="1" customWidth="1"/>
    <col min="510" max="510" width="11.75" style="272" customWidth="1"/>
    <col min="511" max="511" width="2.875" style="272" customWidth="1"/>
    <col min="512" max="512" width="13" style="272" bestFit="1" customWidth="1"/>
    <col min="513" max="513" width="14.875" style="272" bestFit="1" customWidth="1"/>
    <col min="514" max="514" width="13" style="272" bestFit="1" customWidth="1"/>
    <col min="515" max="760" width="8.25" style="272"/>
    <col min="761" max="761" width="4" style="272" bestFit="1" customWidth="1"/>
    <col min="762" max="762" width="9.875" style="272" customWidth="1"/>
    <col min="763" max="763" width="56.125" style="272" bestFit="1" customWidth="1"/>
    <col min="764" max="764" width="13" style="272" customWidth="1"/>
    <col min="765" max="765" width="11.25" style="272" bestFit="1" customWidth="1"/>
    <col min="766" max="766" width="11.75" style="272" customWidth="1"/>
    <col min="767" max="767" width="2.875" style="272" customWidth="1"/>
    <col min="768" max="768" width="13" style="272" bestFit="1" customWidth="1"/>
    <col min="769" max="769" width="14.875" style="272" bestFit="1" customWidth="1"/>
    <col min="770" max="770" width="13" style="272" bestFit="1" customWidth="1"/>
    <col min="771" max="1016" width="8.25" style="272"/>
    <col min="1017" max="1017" width="4" style="272" bestFit="1" customWidth="1"/>
    <col min="1018" max="1018" width="9.875" style="272" customWidth="1"/>
    <col min="1019" max="1019" width="56.125" style="272" bestFit="1" customWidth="1"/>
    <col min="1020" max="1020" width="13" style="272" customWidth="1"/>
    <col min="1021" max="1021" width="11.25" style="272" bestFit="1" customWidth="1"/>
    <col min="1022" max="1022" width="11.75" style="272" customWidth="1"/>
    <col min="1023" max="1023" width="2.875" style="272" customWidth="1"/>
    <col min="1024" max="1024" width="13" style="272" bestFit="1" customWidth="1"/>
    <col min="1025" max="1025" width="14.875" style="272" bestFit="1" customWidth="1"/>
    <col min="1026" max="1026" width="13" style="272" bestFit="1" customWidth="1"/>
    <col min="1027" max="1272" width="8.25" style="272"/>
    <col min="1273" max="1273" width="4" style="272" bestFit="1" customWidth="1"/>
    <col min="1274" max="1274" width="9.875" style="272" customWidth="1"/>
    <col min="1275" max="1275" width="56.125" style="272" bestFit="1" customWidth="1"/>
    <col min="1276" max="1276" width="13" style="272" customWidth="1"/>
    <col min="1277" max="1277" width="11.25" style="272" bestFit="1" customWidth="1"/>
    <col min="1278" max="1278" width="11.75" style="272" customWidth="1"/>
    <col min="1279" max="1279" width="2.875" style="272" customWidth="1"/>
    <col min="1280" max="1280" width="13" style="272" bestFit="1" customWidth="1"/>
    <col min="1281" max="1281" width="14.875" style="272" bestFit="1" customWidth="1"/>
    <col min="1282" max="1282" width="13" style="272" bestFit="1" customWidth="1"/>
    <col min="1283" max="1528" width="8.25" style="272"/>
    <col min="1529" max="1529" width="4" style="272" bestFit="1" customWidth="1"/>
    <col min="1530" max="1530" width="9.875" style="272" customWidth="1"/>
    <col min="1531" max="1531" width="56.125" style="272" bestFit="1" customWidth="1"/>
    <col min="1532" max="1532" width="13" style="272" customWidth="1"/>
    <col min="1533" max="1533" width="11.25" style="272" bestFit="1" customWidth="1"/>
    <col min="1534" max="1534" width="11.75" style="272" customWidth="1"/>
    <col min="1535" max="1535" width="2.875" style="272" customWidth="1"/>
    <col min="1536" max="1536" width="13" style="272" bestFit="1" customWidth="1"/>
    <col min="1537" max="1537" width="14.875" style="272" bestFit="1" customWidth="1"/>
    <col min="1538" max="1538" width="13" style="272" bestFit="1" customWidth="1"/>
    <col min="1539" max="1784" width="8.25" style="272"/>
    <col min="1785" max="1785" width="4" style="272" bestFit="1" customWidth="1"/>
    <col min="1786" max="1786" width="9.875" style="272" customWidth="1"/>
    <col min="1787" max="1787" width="56.125" style="272" bestFit="1" customWidth="1"/>
    <col min="1788" max="1788" width="13" style="272" customWidth="1"/>
    <col min="1789" max="1789" width="11.25" style="272" bestFit="1" customWidth="1"/>
    <col min="1790" max="1790" width="11.75" style="272" customWidth="1"/>
    <col min="1791" max="1791" width="2.875" style="272" customWidth="1"/>
    <col min="1792" max="1792" width="13" style="272" bestFit="1" customWidth="1"/>
    <col min="1793" max="1793" width="14.875" style="272" bestFit="1" customWidth="1"/>
    <col min="1794" max="1794" width="13" style="272" bestFit="1" customWidth="1"/>
    <col min="1795" max="2040" width="8.25" style="272"/>
    <col min="2041" max="2041" width="4" style="272" bestFit="1" customWidth="1"/>
    <col min="2042" max="2042" width="9.875" style="272" customWidth="1"/>
    <col min="2043" max="2043" width="56.125" style="272" bestFit="1" customWidth="1"/>
    <col min="2044" max="2044" width="13" style="272" customWidth="1"/>
    <col min="2045" max="2045" width="11.25" style="272" bestFit="1" customWidth="1"/>
    <col min="2046" max="2046" width="11.75" style="272" customWidth="1"/>
    <col min="2047" max="2047" width="2.875" style="272" customWidth="1"/>
    <col min="2048" max="2048" width="13" style="272" bestFit="1" customWidth="1"/>
    <col min="2049" max="2049" width="14.875" style="272" bestFit="1" customWidth="1"/>
    <col min="2050" max="2050" width="13" style="272" bestFit="1" customWidth="1"/>
    <col min="2051" max="2296" width="8.25" style="272"/>
    <col min="2297" max="2297" width="4" style="272" bestFit="1" customWidth="1"/>
    <col min="2298" max="2298" width="9.875" style="272" customWidth="1"/>
    <col min="2299" max="2299" width="56.125" style="272" bestFit="1" customWidth="1"/>
    <col min="2300" max="2300" width="13" style="272" customWidth="1"/>
    <col min="2301" max="2301" width="11.25" style="272" bestFit="1" customWidth="1"/>
    <col min="2302" max="2302" width="11.75" style="272" customWidth="1"/>
    <col min="2303" max="2303" width="2.875" style="272" customWidth="1"/>
    <col min="2304" max="2304" width="13" style="272" bestFit="1" customWidth="1"/>
    <col min="2305" max="2305" width="14.875" style="272" bestFit="1" customWidth="1"/>
    <col min="2306" max="2306" width="13" style="272" bestFit="1" customWidth="1"/>
    <col min="2307" max="2552" width="8.25" style="272"/>
    <col min="2553" max="2553" width="4" style="272" bestFit="1" customWidth="1"/>
    <col min="2554" max="2554" width="9.875" style="272" customWidth="1"/>
    <col min="2555" max="2555" width="56.125" style="272" bestFit="1" customWidth="1"/>
    <col min="2556" max="2556" width="13" style="272" customWidth="1"/>
    <col min="2557" max="2557" width="11.25" style="272" bestFit="1" customWidth="1"/>
    <col min="2558" max="2558" width="11.75" style="272" customWidth="1"/>
    <col min="2559" max="2559" width="2.875" style="272" customWidth="1"/>
    <col min="2560" max="2560" width="13" style="272" bestFit="1" customWidth="1"/>
    <col min="2561" max="2561" width="14.875" style="272" bestFit="1" customWidth="1"/>
    <col min="2562" max="2562" width="13" style="272" bestFit="1" customWidth="1"/>
    <col min="2563" max="2808" width="8.25" style="272"/>
    <col min="2809" max="2809" width="4" style="272" bestFit="1" customWidth="1"/>
    <col min="2810" max="2810" width="9.875" style="272" customWidth="1"/>
    <col min="2811" max="2811" width="56.125" style="272" bestFit="1" customWidth="1"/>
    <col min="2812" max="2812" width="13" style="272" customWidth="1"/>
    <col min="2813" max="2813" width="11.25" style="272" bestFit="1" customWidth="1"/>
    <col min="2814" max="2814" width="11.75" style="272" customWidth="1"/>
    <col min="2815" max="2815" width="2.875" style="272" customWidth="1"/>
    <col min="2816" max="2816" width="13" style="272" bestFit="1" customWidth="1"/>
    <col min="2817" max="2817" width="14.875" style="272" bestFit="1" customWidth="1"/>
    <col min="2818" max="2818" width="13" style="272" bestFit="1" customWidth="1"/>
    <col min="2819" max="3064" width="8.25" style="272"/>
    <col min="3065" max="3065" width="4" style="272" bestFit="1" customWidth="1"/>
    <col min="3066" max="3066" width="9.875" style="272" customWidth="1"/>
    <col min="3067" max="3067" width="56.125" style="272" bestFit="1" customWidth="1"/>
    <col min="3068" max="3068" width="13" style="272" customWidth="1"/>
    <col min="3069" max="3069" width="11.25" style="272" bestFit="1" customWidth="1"/>
    <col min="3070" max="3070" width="11.75" style="272" customWidth="1"/>
    <col min="3071" max="3071" width="2.875" style="272" customWidth="1"/>
    <col min="3072" max="3072" width="13" style="272" bestFit="1" customWidth="1"/>
    <col min="3073" max="3073" width="14.875" style="272" bestFit="1" customWidth="1"/>
    <col min="3074" max="3074" width="13" style="272" bestFit="1" customWidth="1"/>
    <col min="3075" max="3320" width="8.25" style="272"/>
    <col min="3321" max="3321" width="4" style="272" bestFit="1" customWidth="1"/>
    <col min="3322" max="3322" width="9.875" style="272" customWidth="1"/>
    <col min="3323" max="3323" width="56.125" style="272" bestFit="1" customWidth="1"/>
    <col min="3324" max="3324" width="13" style="272" customWidth="1"/>
    <col min="3325" max="3325" width="11.25" style="272" bestFit="1" customWidth="1"/>
    <col min="3326" max="3326" width="11.75" style="272" customWidth="1"/>
    <col min="3327" max="3327" width="2.875" style="272" customWidth="1"/>
    <col min="3328" max="3328" width="13" style="272" bestFit="1" customWidth="1"/>
    <col min="3329" max="3329" width="14.875" style="272" bestFit="1" customWidth="1"/>
    <col min="3330" max="3330" width="13" style="272" bestFit="1" customWidth="1"/>
    <col min="3331" max="3576" width="8.25" style="272"/>
    <col min="3577" max="3577" width="4" style="272" bestFit="1" customWidth="1"/>
    <col min="3578" max="3578" width="9.875" style="272" customWidth="1"/>
    <col min="3579" max="3579" width="56.125" style="272" bestFit="1" customWidth="1"/>
    <col min="3580" max="3580" width="13" style="272" customWidth="1"/>
    <col min="3581" max="3581" width="11.25" style="272" bestFit="1" customWidth="1"/>
    <col min="3582" max="3582" width="11.75" style="272" customWidth="1"/>
    <col min="3583" max="3583" width="2.875" style="272" customWidth="1"/>
    <col min="3584" max="3584" width="13" style="272" bestFit="1" customWidth="1"/>
    <col min="3585" max="3585" width="14.875" style="272" bestFit="1" customWidth="1"/>
    <col min="3586" max="3586" width="13" style="272" bestFit="1" customWidth="1"/>
    <col min="3587" max="3832" width="8.25" style="272"/>
    <col min="3833" max="3833" width="4" style="272" bestFit="1" customWidth="1"/>
    <col min="3834" max="3834" width="9.875" style="272" customWidth="1"/>
    <col min="3835" max="3835" width="56.125" style="272" bestFit="1" customWidth="1"/>
    <col min="3836" max="3836" width="13" style="272" customWidth="1"/>
    <col min="3837" max="3837" width="11.25" style="272" bestFit="1" customWidth="1"/>
    <col min="3838" max="3838" width="11.75" style="272" customWidth="1"/>
    <col min="3839" max="3839" width="2.875" style="272" customWidth="1"/>
    <col min="3840" max="3840" width="13" style="272" bestFit="1" customWidth="1"/>
    <col min="3841" max="3841" width="14.875" style="272" bestFit="1" customWidth="1"/>
    <col min="3842" max="3842" width="13" style="272" bestFit="1" customWidth="1"/>
    <col min="3843" max="4088" width="8.25" style="272"/>
    <col min="4089" max="4089" width="4" style="272" bestFit="1" customWidth="1"/>
    <col min="4090" max="4090" width="9.875" style="272" customWidth="1"/>
    <col min="4091" max="4091" width="56.125" style="272" bestFit="1" customWidth="1"/>
    <col min="4092" max="4092" width="13" style="272" customWidth="1"/>
    <col min="4093" max="4093" width="11.25" style="272" bestFit="1" customWidth="1"/>
    <col min="4094" max="4094" width="11.75" style="272" customWidth="1"/>
    <col min="4095" max="4095" width="2.875" style="272" customWidth="1"/>
    <col min="4096" max="4096" width="13" style="272" bestFit="1" customWidth="1"/>
    <col min="4097" max="4097" width="14.875" style="272" bestFit="1" customWidth="1"/>
    <col min="4098" max="4098" width="13" style="272" bestFit="1" customWidth="1"/>
    <col min="4099" max="4344" width="8.25" style="272"/>
    <col min="4345" max="4345" width="4" style="272" bestFit="1" customWidth="1"/>
    <col min="4346" max="4346" width="9.875" style="272" customWidth="1"/>
    <col min="4347" max="4347" width="56.125" style="272" bestFit="1" customWidth="1"/>
    <col min="4348" max="4348" width="13" style="272" customWidth="1"/>
    <col min="4349" max="4349" width="11.25" style="272" bestFit="1" customWidth="1"/>
    <col min="4350" max="4350" width="11.75" style="272" customWidth="1"/>
    <col min="4351" max="4351" width="2.875" style="272" customWidth="1"/>
    <col min="4352" max="4352" width="13" style="272" bestFit="1" customWidth="1"/>
    <col min="4353" max="4353" width="14.875" style="272" bestFit="1" customWidth="1"/>
    <col min="4354" max="4354" width="13" style="272" bestFit="1" customWidth="1"/>
    <col min="4355" max="4600" width="8.25" style="272"/>
    <col min="4601" max="4601" width="4" style="272" bestFit="1" customWidth="1"/>
    <col min="4602" max="4602" width="9.875" style="272" customWidth="1"/>
    <col min="4603" max="4603" width="56.125" style="272" bestFit="1" customWidth="1"/>
    <col min="4604" max="4604" width="13" style="272" customWidth="1"/>
    <col min="4605" max="4605" width="11.25" style="272" bestFit="1" customWidth="1"/>
    <col min="4606" max="4606" width="11.75" style="272" customWidth="1"/>
    <col min="4607" max="4607" width="2.875" style="272" customWidth="1"/>
    <col min="4608" max="4608" width="13" style="272" bestFit="1" customWidth="1"/>
    <col min="4609" max="4609" width="14.875" style="272" bestFit="1" customWidth="1"/>
    <col min="4610" max="4610" width="13" style="272" bestFit="1" customWidth="1"/>
    <col min="4611" max="4856" width="8.25" style="272"/>
    <col min="4857" max="4857" width="4" style="272" bestFit="1" customWidth="1"/>
    <col min="4858" max="4858" width="9.875" style="272" customWidth="1"/>
    <col min="4859" max="4859" width="56.125" style="272" bestFit="1" customWidth="1"/>
    <col min="4860" max="4860" width="13" style="272" customWidth="1"/>
    <col min="4861" max="4861" width="11.25" style="272" bestFit="1" customWidth="1"/>
    <col min="4862" max="4862" width="11.75" style="272" customWidth="1"/>
    <col min="4863" max="4863" width="2.875" style="272" customWidth="1"/>
    <col min="4864" max="4864" width="13" style="272" bestFit="1" customWidth="1"/>
    <col min="4865" max="4865" width="14.875" style="272" bestFit="1" customWidth="1"/>
    <col min="4866" max="4866" width="13" style="272" bestFit="1" customWidth="1"/>
    <col min="4867" max="5112" width="8.25" style="272"/>
    <col min="5113" max="5113" width="4" style="272" bestFit="1" customWidth="1"/>
    <col min="5114" max="5114" width="9.875" style="272" customWidth="1"/>
    <col min="5115" max="5115" width="56.125" style="272" bestFit="1" customWidth="1"/>
    <col min="5116" max="5116" width="13" style="272" customWidth="1"/>
    <col min="5117" max="5117" width="11.25" style="272" bestFit="1" customWidth="1"/>
    <col min="5118" max="5118" width="11.75" style="272" customWidth="1"/>
    <col min="5119" max="5119" width="2.875" style="272" customWidth="1"/>
    <col min="5120" max="5120" width="13" style="272" bestFit="1" customWidth="1"/>
    <col min="5121" max="5121" width="14.875" style="272" bestFit="1" customWidth="1"/>
    <col min="5122" max="5122" width="13" style="272" bestFit="1" customWidth="1"/>
    <col min="5123" max="5368" width="8.25" style="272"/>
    <col min="5369" max="5369" width="4" style="272" bestFit="1" customWidth="1"/>
    <col min="5370" max="5370" width="9.875" style="272" customWidth="1"/>
    <col min="5371" max="5371" width="56.125" style="272" bestFit="1" customWidth="1"/>
    <col min="5372" max="5372" width="13" style="272" customWidth="1"/>
    <col min="5373" max="5373" width="11.25" style="272" bestFit="1" customWidth="1"/>
    <col min="5374" max="5374" width="11.75" style="272" customWidth="1"/>
    <col min="5375" max="5375" width="2.875" style="272" customWidth="1"/>
    <col min="5376" max="5376" width="13" style="272" bestFit="1" customWidth="1"/>
    <col min="5377" max="5377" width="14.875" style="272" bestFit="1" customWidth="1"/>
    <col min="5378" max="5378" width="13" style="272" bestFit="1" customWidth="1"/>
    <col min="5379" max="5624" width="8.25" style="272"/>
    <col min="5625" max="5625" width="4" style="272" bestFit="1" customWidth="1"/>
    <col min="5626" max="5626" width="9.875" style="272" customWidth="1"/>
    <col min="5627" max="5627" width="56.125" style="272" bestFit="1" customWidth="1"/>
    <col min="5628" max="5628" width="13" style="272" customWidth="1"/>
    <col min="5629" max="5629" width="11.25" style="272" bestFit="1" customWidth="1"/>
    <col min="5630" max="5630" width="11.75" style="272" customWidth="1"/>
    <col min="5631" max="5631" width="2.875" style="272" customWidth="1"/>
    <col min="5632" max="5632" width="13" style="272" bestFit="1" customWidth="1"/>
    <col min="5633" max="5633" width="14.875" style="272" bestFit="1" customWidth="1"/>
    <col min="5634" max="5634" width="13" style="272" bestFit="1" customWidth="1"/>
    <col min="5635" max="5880" width="8.25" style="272"/>
    <col min="5881" max="5881" width="4" style="272" bestFit="1" customWidth="1"/>
    <col min="5882" max="5882" width="9.875" style="272" customWidth="1"/>
    <col min="5883" max="5883" width="56.125" style="272" bestFit="1" customWidth="1"/>
    <col min="5884" max="5884" width="13" style="272" customWidth="1"/>
    <col min="5885" max="5885" width="11.25" style="272" bestFit="1" customWidth="1"/>
    <col min="5886" max="5886" width="11.75" style="272" customWidth="1"/>
    <col min="5887" max="5887" width="2.875" style="272" customWidth="1"/>
    <col min="5888" max="5888" width="13" style="272" bestFit="1" customWidth="1"/>
    <col min="5889" max="5889" width="14.875" style="272" bestFit="1" customWidth="1"/>
    <col min="5890" max="5890" width="13" style="272" bestFit="1" customWidth="1"/>
    <col min="5891" max="6136" width="8.25" style="272"/>
    <col min="6137" max="6137" width="4" style="272" bestFit="1" customWidth="1"/>
    <col min="6138" max="6138" width="9.875" style="272" customWidth="1"/>
    <col min="6139" max="6139" width="56.125" style="272" bestFit="1" customWidth="1"/>
    <col min="6140" max="6140" width="13" style="272" customWidth="1"/>
    <col min="6141" max="6141" width="11.25" style="272" bestFit="1" customWidth="1"/>
    <col min="6142" max="6142" width="11.75" style="272" customWidth="1"/>
    <col min="6143" max="6143" width="2.875" style="272" customWidth="1"/>
    <col min="6144" max="6144" width="13" style="272" bestFit="1" customWidth="1"/>
    <col min="6145" max="6145" width="14.875" style="272" bestFit="1" customWidth="1"/>
    <col min="6146" max="6146" width="13" style="272" bestFit="1" customWidth="1"/>
    <col min="6147" max="6392" width="8.25" style="272"/>
    <col min="6393" max="6393" width="4" style="272" bestFit="1" customWidth="1"/>
    <col min="6394" max="6394" width="9.875" style="272" customWidth="1"/>
    <col min="6395" max="6395" width="56.125" style="272" bestFit="1" customWidth="1"/>
    <col min="6396" max="6396" width="13" style="272" customWidth="1"/>
    <col min="6397" max="6397" width="11.25" style="272" bestFit="1" customWidth="1"/>
    <col min="6398" max="6398" width="11.75" style="272" customWidth="1"/>
    <col min="6399" max="6399" width="2.875" style="272" customWidth="1"/>
    <col min="6400" max="6400" width="13" style="272" bestFit="1" customWidth="1"/>
    <col min="6401" max="6401" width="14.875" style="272" bestFit="1" customWidth="1"/>
    <col min="6402" max="6402" width="13" style="272" bestFit="1" customWidth="1"/>
    <col min="6403" max="6648" width="8.25" style="272"/>
    <col min="6649" max="6649" width="4" style="272" bestFit="1" customWidth="1"/>
    <col min="6650" max="6650" width="9.875" style="272" customWidth="1"/>
    <col min="6651" max="6651" width="56.125" style="272" bestFit="1" customWidth="1"/>
    <col min="6652" max="6652" width="13" style="272" customWidth="1"/>
    <col min="6653" max="6653" width="11.25" style="272" bestFit="1" customWidth="1"/>
    <col min="6654" max="6654" width="11.75" style="272" customWidth="1"/>
    <col min="6655" max="6655" width="2.875" style="272" customWidth="1"/>
    <col min="6656" max="6656" width="13" style="272" bestFit="1" customWidth="1"/>
    <col min="6657" max="6657" width="14.875" style="272" bestFit="1" customWidth="1"/>
    <col min="6658" max="6658" width="13" style="272" bestFit="1" customWidth="1"/>
    <col min="6659" max="6904" width="8.25" style="272"/>
    <col min="6905" max="6905" width="4" style="272" bestFit="1" customWidth="1"/>
    <col min="6906" max="6906" width="9.875" style="272" customWidth="1"/>
    <col min="6907" max="6907" width="56.125" style="272" bestFit="1" customWidth="1"/>
    <col min="6908" max="6908" width="13" style="272" customWidth="1"/>
    <col min="6909" max="6909" width="11.25" style="272" bestFit="1" customWidth="1"/>
    <col min="6910" max="6910" width="11.75" style="272" customWidth="1"/>
    <col min="6911" max="6911" width="2.875" style="272" customWidth="1"/>
    <col min="6912" max="6912" width="13" style="272" bestFit="1" customWidth="1"/>
    <col min="6913" max="6913" width="14.875" style="272" bestFit="1" customWidth="1"/>
    <col min="6914" max="6914" width="13" style="272" bestFit="1" customWidth="1"/>
    <col min="6915" max="7160" width="8.25" style="272"/>
    <col min="7161" max="7161" width="4" style="272" bestFit="1" customWidth="1"/>
    <col min="7162" max="7162" width="9.875" style="272" customWidth="1"/>
    <col min="7163" max="7163" width="56.125" style="272" bestFit="1" customWidth="1"/>
    <col min="7164" max="7164" width="13" style="272" customWidth="1"/>
    <col min="7165" max="7165" width="11.25" style="272" bestFit="1" customWidth="1"/>
    <col min="7166" max="7166" width="11.75" style="272" customWidth="1"/>
    <col min="7167" max="7167" width="2.875" style="272" customWidth="1"/>
    <col min="7168" max="7168" width="13" style="272" bestFit="1" customWidth="1"/>
    <col min="7169" max="7169" width="14.875" style="272" bestFit="1" customWidth="1"/>
    <col min="7170" max="7170" width="13" style="272" bestFit="1" customWidth="1"/>
    <col min="7171" max="7416" width="8.25" style="272"/>
    <col min="7417" max="7417" width="4" style="272" bestFit="1" customWidth="1"/>
    <col min="7418" max="7418" width="9.875" style="272" customWidth="1"/>
    <col min="7419" max="7419" width="56.125" style="272" bestFit="1" customWidth="1"/>
    <col min="7420" max="7420" width="13" style="272" customWidth="1"/>
    <col min="7421" max="7421" width="11.25" style="272" bestFit="1" customWidth="1"/>
    <col min="7422" max="7422" width="11.75" style="272" customWidth="1"/>
    <col min="7423" max="7423" width="2.875" style="272" customWidth="1"/>
    <col min="7424" max="7424" width="13" style="272" bestFit="1" customWidth="1"/>
    <col min="7425" max="7425" width="14.875" style="272" bestFit="1" customWidth="1"/>
    <col min="7426" max="7426" width="13" style="272" bestFit="1" customWidth="1"/>
    <col min="7427" max="7672" width="8.25" style="272"/>
    <col min="7673" max="7673" width="4" style="272" bestFit="1" customWidth="1"/>
    <col min="7674" max="7674" width="9.875" style="272" customWidth="1"/>
    <col min="7675" max="7675" width="56.125" style="272" bestFit="1" customWidth="1"/>
    <col min="7676" max="7676" width="13" style="272" customWidth="1"/>
    <col min="7677" max="7677" width="11.25" style="272" bestFit="1" customWidth="1"/>
    <col min="7678" max="7678" width="11.75" style="272" customWidth="1"/>
    <col min="7679" max="7679" width="2.875" style="272" customWidth="1"/>
    <col min="7680" max="7680" width="13" style="272" bestFit="1" customWidth="1"/>
    <col min="7681" max="7681" width="14.875" style="272" bestFit="1" customWidth="1"/>
    <col min="7682" max="7682" width="13" style="272" bestFit="1" customWidth="1"/>
    <col min="7683" max="7928" width="8.25" style="272"/>
    <col min="7929" max="7929" width="4" style="272" bestFit="1" customWidth="1"/>
    <col min="7930" max="7930" width="9.875" style="272" customWidth="1"/>
    <col min="7931" max="7931" width="56.125" style="272" bestFit="1" customWidth="1"/>
    <col min="7932" max="7932" width="13" style="272" customWidth="1"/>
    <col min="7933" max="7933" width="11.25" style="272" bestFit="1" customWidth="1"/>
    <col min="7934" max="7934" width="11.75" style="272" customWidth="1"/>
    <col min="7935" max="7935" width="2.875" style="272" customWidth="1"/>
    <col min="7936" max="7936" width="13" style="272" bestFit="1" customWidth="1"/>
    <col min="7937" max="7937" width="14.875" style="272" bestFit="1" customWidth="1"/>
    <col min="7938" max="7938" width="13" style="272" bestFit="1" customWidth="1"/>
    <col min="7939" max="8184" width="8.25" style="272"/>
    <col min="8185" max="8185" width="4" style="272" bestFit="1" customWidth="1"/>
    <col min="8186" max="8186" width="9.875" style="272" customWidth="1"/>
    <col min="8187" max="8187" width="56.125" style="272" bestFit="1" customWidth="1"/>
    <col min="8188" max="8188" width="13" style="272" customWidth="1"/>
    <col min="8189" max="8189" width="11.25" style="272" bestFit="1" customWidth="1"/>
    <col min="8190" max="8190" width="11.75" style="272" customWidth="1"/>
    <col min="8191" max="8191" width="2.875" style="272" customWidth="1"/>
    <col min="8192" max="8192" width="13" style="272" bestFit="1" customWidth="1"/>
    <col min="8193" max="8193" width="14.875" style="272" bestFit="1" customWidth="1"/>
    <col min="8194" max="8194" width="13" style="272" bestFit="1" customWidth="1"/>
    <col min="8195" max="8440" width="8.25" style="272"/>
    <col min="8441" max="8441" width="4" style="272" bestFit="1" customWidth="1"/>
    <col min="8442" max="8442" width="9.875" style="272" customWidth="1"/>
    <col min="8443" max="8443" width="56.125" style="272" bestFit="1" customWidth="1"/>
    <col min="8444" max="8444" width="13" style="272" customWidth="1"/>
    <col min="8445" max="8445" width="11.25" style="272" bestFit="1" customWidth="1"/>
    <col min="8446" max="8446" width="11.75" style="272" customWidth="1"/>
    <col min="8447" max="8447" width="2.875" style="272" customWidth="1"/>
    <col min="8448" max="8448" width="13" style="272" bestFit="1" customWidth="1"/>
    <col min="8449" max="8449" width="14.875" style="272" bestFit="1" customWidth="1"/>
    <col min="8450" max="8450" width="13" style="272" bestFit="1" customWidth="1"/>
    <col min="8451" max="8696" width="8.25" style="272"/>
    <col min="8697" max="8697" width="4" style="272" bestFit="1" customWidth="1"/>
    <col min="8698" max="8698" width="9.875" style="272" customWidth="1"/>
    <col min="8699" max="8699" width="56.125" style="272" bestFit="1" customWidth="1"/>
    <col min="8700" max="8700" width="13" style="272" customWidth="1"/>
    <col min="8701" max="8701" width="11.25" style="272" bestFit="1" customWidth="1"/>
    <col min="8702" max="8702" width="11.75" style="272" customWidth="1"/>
    <col min="8703" max="8703" width="2.875" style="272" customWidth="1"/>
    <col min="8704" max="8704" width="13" style="272" bestFit="1" customWidth="1"/>
    <col min="8705" max="8705" width="14.875" style="272" bestFit="1" customWidth="1"/>
    <col min="8706" max="8706" width="13" style="272" bestFit="1" customWidth="1"/>
    <col min="8707" max="8952" width="8.25" style="272"/>
    <col min="8953" max="8953" width="4" style="272" bestFit="1" customWidth="1"/>
    <col min="8954" max="8954" width="9.875" style="272" customWidth="1"/>
    <col min="8955" max="8955" width="56.125" style="272" bestFit="1" customWidth="1"/>
    <col min="8956" max="8956" width="13" style="272" customWidth="1"/>
    <col min="8957" max="8957" width="11.25" style="272" bestFit="1" customWidth="1"/>
    <col min="8958" max="8958" width="11.75" style="272" customWidth="1"/>
    <col min="8959" max="8959" width="2.875" style="272" customWidth="1"/>
    <col min="8960" max="8960" width="13" style="272" bestFit="1" customWidth="1"/>
    <col min="8961" max="8961" width="14.875" style="272" bestFit="1" customWidth="1"/>
    <col min="8962" max="8962" width="13" style="272" bestFit="1" customWidth="1"/>
    <col min="8963" max="9208" width="8.25" style="272"/>
    <col min="9209" max="9209" width="4" style="272" bestFit="1" customWidth="1"/>
    <col min="9210" max="9210" width="9.875" style="272" customWidth="1"/>
    <col min="9211" max="9211" width="56.125" style="272" bestFit="1" customWidth="1"/>
    <col min="9212" max="9212" width="13" style="272" customWidth="1"/>
    <col min="9213" max="9213" width="11.25" style="272" bestFit="1" customWidth="1"/>
    <col min="9214" max="9214" width="11.75" style="272" customWidth="1"/>
    <col min="9215" max="9215" width="2.875" style="272" customWidth="1"/>
    <col min="9216" max="9216" width="13" style="272" bestFit="1" customWidth="1"/>
    <col min="9217" max="9217" width="14.875" style="272" bestFit="1" customWidth="1"/>
    <col min="9218" max="9218" width="13" style="272" bestFit="1" customWidth="1"/>
    <col min="9219" max="9464" width="8.25" style="272"/>
    <col min="9465" max="9465" width="4" style="272" bestFit="1" customWidth="1"/>
    <col min="9466" max="9466" width="9.875" style="272" customWidth="1"/>
    <col min="9467" max="9467" width="56.125" style="272" bestFit="1" customWidth="1"/>
    <col min="9468" max="9468" width="13" style="272" customWidth="1"/>
    <col min="9469" max="9469" width="11.25" style="272" bestFit="1" customWidth="1"/>
    <col min="9470" max="9470" width="11.75" style="272" customWidth="1"/>
    <col min="9471" max="9471" width="2.875" style="272" customWidth="1"/>
    <col min="9472" max="9472" width="13" style="272" bestFit="1" customWidth="1"/>
    <col min="9473" max="9473" width="14.875" style="272" bestFit="1" customWidth="1"/>
    <col min="9474" max="9474" width="13" style="272" bestFit="1" customWidth="1"/>
    <col min="9475" max="9720" width="8.25" style="272"/>
    <col min="9721" max="9721" width="4" style="272" bestFit="1" customWidth="1"/>
    <col min="9722" max="9722" width="9.875" style="272" customWidth="1"/>
    <col min="9723" max="9723" width="56.125" style="272" bestFit="1" customWidth="1"/>
    <col min="9724" max="9724" width="13" style="272" customWidth="1"/>
    <col min="9725" max="9725" width="11.25" style="272" bestFit="1" customWidth="1"/>
    <col min="9726" max="9726" width="11.75" style="272" customWidth="1"/>
    <col min="9727" max="9727" width="2.875" style="272" customWidth="1"/>
    <col min="9728" max="9728" width="13" style="272" bestFit="1" customWidth="1"/>
    <col min="9729" max="9729" width="14.875" style="272" bestFit="1" customWidth="1"/>
    <col min="9730" max="9730" width="13" style="272" bestFit="1" customWidth="1"/>
    <col min="9731" max="9976" width="8.25" style="272"/>
    <col min="9977" max="9977" width="4" style="272" bestFit="1" customWidth="1"/>
    <col min="9978" max="9978" width="9.875" style="272" customWidth="1"/>
    <col min="9979" max="9979" width="56.125" style="272" bestFit="1" customWidth="1"/>
    <col min="9980" max="9980" width="13" style="272" customWidth="1"/>
    <col min="9981" max="9981" width="11.25" style="272" bestFit="1" customWidth="1"/>
    <col min="9982" max="9982" width="11.75" style="272" customWidth="1"/>
    <col min="9983" max="9983" width="2.875" style="272" customWidth="1"/>
    <col min="9984" max="9984" width="13" style="272" bestFit="1" customWidth="1"/>
    <col min="9985" max="9985" width="14.875" style="272" bestFit="1" customWidth="1"/>
    <col min="9986" max="9986" width="13" style="272" bestFit="1" customWidth="1"/>
    <col min="9987" max="10232" width="8.25" style="272"/>
    <col min="10233" max="10233" width="4" style="272" bestFit="1" customWidth="1"/>
    <col min="10234" max="10234" width="9.875" style="272" customWidth="1"/>
    <col min="10235" max="10235" width="56.125" style="272" bestFit="1" customWidth="1"/>
    <col min="10236" max="10236" width="13" style="272" customWidth="1"/>
    <col min="10237" max="10237" width="11.25" style="272" bestFit="1" customWidth="1"/>
    <col min="10238" max="10238" width="11.75" style="272" customWidth="1"/>
    <col min="10239" max="10239" width="2.875" style="272" customWidth="1"/>
    <col min="10240" max="10240" width="13" style="272" bestFit="1" customWidth="1"/>
    <col min="10241" max="10241" width="14.875" style="272" bestFit="1" customWidth="1"/>
    <col min="10242" max="10242" width="13" style="272" bestFit="1" customWidth="1"/>
    <col min="10243" max="10488" width="8.25" style="272"/>
    <col min="10489" max="10489" width="4" style="272" bestFit="1" customWidth="1"/>
    <col min="10490" max="10490" width="9.875" style="272" customWidth="1"/>
    <col min="10491" max="10491" width="56.125" style="272" bestFit="1" customWidth="1"/>
    <col min="10492" max="10492" width="13" style="272" customWidth="1"/>
    <col min="10493" max="10493" width="11.25" style="272" bestFit="1" customWidth="1"/>
    <col min="10494" max="10494" width="11.75" style="272" customWidth="1"/>
    <col min="10495" max="10495" width="2.875" style="272" customWidth="1"/>
    <col min="10496" max="10496" width="13" style="272" bestFit="1" customWidth="1"/>
    <col min="10497" max="10497" width="14.875" style="272" bestFit="1" customWidth="1"/>
    <col min="10498" max="10498" width="13" style="272" bestFit="1" customWidth="1"/>
    <col min="10499" max="10744" width="8.25" style="272"/>
    <col min="10745" max="10745" width="4" style="272" bestFit="1" customWidth="1"/>
    <col min="10746" max="10746" width="9.875" style="272" customWidth="1"/>
    <col min="10747" max="10747" width="56.125" style="272" bestFit="1" customWidth="1"/>
    <col min="10748" max="10748" width="13" style="272" customWidth="1"/>
    <col min="10749" max="10749" width="11.25" style="272" bestFit="1" customWidth="1"/>
    <col min="10750" max="10750" width="11.75" style="272" customWidth="1"/>
    <col min="10751" max="10751" width="2.875" style="272" customWidth="1"/>
    <col min="10752" max="10752" width="13" style="272" bestFit="1" customWidth="1"/>
    <col min="10753" max="10753" width="14.875" style="272" bestFit="1" customWidth="1"/>
    <col min="10754" max="10754" width="13" style="272" bestFit="1" customWidth="1"/>
    <col min="10755" max="11000" width="8.25" style="272"/>
    <col min="11001" max="11001" width="4" style="272" bestFit="1" customWidth="1"/>
    <col min="11002" max="11002" width="9.875" style="272" customWidth="1"/>
    <col min="11003" max="11003" width="56.125" style="272" bestFit="1" customWidth="1"/>
    <col min="11004" max="11004" width="13" style="272" customWidth="1"/>
    <col min="11005" max="11005" width="11.25" style="272" bestFit="1" customWidth="1"/>
    <col min="11006" max="11006" width="11.75" style="272" customWidth="1"/>
    <col min="11007" max="11007" width="2.875" style="272" customWidth="1"/>
    <col min="11008" max="11008" width="13" style="272" bestFit="1" customWidth="1"/>
    <col min="11009" max="11009" width="14.875" style="272" bestFit="1" customWidth="1"/>
    <col min="11010" max="11010" width="13" style="272" bestFit="1" customWidth="1"/>
    <col min="11011" max="11256" width="8.25" style="272"/>
    <col min="11257" max="11257" width="4" style="272" bestFit="1" customWidth="1"/>
    <col min="11258" max="11258" width="9.875" style="272" customWidth="1"/>
    <col min="11259" max="11259" width="56.125" style="272" bestFit="1" customWidth="1"/>
    <col min="11260" max="11260" width="13" style="272" customWidth="1"/>
    <col min="11261" max="11261" width="11.25" style="272" bestFit="1" customWidth="1"/>
    <col min="11262" max="11262" width="11.75" style="272" customWidth="1"/>
    <col min="11263" max="11263" width="2.875" style="272" customWidth="1"/>
    <col min="11264" max="11264" width="13" style="272" bestFit="1" customWidth="1"/>
    <col min="11265" max="11265" width="14.875" style="272" bestFit="1" customWidth="1"/>
    <col min="11266" max="11266" width="13" style="272" bestFit="1" customWidth="1"/>
    <col min="11267" max="11512" width="8.25" style="272"/>
    <col min="11513" max="11513" width="4" style="272" bestFit="1" customWidth="1"/>
    <col min="11514" max="11514" width="9.875" style="272" customWidth="1"/>
    <col min="11515" max="11515" width="56.125" style="272" bestFit="1" customWidth="1"/>
    <col min="11516" max="11516" width="13" style="272" customWidth="1"/>
    <col min="11517" max="11517" width="11.25" style="272" bestFit="1" customWidth="1"/>
    <col min="11518" max="11518" width="11.75" style="272" customWidth="1"/>
    <col min="11519" max="11519" width="2.875" style="272" customWidth="1"/>
    <col min="11520" max="11520" width="13" style="272" bestFit="1" customWidth="1"/>
    <col min="11521" max="11521" width="14.875" style="272" bestFit="1" customWidth="1"/>
    <col min="11522" max="11522" width="13" style="272" bestFit="1" customWidth="1"/>
    <col min="11523" max="11768" width="8.25" style="272"/>
    <col min="11769" max="11769" width="4" style="272" bestFit="1" customWidth="1"/>
    <col min="11770" max="11770" width="9.875" style="272" customWidth="1"/>
    <col min="11771" max="11771" width="56.125" style="272" bestFit="1" customWidth="1"/>
    <col min="11772" max="11772" width="13" style="272" customWidth="1"/>
    <col min="11773" max="11773" width="11.25" style="272" bestFit="1" customWidth="1"/>
    <col min="11774" max="11774" width="11.75" style="272" customWidth="1"/>
    <col min="11775" max="11775" width="2.875" style="272" customWidth="1"/>
    <col min="11776" max="11776" width="13" style="272" bestFit="1" customWidth="1"/>
    <col min="11777" max="11777" width="14.875" style="272" bestFit="1" customWidth="1"/>
    <col min="11778" max="11778" width="13" style="272" bestFit="1" customWidth="1"/>
    <col min="11779" max="12024" width="8.25" style="272"/>
    <col min="12025" max="12025" width="4" style="272" bestFit="1" customWidth="1"/>
    <col min="12026" max="12026" width="9.875" style="272" customWidth="1"/>
    <col min="12027" max="12027" width="56.125" style="272" bestFit="1" customWidth="1"/>
    <col min="12028" max="12028" width="13" style="272" customWidth="1"/>
    <col min="12029" max="12029" width="11.25" style="272" bestFit="1" customWidth="1"/>
    <col min="12030" max="12030" width="11.75" style="272" customWidth="1"/>
    <col min="12031" max="12031" width="2.875" style="272" customWidth="1"/>
    <col min="12032" max="12032" width="13" style="272" bestFit="1" customWidth="1"/>
    <col min="12033" max="12033" width="14.875" style="272" bestFit="1" customWidth="1"/>
    <col min="12034" max="12034" width="13" style="272" bestFit="1" customWidth="1"/>
    <col min="12035" max="12280" width="8.25" style="272"/>
    <col min="12281" max="12281" width="4" style="272" bestFit="1" customWidth="1"/>
    <col min="12282" max="12282" width="9.875" style="272" customWidth="1"/>
    <col min="12283" max="12283" width="56.125" style="272" bestFit="1" customWidth="1"/>
    <col min="12284" max="12284" width="13" style="272" customWidth="1"/>
    <col min="12285" max="12285" width="11.25" style="272" bestFit="1" customWidth="1"/>
    <col min="12286" max="12286" width="11.75" style="272" customWidth="1"/>
    <col min="12287" max="12287" width="2.875" style="272" customWidth="1"/>
    <col min="12288" max="12288" width="13" style="272" bestFit="1" customWidth="1"/>
    <col min="12289" max="12289" width="14.875" style="272" bestFit="1" customWidth="1"/>
    <col min="12290" max="12290" width="13" style="272" bestFit="1" customWidth="1"/>
    <col min="12291" max="12536" width="8.25" style="272"/>
    <col min="12537" max="12537" width="4" style="272" bestFit="1" customWidth="1"/>
    <col min="12538" max="12538" width="9.875" style="272" customWidth="1"/>
    <col min="12539" max="12539" width="56.125" style="272" bestFit="1" customWidth="1"/>
    <col min="12540" max="12540" width="13" style="272" customWidth="1"/>
    <col min="12541" max="12541" width="11.25" style="272" bestFit="1" customWidth="1"/>
    <col min="12542" max="12542" width="11.75" style="272" customWidth="1"/>
    <col min="12543" max="12543" width="2.875" style="272" customWidth="1"/>
    <col min="12544" max="12544" width="13" style="272" bestFit="1" customWidth="1"/>
    <col min="12545" max="12545" width="14.875" style="272" bestFit="1" customWidth="1"/>
    <col min="12546" max="12546" width="13" style="272" bestFit="1" customWidth="1"/>
    <col min="12547" max="12792" width="8.25" style="272"/>
    <col min="12793" max="12793" width="4" style="272" bestFit="1" customWidth="1"/>
    <col min="12794" max="12794" width="9.875" style="272" customWidth="1"/>
    <col min="12795" max="12795" width="56.125" style="272" bestFit="1" customWidth="1"/>
    <col min="12796" max="12796" width="13" style="272" customWidth="1"/>
    <col min="12797" max="12797" width="11.25" style="272" bestFit="1" customWidth="1"/>
    <col min="12798" max="12798" width="11.75" style="272" customWidth="1"/>
    <col min="12799" max="12799" width="2.875" style="272" customWidth="1"/>
    <col min="12800" max="12800" width="13" style="272" bestFit="1" customWidth="1"/>
    <col min="12801" max="12801" width="14.875" style="272" bestFit="1" customWidth="1"/>
    <col min="12802" max="12802" width="13" style="272" bestFit="1" customWidth="1"/>
    <col min="12803" max="13048" width="8.25" style="272"/>
    <col min="13049" max="13049" width="4" style="272" bestFit="1" customWidth="1"/>
    <col min="13050" max="13050" width="9.875" style="272" customWidth="1"/>
    <col min="13051" max="13051" width="56.125" style="272" bestFit="1" customWidth="1"/>
    <col min="13052" max="13052" width="13" style="272" customWidth="1"/>
    <col min="13053" max="13053" width="11.25" style="272" bestFit="1" customWidth="1"/>
    <col min="13054" max="13054" width="11.75" style="272" customWidth="1"/>
    <col min="13055" max="13055" width="2.875" style="272" customWidth="1"/>
    <col min="13056" max="13056" width="13" style="272" bestFit="1" customWidth="1"/>
    <col min="13057" max="13057" width="14.875" style="272" bestFit="1" customWidth="1"/>
    <col min="13058" max="13058" width="13" style="272" bestFit="1" customWidth="1"/>
    <col min="13059" max="13304" width="8.25" style="272"/>
    <col min="13305" max="13305" width="4" style="272" bestFit="1" customWidth="1"/>
    <col min="13306" max="13306" width="9.875" style="272" customWidth="1"/>
    <col min="13307" max="13307" width="56.125" style="272" bestFit="1" customWidth="1"/>
    <col min="13308" max="13308" width="13" style="272" customWidth="1"/>
    <col min="13309" max="13309" width="11.25" style="272" bestFit="1" customWidth="1"/>
    <col min="13310" max="13310" width="11.75" style="272" customWidth="1"/>
    <col min="13311" max="13311" width="2.875" style="272" customWidth="1"/>
    <col min="13312" max="13312" width="13" style="272" bestFit="1" customWidth="1"/>
    <col min="13313" max="13313" width="14.875" style="272" bestFit="1" customWidth="1"/>
    <col min="13314" max="13314" width="13" style="272" bestFit="1" customWidth="1"/>
    <col min="13315" max="13560" width="8.25" style="272"/>
    <col min="13561" max="13561" width="4" style="272" bestFit="1" customWidth="1"/>
    <col min="13562" max="13562" width="9.875" style="272" customWidth="1"/>
    <col min="13563" max="13563" width="56.125" style="272" bestFit="1" customWidth="1"/>
    <col min="13564" max="13564" width="13" style="272" customWidth="1"/>
    <col min="13565" max="13565" width="11.25" style="272" bestFit="1" customWidth="1"/>
    <col min="13566" max="13566" width="11.75" style="272" customWidth="1"/>
    <col min="13567" max="13567" width="2.875" style="272" customWidth="1"/>
    <col min="13568" max="13568" width="13" style="272" bestFit="1" customWidth="1"/>
    <col min="13569" max="13569" width="14.875" style="272" bestFit="1" customWidth="1"/>
    <col min="13570" max="13570" width="13" style="272" bestFit="1" customWidth="1"/>
    <col min="13571" max="13816" width="8.25" style="272"/>
    <col min="13817" max="13817" width="4" style="272" bestFit="1" customWidth="1"/>
    <col min="13818" max="13818" width="9.875" style="272" customWidth="1"/>
    <col min="13819" max="13819" width="56.125" style="272" bestFit="1" customWidth="1"/>
    <col min="13820" max="13820" width="13" style="272" customWidth="1"/>
    <col min="13821" max="13821" width="11.25" style="272" bestFit="1" customWidth="1"/>
    <col min="13822" max="13822" width="11.75" style="272" customWidth="1"/>
    <col min="13823" max="13823" width="2.875" style="272" customWidth="1"/>
    <col min="13824" max="13824" width="13" style="272" bestFit="1" customWidth="1"/>
    <col min="13825" max="13825" width="14.875" style="272" bestFit="1" customWidth="1"/>
    <col min="13826" max="13826" width="13" style="272" bestFit="1" customWidth="1"/>
    <col min="13827" max="14072" width="8.25" style="272"/>
    <col min="14073" max="14073" width="4" style="272" bestFit="1" customWidth="1"/>
    <col min="14074" max="14074" width="9.875" style="272" customWidth="1"/>
    <col min="14075" max="14075" width="56.125" style="272" bestFit="1" customWidth="1"/>
    <col min="14076" max="14076" width="13" style="272" customWidth="1"/>
    <col min="14077" max="14077" width="11.25" style="272" bestFit="1" customWidth="1"/>
    <col min="14078" max="14078" width="11.75" style="272" customWidth="1"/>
    <col min="14079" max="14079" width="2.875" style="272" customWidth="1"/>
    <col min="14080" max="14080" width="13" style="272" bestFit="1" customWidth="1"/>
    <col min="14081" max="14081" width="14.875" style="272" bestFit="1" customWidth="1"/>
    <col min="14082" max="14082" width="13" style="272" bestFit="1" customWidth="1"/>
    <col min="14083" max="14328" width="8.25" style="272"/>
    <col min="14329" max="14329" width="4" style="272" bestFit="1" customWidth="1"/>
    <col min="14330" max="14330" width="9.875" style="272" customWidth="1"/>
    <col min="14331" max="14331" width="56.125" style="272" bestFit="1" customWidth="1"/>
    <col min="14332" max="14332" width="13" style="272" customWidth="1"/>
    <col min="14333" max="14333" width="11.25" style="272" bestFit="1" customWidth="1"/>
    <col min="14334" max="14334" width="11.75" style="272" customWidth="1"/>
    <col min="14335" max="14335" width="2.875" style="272" customWidth="1"/>
    <col min="14336" max="14336" width="13" style="272" bestFit="1" customWidth="1"/>
    <col min="14337" max="14337" width="14.875" style="272" bestFit="1" customWidth="1"/>
    <col min="14338" max="14338" width="13" style="272" bestFit="1" customWidth="1"/>
    <col min="14339" max="14584" width="8.25" style="272"/>
    <col min="14585" max="14585" width="4" style="272" bestFit="1" customWidth="1"/>
    <col min="14586" max="14586" width="9.875" style="272" customWidth="1"/>
    <col min="14587" max="14587" width="56.125" style="272" bestFit="1" customWidth="1"/>
    <col min="14588" max="14588" width="13" style="272" customWidth="1"/>
    <col min="14589" max="14589" width="11.25" style="272" bestFit="1" customWidth="1"/>
    <col min="14590" max="14590" width="11.75" style="272" customWidth="1"/>
    <col min="14591" max="14591" width="2.875" style="272" customWidth="1"/>
    <col min="14592" max="14592" width="13" style="272" bestFit="1" customWidth="1"/>
    <col min="14593" max="14593" width="14.875" style="272" bestFit="1" customWidth="1"/>
    <col min="14594" max="14594" width="13" style="272" bestFit="1" customWidth="1"/>
    <col min="14595" max="14840" width="8.25" style="272"/>
    <col min="14841" max="14841" width="4" style="272" bestFit="1" customWidth="1"/>
    <col min="14842" max="14842" width="9.875" style="272" customWidth="1"/>
    <col min="14843" max="14843" width="56.125" style="272" bestFit="1" customWidth="1"/>
    <col min="14844" max="14844" width="13" style="272" customWidth="1"/>
    <col min="14845" max="14845" width="11.25" style="272" bestFit="1" customWidth="1"/>
    <col min="14846" max="14846" width="11.75" style="272" customWidth="1"/>
    <col min="14847" max="14847" width="2.875" style="272" customWidth="1"/>
    <col min="14848" max="14848" width="13" style="272" bestFit="1" customWidth="1"/>
    <col min="14849" max="14849" width="14.875" style="272" bestFit="1" customWidth="1"/>
    <col min="14850" max="14850" width="13" style="272" bestFit="1" customWidth="1"/>
    <col min="14851" max="15096" width="8.25" style="272"/>
    <col min="15097" max="15097" width="4" style="272" bestFit="1" customWidth="1"/>
    <col min="15098" max="15098" width="9.875" style="272" customWidth="1"/>
    <col min="15099" max="15099" width="56.125" style="272" bestFit="1" customWidth="1"/>
    <col min="15100" max="15100" width="13" style="272" customWidth="1"/>
    <col min="15101" max="15101" width="11.25" style="272" bestFit="1" customWidth="1"/>
    <col min="15102" max="15102" width="11.75" style="272" customWidth="1"/>
    <col min="15103" max="15103" width="2.875" style="272" customWidth="1"/>
    <col min="15104" max="15104" width="13" style="272" bestFit="1" customWidth="1"/>
    <col min="15105" max="15105" width="14.875" style="272" bestFit="1" customWidth="1"/>
    <col min="15106" max="15106" width="13" style="272" bestFit="1" customWidth="1"/>
    <col min="15107" max="15352" width="8.25" style="272"/>
    <col min="15353" max="15353" width="4" style="272" bestFit="1" customWidth="1"/>
    <col min="15354" max="15354" width="9.875" style="272" customWidth="1"/>
    <col min="15355" max="15355" width="56.125" style="272" bestFit="1" customWidth="1"/>
    <col min="15356" max="15356" width="13" style="272" customWidth="1"/>
    <col min="15357" max="15357" width="11.25" style="272" bestFit="1" customWidth="1"/>
    <col min="15358" max="15358" width="11.75" style="272" customWidth="1"/>
    <col min="15359" max="15359" width="2.875" style="272" customWidth="1"/>
    <col min="15360" max="15360" width="13" style="272" bestFit="1" customWidth="1"/>
    <col min="15361" max="15361" width="14.875" style="272" bestFit="1" customWidth="1"/>
    <col min="15362" max="15362" width="13" style="272" bestFit="1" customWidth="1"/>
    <col min="15363" max="15608" width="8.25" style="272"/>
    <col min="15609" max="15609" width="4" style="272" bestFit="1" customWidth="1"/>
    <col min="15610" max="15610" width="9.875" style="272" customWidth="1"/>
    <col min="15611" max="15611" width="56.125" style="272" bestFit="1" customWidth="1"/>
    <col min="15612" max="15612" width="13" style="272" customWidth="1"/>
    <col min="15613" max="15613" width="11.25" style="272" bestFit="1" customWidth="1"/>
    <col min="15614" max="15614" width="11.75" style="272" customWidth="1"/>
    <col min="15615" max="15615" width="2.875" style="272" customWidth="1"/>
    <col min="15616" max="15616" width="13" style="272" bestFit="1" customWidth="1"/>
    <col min="15617" max="15617" width="14.875" style="272" bestFit="1" customWidth="1"/>
    <col min="15618" max="15618" width="13" style="272" bestFit="1" customWidth="1"/>
    <col min="15619" max="15864" width="8.25" style="272"/>
    <col min="15865" max="15865" width="4" style="272" bestFit="1" customWidth="1"/>
    <col min="15866" max="15866" width="9.875" style="272" customWidth="1"/>
    <col min="15867" max="15867" width="56.125" style="272" bestFit="1" customWidth="1"/>
    <col min="15868" max="15868" width="13" style="272" customWidth="1"/>
    <col min="15869" max="15869" width="11.25" style="272" bestFit="1" customWidth="1"/>
    <col min="15870" max="15870" width="11.75" style="272" customWidth="1"/>
    <col min="15871" max="15871" width="2.875" style="272" customWidth="1"/>
    <col min="15872" max="15872" width="13" style="272" bestFit="1" customWidth="1"/>
    <col min="15873" max="15873" width="14.875" style="272" bestFit="1" customWidth="1"/>
    <col min="15874" max="15874" width="13" style="272" bestFit="1" customWidth="1"/>
    <col min="15875" max="16120" width="8.25" style="272"/>
    <col min="16121" max="16121" width="4" style="272" bestFit="1" customWidth="1"/>
    <col min="16122" max="16122" width="9.875" style="272" customWidth="1"/>
    <col min="16123" max="16123" width="56.125" style="272" bestFit="1" customWidth="1"/>
    <col min="16124" max="16124" width="13" style="272" customWidth="1"/>
    <col min="16125" max="16125" width="11.25" style="272" bestFit="1" customWidth="1"/>
    <col min="16126" max="16126" width="11.75" style="272" customWidth="1"/>
    <col min="16127" max="16127" width="2.875" style="272" customWidth="1"/>
    <col min="16128" max="16128" width="13" style="272" bestFit="1" customWidth="1"/>
    <col min="16129" max="16129" width="14.875" style="272" bestFit="1" customWidth="1"/>
    <col min="16130" max="16130" width="13" style="272" bestFit="1" customWidth="1"/>
    <col min="16131" max="16384" width="8.25" style="272"/>
  </cols>
  <sheetData>
    <row r="1" spans="1:6">
      <c r="A1" s="485" t="s">
        <v>86</v>
      </c>
      <c r="B1" s="485"/>
      <c r="C1" s="485"/>
      <c r="D1" s="485"/>
      <c r="E1" s="485"/>
      <c r="F1" s="485"/>
    </row>
    <row r="2" spans="1:6">
      <c r="A2" s="485" t="s">
        <v>250</v>
      </c>
      <c r="B2" s="485"/>
      <c r="C2" s="485"/>
      <c r="D2" s="485"/>
      <c r="E2" s="485"/>
      <c r="F2" s="485"/>
    </row>
    <row r="3" spans="1:6">
      <c r="A3" s="440"/>
      <c r="B3" s="440"/>
      <c r="C3" s="440"/>
      <c r="D3" s="440"/>
      <c r="E3" s="440"/>
      <c r="F3" s="440"/>
    </row>
    <row r="4" spans="1:6">
      <c r="A4" s="238"/>
      <c r="B4" s="238"/>
      <c r="C4" s="238"/>
      <c r="D4" s="238"/>
      <c r="E4" s="238"/>
    </row>
    <row r="5" spans="1:6" s="241" customFormat="1" ht="51">
      <c r="A5" s="239" t="s">
        <v>208</v>
      </c>
      <c r="B5" s="239" t="s">
        <v>251</v>
      </c>
      <c r="C5" s="240" t="s">
        <v>52</v>
      </c>
      <c r="D5" s="239" t="s">
        <v>996</v>
      </c>
      <c r="E5" s="239" t="s">
        <v>997</v>
      </c>
      <c r="F5" s="239" t="s">
        <v>1025</v>
      </c>
    </row>
    <row r="6" spans="1:6">
      <c r="D6" s="241" t="s">
        <v>214</v>
      </c>
      <c r="E6" s="241" t="s">
        <v>215</v>
      </c>
      <c r="F6" s="241" t="s">
        <v>896</v>
      </c>
    </row>
    <row r="7" spans="1:6">
      <c r="A7" s="440">
        <v>1</v>
      </c>
      <c r="B7" s="440">
        <v>7</v>
      </c>
      <c r="C7" s="272" t="s">
        <v>29</v>
      </c>
    </row>
    <row r="8" spans="1:6">
      <c r="A8" s="440">
        <f>+A7+1</f>
        <v>2</v>
      </c>
      <c r="B8" s="440">
        <v>7</v>
      </c>
      <c r="C8" s="242" t="s">
        <v>252</v>
      </c>
      <c r="D8" s="243">
        <v>7.49</v>
      </c>
      <c r="E8" s="243">
        <f>+'(JAP4) Res RD'!G14</f>
        <v>7.49</v>
      </c>
      <c r="F8" s="243">
        <f>+E8-D8</f>
        <v>0</v>
      </c>
    </row>
    <row r="9" spans="1:6">
      <c r="A9" s="440">
        <f t="shared" ref="A9:A69" si="0">+A8+1</f>
        <v>3</v>
      </c>
      <c r="B9" s="440">
        <v>7</v>
      </c>
      <c r="C9" s="242" t="s">
        <v>253</v>
      </c>
      <c r="D9" s="243">
        <v>17.989999999999998</v>
      </c>
      <c r="E9" s="243">
        <f>+'(JAP4) Res RD'!G15</f>
        <v>17.989999999999998</v>
      </c>
      <c r="F9" s="243">
        <f>+E9-D9</f>
        <v>0</v>
      </c>
    </row>
    <row r="10" spans="1:6">
      <c r="A10" s="440">
        <f t="shared" si="0"/>
        <v>4</v>
      </c>
      <c r="B10" s="440">
        <f>+$B$7</f>
        <v>7</v>
      </c>
      <c r="C10" s="242"/>
      <c r="D10" s="243"/>
      <c r="E10" s="243"/>
      <c r="F10" s="243"/>
    </row>
    <row r="11" spans="1:6">
      <c r="A11" s="440">
        <f t="shared" si="0"/>
        <v>5</v>
      </c>
      <c r="B11" s="440">
        <f>+$B$7</f>
        <v>7</v>
      </c>
      <c r="C11" s="242" t="s">
        <v>318</v>
      </c>
      <c r="D11" s="244">
        <v>8.7335999999999997E-2</v>
      </c>
      <c r="E11" s="244">
        <f>+'(JAP4) Res RD'!G18</f>
        <v>8.8372000000000006E-2</v>
      </c>
      <c r="F11" s="244">
        <f>+E11-D11</f>
        <v>1.0360000000000091E-3</v>
      </c>
    </row>
    <row r="12" spans="1:6">
      <c r="A12" s="440">
        <f t="shared" si="0"/>
        <v>6</v>
      </c>
      <c r="B12" s="440">
        <f>+$B$7</f>
        <v>7</v>
      </c>
      <c r="C12" s="242" t="s">
        <v>319</v>
      </c>
      <c r="D12" s="244">
        <v>0.106297</v>
      </c>
      <c r="E12" s="244">
        <f>+'(JAP4) Res RD'!G19</f>
        <v>0.107558</v>
      </c>
      <c r="F12" s="244">
        <f>+E12-D12</f>
        <v>1.2609999999999982E-3</v>
      </c>
    </row>
    <row r="13" spans="1:6">
      <c r="A13" s="440">
        <f t="shared" si="0"/>
        <v>7</v>
      </c>
    </row>
    <row r="14" spans="1:6">
      <c r="A14" s="440">
        <f t="shared" si="0"/>
        <v>8</v>
      </c>
      <c r="B14" s="440" t="s">
        <v>254</v>
      </c>
      <c r="C14" s="245" t="s">
        <v>255</v>
      </c>
      <c r="D14" s="243"/>
      <c r="E14" s="243"/>
      <c r="F14" s="243"/>
    </row>
    <row r="15" spans="1:6">
      <c r="A15" s="440">
        <f t="shared" si="0"/>
        <v>9</v>
      </c>
      <c r="B15" s="440" t="str">
        <f>+$B$14</f>
        <v>24 (08)</v>
      </c>
      <c r="C15" s="242" t="s">
        <v>252</v>
      </c>
      <c r="D15" s="243">
        <v>9.8000000000000007</v>
      </c>
      <c r="E15" s="243">
        <f>+'(JAP4) SecVolt RD'!G15</f>
        <v>9.8800000000000008</v>
      </c>
      <c r="F15" s="243">
        <f>+E15-D15</f>
        <v>8.0000000000000071E-2</v>
      </c>
    </row>
    <row r="16" spans="1:6">
      <c r="A16" s="440">
        <f t="shared" si="0"/>
        <v>10</v>
      </c>
      <c r="B16" s="440" t="str">
        <f>+$B$14</f>
        <v>24 (08)</v>
      </c>
      <c r="C16" s="242" t="s">
        <v>253</v>
      </c>
      <c r="D16" s="243">
        <v>24.9</v>
      </c>
      <c r="E16" s="243">
        <f>+'(JAP4) SecVolt RD'!G16</f>
        <v>25.1</v>
      </c>
      <c r="F16" s="243">
        <f>+E16-D16</f>
        <v>0.20000000000000284</v>
      </c>
    </row>
    <row r="17" spans="1:6">
      <c r="A17" s="440">
        <f t="shared" si="0"/>
        <v>11</v>
      </c>
      <c r="B17" s="440" t="str">
        <f>+$B$14</f>
        <v>24 (08)</v>
      </c>
      <c r="C17" s="242"/>
      <c r="D17" s="243"/>
      <c r="E17" s="243"/>
      <c r="F17" s="243"/>
    </row>
    <row r="18" spans="1:6">
      <c r="A18" s="440">
        <f t="shared" si="0"/>
        <v>12</v>
      </c>
      <c r="B18" s="440" t="str">
        <f>+$B$14</f>
        <v>24 (08)</v>
      </c>
      <c r="C18" s="242" t="s">
        <v>256</v>
      </c>
      <c r="D18" s="244">
        <v>9.071499999999999E-2</v>
      </c>
      <c r="E18" s="244">
        <f>+'(JAP4) SecVolt RD'!G19</f>
        <v>9.1444999999999999E-2</v>
      </c>
      <c r="F18" s="244">
        <f>+E18-D18</f>
        <v>7.3000000000000842E-4</v>
      </c>
    </row>
    <row r="19" spans="1:6">
      <c r="A19" s="440">
        <f t="shared" si="0"/>
        <v>13</v>
      </c>
      <c r="B19" s="440" t="str">
        <f>+$B$14</f>
        <v>24 (08)</v>
      </c>
      <c r="C19" s="242" t="s">
        <v>257</v>
      </c>
      <c r="D19" s="244">
        <v>8.7578000000000003E-2</v>
      </c>
      <c r="E19" s="244">
        <f>+'(JAP4) SecVolt RD'!G20</f>
        <v>8.8292999999999996E-2</v>
      </c>
      <c r="F19" s="244">
        <f>+E19-D19</f>
        <v>7.1499999999999342E-4</v>
      </c>
    </row>
    <row r="20" spans="1:6">
      <c r="A20" s="440">
        <f t="shared" si="0"/>
        <v>14</v>
      </c>
    </row>
    <row r="21" spans="1:6">
      <c r="A21" s="440">
        <f t="shared" si="0"/>
        <v>15</v>
      </c>
      <c r="B21" s="246" t="s">
        <v>258</v>
      </c>
      <c r="C21" s="245" t="s">
        <v>259</v>
      </c>
    </row>
    <row r="22" spans="1:6">
      <c r="A22" s="440">
        <f t="shared" si="0"/>
        <v>16</v>
      </c>
      <c r="B22" s="246" t="str">
        <f>+$B$21</f>
        <v>25 (7A) (11)</v>
      </c>
      <c r="C22" s="242" t="s">
        <v>260</v>
      </c>
      <c r="D22" s="243">
        <v>52.3</v>
      </c>
      <c r="E22" s="243">
        <f>+'(JAP4) SecVolt RD'!G31</f>
        <v>52.67</v>
      </c>
      <c r="F22" s="243">
        <f>+E22-D22</f>
        <v>0.37000000000000455</v>
      </c>
    </row>
    <row r="23" spans="1:6">
      <c r="A23" s="440">
        <f t="shared" si="0"/>
        <v>17</v>
      </c>
      <c r="B23" s="246" t="str">
        <f t="shared" ref="B23:B32" si="1">+$B$21</f>
        <v>25 (7A) (11)</v>
      </c>
      <c r="C23" s="242"/>
      <c r="D23" s="243"/>
      <c r="E23" s="243"/>
      <c r="F23" s="243"/>
    </row>
    <row r="24" spans="1:6">
      <c r="A24" s="440">
        <f t="shared" si="0"/>
        <v>18</v>
      </c>
      <c r="B24" s="246" t="str">
        <f t="shared" si="1"/>
        <v>25 (7A) (11)</v>
      </c>
      <c r="C24" s="242" t="s">
        <v>261</v>
      </c>
      <c r="D24" s="244">
        <v>9.0753E-2</v>
      </c>
      <c r="E24" s="244">
        <f>+'(JAP4) SecVolt RD'!G33</f>
        <v>9.1434000000000001E-2</v>
      </c>
      <c r="F24" s="244">
        <f>+E24-D24</f>
        <v>6.8100000000000105E-4</v>
      </c>
    </row>
    <row r="25" spans="1:6">
      <c r="A25" s="440">
        <f t="shared" si="0"/>
        <v>19</v>
      </c>
      <c r="B25" s="246" t="str">
        <f t="shared" si="1"/>
        <v>25 (7A) (11)</v>
      </c>
      <c r="C25" s="242" t="s">
        <v>262</v>
      </c>
      <c r="D25" s="244">
        <v>8.2225999999999994E-2</v>
      </c>
      <c r="E25" s="244">
        <f>+'(JAP4) SecVolt RD'!G34</f>
        <v>8.269E-2</v>
      </c>
      <c r="F25" s="244">
        <f>+E25-D25</f>
        <v>4.6400000000000607E-4</v>
      </c>
    </row>
    <row r="26" spans="1:6">
      <c r="A26" s="440">
        <f t="shared" si="0"/>
        <v>20</v>
      </c>
      <c r="B26" s="246" t="str">
        <f t="shared" si="1"/>
        <v>25 (7A) (11)</v>
      </c>
      <c r="C26" s="242" t="s">
        <v>263</v>
      </c>
      <c r="D26" s="244">
        <v>6.4072000000000004E-2</v>
      </c>
      <c r="E26" s="244">
        <f>+'(JAP4) SecVolt RD'!G35</f>
        <v>6.4072000000000004E-2</v>
      </c>
      <c r="F26" s="244">
        <f>+E26-D26</f>
        <v>0</v>
      </c>
    </row>
    <row r="27" spans="1:6">
      <c r="A27" s="440">
        <f t="shared" si="0"/>
        <v>21</v>
      </c>
      <c r="B27" s="246" t="str">
        <f t="shared" si="1"/>
        <v>25 (7A) (11)</v>
      </c>
      <c r="C27" s="247"/>
    </row>
    <row r="28" spans="1:6">
      <c r="A28" s="440">
        <f t="shared" si="0"/>
        <v>22</v>
      </c>
      <c r="B28" s="246" t="str">
        <f t="shared" si="1"/>
        <v>25 (7A) (11)</v>
      </c>
      <c r="C28" s="242" t="s">
        <v>264</v>
      </c>
      <c r="D28" s="243">
        <v>0</v>
      </c>
      <c r="E28" s="243">
        <v>0</v>
      </c>
      <c r="F28" s="243">
        <f>+E28-D28</f>
        <v>0</v>
      </c>
    </row>
    <row r="29" spans="1:6">
      <c r="A29" s="440">
        <f t="shared" si="0"/>
        <v>23</v>
      </c>
      <c r="B29" s="246" t="str">
        <f t="shared" si="1"/>
        <v>25 (7A) (11)</v>
      </c>
      <c r="C29" s="242" t="s">
        <v>265</v>
      </c>
      <c r="D29" s="243">
        <v>9.42</v>
      </c>
      <c r="E29" s="243">
        <f>+'(JAP4) SecVolt RD'!G41</f>
        <v>9.66</v>
      </c>
      <c r="F29" s="243">
        <f>+E29-D29</f>
        <v>0.24000000000000021</v>
      </c>
    </row>
    <row r="30" spans="1:6">
      <c r="A30" s="440">
        <f t="shared" si="0"/>
        <v>24</v>
      </c>
      <c r="B30" s="246" t="str">
        <f t="shared" si="1"/>
        <v>25 (7A) (11)</v>
      </c>
      <c r="C30" s="242" t="s">
        <v>266</v>
      </c>
      <c r="D30" s="243">
        <v>6.29</v>
      </c>
      <c r="E30" s="243">
        <f>+'(JAP4) SecVolt RD'!G42</f>
        <v>6.45</v>
      </c>
      <c r="F30" s="243">
        <f>+E30-D30</f>
        <v>0.16000000000000014</v>
      </c>
    </row>
    <row r="31" spans="1:6">
      <c r="A31" s="440">
        <f t="shared" si="0"/>
        <v>25</v>
      </c>
      <c r="B31" s="246" t="str">
        <f t="shared" si="1"/>
        <v>25 (7A) (11)</v>
      </c>
      <c r="C31" s="242"/>
      <c r="D31" s="243"/>
      <c r="E31" s="243"/>
      <c r="F31" s="243"/>
    </row>
    <row r="32" spans="1:6">
      <c r="A32" s="440">
        <f t="shared" si="0"/>
        <v>26</v>
      </c>
      <c r="B32" s="246" t="str">
        <f t="shared" si="1"/>
        <v>25 (7A) (11)</v>
      </c>
      <c r="C32" s="242" t="s">
        <v>267</v>
      </c>
      <c r="D32" s="248">
        <v>2.96E-3</v>
      </c>
      <c r="E32" s="248">
        <f>+'(JAP4) SecVolt RD'!G45</f>
        <v>3.0400000000000002E-3</v>
      </c>
      <c r="F32" s="248">
        <f>+E32-D32</f>
        <v>8.000000000000021E-5</v>
      </c>
    </row>
    <row r="33" spans="1:6">
      <c r="A33" s="440">
        <f t="shared" si="0"/>
        <v>27</v>
      </c>
    </row>
    <row r="34" spans="1:6">
      <c r="A34" s="440">
        <f t="shared" si="0"/>
        <v>28</v>
      </c>
      <c r="B34" s="440" t="s">
        <v>268</v>
      </c>
      <c r="C34" s="245" t="s">
        <v>269</v>
      </c>
    </row>
    <row r="35" spans="1:6">
      <c r="A35" s="440">
        <f t="shared" si="0"/>
        <v>29</v>
      </c>
      <c r="B35" s="440" t="str">
        <f>+$B$34</f>
        <v>26 (12)</v>
      </c>
      <c r="C35" s="242" t="s">
        <v>260</v>
      </c>
      <c r="D35" s="243">
        <v>105.74</v>
      </c>
      <c r="E35" s="243">
        <f>+'(JAP4) SecVolt RD'!G65</f>
        <v>106.49</v>
      </c>
      <c r="F35" s="243">
        <f>+E35-D35</f>
        <v>0.75</v>
      </c>
    </row>
    <row r="36" spans="1:6">
      <c r="A36" s="440">
        <f t="shared" si="0"/>
        <v>30</v>
      </c>
      <c r="B36" s="440" t="str">
        <f t="shared" ref="B36:B52" si="2">+$B$34</f>
        <v>26 (12)</v>
      </c>
      <c r="C36" s="242"/>
      <c r="D36" s="243"/>
      <c r="E36" s="243"/>
      <c r="F36" s="243"/>
    </row>
    <row r="37" spans="1:6">
      <c r="A37" s="440">
        <f t="shared" si="0"/>
        <v>31</v>
      </c>
      <c r="B37" s="440" t="str">
        <f t="shared" si="2"/>
        <v>26 (12)</v>
      </c>
      <c r="C37" s="242" t="s">
        <v>270</v>
      </c>
      <c r="D37" s="244">
        <v>5.7180999999999996E-2</v>
      </c>
      <c r="E37" s="244">
        <f>+'(JAP4) SecVolt RD'!G67</f>
        <v>5.7558000000000005E-2</v>
      </c>
      <c r="F37" s="244">
        <f>+E37-D37</f>
        <v>3.7700000000000927E-4</v>
      </c>
    </row>
    <row r="38" spans="1:6">
      <c r="A38" s="440">
        <f t="shared" si="0"/>
        <v>32</v>
      </c>
      <c r="B38" s="440" t="str">
        <f t="shared" si="2"/>
        <v>26 (12)</v>
      </c>
      <c r="C38" s="247"/>
    </row>
    <row r="39" spans="1:6">
      <c r="A39" s="440">
        <f t="shared" si="0"/>
        <v>33</v>
      </c>
      <c r="B39" s="440" t="str">
        <f t="shared" si="2"/>
        <v>26 (12)</v>
      </c>
      <c r="C39" s="242" t="s">
        <v>271</v>
      </c>
      <c r="D39" s="243">
        <v>11.91</v>
      </c>
      <c r="E39" s="243">
        <f>+'(JAP4) SecVolt RD'!G73</f>
        <v>11.99</v>
      </c>
      <c r="F39" s="243">
        <f>+E39-D39</f>
        <v>8.0000000000000071E-2</v>
      </c>
    </row>
    <row r="40" spans="1:6">
      <c r="A40" s="440">
        <f t="shared" si="0"/>
        <v>34</v>
      </c>
      <c r="B40" s="440" t="str">
        <f t="shared" si="2"/>
        <v>26 (12)</v>
      </c>
      <c r="C40" s="242" t="s">
        <v>272</v>
      </c>
      <c r="D40" s="243">
        <v>7.94</v>
      </c>
      <c r="E40" s="243">
        <f>+'(JAP4) SecVolt RD'!G74</f>
        <v>7.99</v>
      </c>
      <c r="F40" s="243">
        <f>+E40-D40</f>
        <v>4.9999999999999822E-2</v>
      </c>
    </row>
    <row r="41" spans="1:6">
      <c r="A41" s="440">
        <f t="shared" si="0"/>
        <v>35</v>
      </c>
      <c r="B41" s="440" t="str">
        <f t="shared" si="2"/>
        <v>26 (12)</v>
      </c>
      <c r="C41" s="242"/>
      <c r="D41" s="243"/>
      <c r="E41" s="243"/>
      <c r="F41" s="243"/>
    </row>
    <row r="42" spans="1:6">
      <c r="A42" s="440">
        <f t="shared" si="0"/>
        <v>36</v>
      </c>
      <c r="B42" s="440" t="str">
        <f t="shared" si="2"/>
        <v>26 (12)</v>
      </c>
      <c r="C42" s="242" t="s">
        <v>267</v>
      </c>
      <c r="D42" s="248">
        <v>1.2600000000000001E-3</v>
      </c>
      <c r="E42" s="248">
        <f>+'(JAP4) SecVolt RD'!G77</f>
        <v>1.2700000000000001E-3</v>
      </c>
      <c r="F42" s="248">
        <f>+E42-D42</f>
        <v>1.0000000000000026E-5</v>
      </c>
    </row>
    <row r="43" spans="1:6">
      <c r="A43" s="440">
        <f t="shared" si="0"/>
        <v>37</v>
      </c>
      <c r="B43" s="440" t="str">
        <f t="shared" si="2"/>
        <v>26 (12)</v>
      </c>
      <c r="C43" s="242"/>
      <c r="D43" s="248"/>
      <c r="E43" s="248"/>
      <c r="F43" s="248"/>
    </row>
    <row r="44" spans="1:6">
      <c r="A44" s="440">
        <f t="shared" si="0"/>
        <v>38</v>
      </c>
      <c r="B44" s="440" t="str">
        <f t="shared" si="2"/>
        <v>26 (12)</v>
      </c>
      <c r="C44" s="242" t="s">
        <v>273</v>
      </c>
      <c r="D44" s="248"/>
      <c r="E44" s="248"/>
      <c r="F44" s="248"/>
    </row>
    <row r="45" spans="1:6">
      <c r="A45" s="440">
        <f t="shared" si="0"/>
        <v>39</v>
      </c>
      <c r="B45" s="440" t="str">
        <f t="shared" si="2"/>
        <v>26 (12)</v>
      </c>
      <c r="C45" s="481" t="s">
        <v>1027</v>
      </c>
      <c r="D45" s="243">
        <v>237.92000000000002</v>
      </c>
      <c r="E45" s="243">
        <f>+'(JAP4) SecVolt RD'!G86</f>
        <v>239.59999999999997</v>
      </c>
      <c r="F45" s="243">
        <f t="shared" ref="F45:F52" si="3">+E45-D45</f>
        <v>1.67999999999995</v>
      </c>
    </row>
    <row r="46" spans="1:6">
      <c r="A46" s="440">
        <f t="shared" si="0"/>
        <v>40</v>
      </c>
      <c r="B46" s="440" t="str">
        <f t="shared" si="2"/>
        <v>26 (12)</v>
      </c>
      <c r="C46" s="481" t="s">
        <v>274</v>
      </c>
      <c r="D46" s="243">
        <v>-0.39</v>
      </c>
      <c r="E46" s="243">
        <f>+'(JAP4) SecVolt RD'!G98</f>
        <v>-0.39</v>
      </c>
      <c r="F46" s="243">
        <f t="shared" si="3"/>
        <v>0</v>
      </c>
    </row>
    <row r="47" spans="1:6">
      <c r="A47" s="440">
        <f t="shared" si="0"/>
        <v>41</v>
      </c>
      <c r="B47" s="440" t="str">
        <f t="shared" si="2"/>
        <v>26 (12)</v>
      </c>
      <c r="C47" s="481" t="s">
        <v>275</v>
      </c>
      <c r="D47" s="264">
        <v>3.9399999999999998E-2</v>
      </c>
      <c r="E47" s="264">
        <f>+'(JAP4) SecVolt RD'!L109</f>
        <v>3.9399999999999998E-2</v>
      </c>
      <c r="F47" s="264">
        <f t="shared" si="3"/>
        <v>0</v>
      </c>
    </row>
    <row r="48" spans="1:6">
      <c r="A48" s="440">
        <f t="shared" si="0"/>
        <v>42</v>
      </c>
      <c r="B48" s="440" t="str">
        <f t="shared" si="2"/>
        <v>26 (12)</v>
      </c>
      <c r="C48" s="482" t="s">
        <v>276</v>
      </c>
      <c r="D48" s="243">
        <v>343.66</v>
      </c>
      <c r="E48" s="243">
        <f>+E45+E35</f>
        <v>346.09</v>
      </c>
      <c r="F48" s="243">
        <f t="shared" si="3"/>
        <v>2.42999999999995</v>
      </c>
    </row>
    <row r="49" spans="1:6">
      <c r="A49" s="440">
        <f t="shared" si="0"/>
        <v>43</v>
      </c>
      <c r="B49" s="440" t="str">
        <f t="shared" si="2"/>
        <v>26 (12)</v>
      </c>
      <c r="C49" s="483" t="s">
        <v>277</v>
      </c>
      <c r="D49" s="243">
        <v>11.52</v>
      </c>
      <c r="E49" s="243">
        <f>+E46+E39</f>
        <v>11.6</v>
      </c>
      <c r="F49" s="243">
        <f t="shared" si="3"/>
        <v>8.0000000000000071E-2</v>
      </c>
    </row>
    <row r="50" spans="1:6">
      <c r="A50" s="440">
        <f t="shared" si="0"/>
        <v>44</v>
      </c>
      <c r="B50" s="440" t="str">
        <f t="shared" si="2"/>
        <v>26 (12)</v>
      </c>
      <c r="C50" s="483" t="s">
        <v>278</v>
      </c>
      <c r="D50" s="243">
        <v>7.5500000000000007</v>
      </c>
      <c r="E50" s="243">
        <f>+E46+E40</f>
        <v>7.6000000000000005</v>
      </c>
      <c r="F50" s="243">
        <f t="shared" si="3"/>
        <v>4.9999999999999822E-2</v>
      </c>
    </row>
    <row r="51" spans="1:6">
      <c r="A51" s="440">
        <f t="shared" si="0"/>
        <v>45</v>
      </c>
      <c r="B51" s="440" t="str">
        <f t="shared" si="2"/>
        <v>26 (12)</v>
      </c>
      <c r="C51" s="482" t="s">
        <v>279</v>
      </c>
      <c r="D51" s="244">
        <v>5.4927999999999998E-2</v>
      </c>
      <c r="E51" s="244">
        <f>+E37-ROUND(E47*E37,6)</f>
        <v>5.5290000000000006E-2</v>
      </c>
      <c r="F51" s="244">
        <f t="shared" si="3"/>
        <v>3.6200000000000815E-4</v>
      </c>
    </row>
    <row r="52" spans="1:6">
      <c r="A52" s="440">
        <f t="shared" si="0"/>
        <v>46</v>
      </c>
      <c r="B52" s="440" t="str">
        <f t="shared" si="2"/>
        <v>26 (12)</v>
      </c>
      <c r="C52" s="483" t="s">
        <v>280</v>
      </c>
      <c r="D52" s="248">
        <v>1.2100000000000001E-3</v>
      </c>
      <c r="E52" s="248">
        <f>+E42-ROUND(E47*E42,5)</f>
        <v>1.2200000000000002E-3</v>
      </c>
      <c r="F52" s="248">
        <f t="shared" si="3"/>
        <v>1.0000000000000026E-5</v>
      </c>
    </row>
    <row r="53" spans="1:6">
      <c r="A53" s="440">
        <f t="shared" si="0"/>
        <v>47</v>
      </c>
    </row>
    <row r="54" spans="1:6">
      <c r="A54" s="440">
        <f t="shared" si="0"/>
        <v>48</v>
      </c>
      <c r="B54" s="440">
        <v>29</v>
      </c>
      <c r="C54" s="245" t="s">
        <v>259</v>
      </c>
    </row>
    <row r="55" spans="1:6">
      <c r="A55" s="440">
        <f t="shared" si="0"/>
        <v>49</v>
      </c>
      <c r="B55" s="440">
        <f>+$B$54</f>
        <v>29</v>
      </c>
      <c r="C55" s="242" t="s">
        <v>252</v>
      </c>
      <c r="D55" s="243">
        <v>9.68</v>
      </c>
      <c r="E55" s="243">
        <f>+'(JAP4) SecVolt RD'!G116</f>
        <v>9.75</v>
      </c>
      <c r="F55" s="243">
        <f>+E55-D55</f>
        <v>7.0000000000000284E-2</v>
      </c>
    </row>
    <row r="56" spans="1:6">
      <c r="A56" s="440">
        <f t="shared" si="0"/>
        <v>50</v>
      </c>
      <c r="B56" s="440">
        <f t="shared" ref="B56:B67" si="4">+$B$54</f>
        <v>29</v>
      </c>
      <c r="C56" s="242" t="s">
        <v>253</v>
      </c>
      <c r="D56" s="243">
        <v>24.58</v>
      </c>
      <c r="E56" s="243">
        <f>+'(JAP4) SecVolt RD'!G117</f>
        <v>24.75</v>
      </c>
      <c r="F56" s="243">
        <f>+E56-D56</f>
        <v>0.17000000000000171</v>
      </c>
    </row>
    <row r="57" spans="1:6">
      <c r="A57" s="440">
        <f t="shared" si="0"/>
        <v>51</v>
      </c>
      <c r="B57" s="440">
        <f t="shared" si="4"/>
        <v>29</v>
      </c>
      <c r="C57" s="242"/>
      <c r="D57" s="243"/>
      <c r="E57" s="243"/>
      <c r="F57" s="243"/>
    </row>
    <row r="58" spans="1:6">
      <c r="A58" s="440">
        <f t="shared" si="0"/>
        <v>52</v>
      </c>
      <c r="B58" s="440">
        <f t="shared" si="4"/>
        <v>29</v>
      </c>
      <c r="C58" s="242" t="s">
        <v>261</v>
      </c>
      <c r="D58" s="244">
        <v>9.0677999999999995E-2</v>
      </c>
      <c r="E58" s="244">
        <f>+'(JAP4) SecVolt RD'!G120</f>
        <v>9.1318999999999997E-2</v>
      </c>
      <c r="F58" s="244">
        <f>+E58-D58</f>
        <v>6.4100000000000268E-4</v>
      </c>
    </row>
    <row r="59" spans="1:6">
      <c r="A59" s="440">
        <f t="shared" si="0"/>
        <v>53</v>
      </c>
      <c r="B59" s="440">
        <f t="shared" si="4"/>
        <v>29</v>
      </c>
      <c r="C59" s="242" t="s">
        <v>281</v>
      </c>
      <c r="D59" s="244">
        <v>6.8867999999999999E-2</v>
      </c>
      <c r="E59" s="244">
        <f>+'(JAP4) SecVolt RD'!G121</f>
        <v>6.9355E-2</v>
      </c>
      <c r="F59" s="244">
        <f>+E59-D59</f>
        <v>4.8700000000000132E-4</v>
      </c>
    </row>
    <row r="60" spans="1:6">
      <c r="A60" s="440">
        <f t="shared" si="0"/>
        <v>54</v>
      </c>
      <c r="B60" s="440">
        <f t="shared" si="4"/>
        <v>29</v>
      </c>
      <c r="C60" s="242" t="s">
        <v>262</v>
      </c>
      <c r="D60" s="244">
        <v>6.2835000000000002E-2</v>
      </c>
      <c r="E60" s="244">
        <f>+'(JAP4) SecVolt RD'!G122</f>
        <v>6.3279000000000002E-2</v>
      </c>
      <c r="F60" s="244">
        <f>+E60-D60</f>
        <v>4.4399999999999995E-4</v>
      </c>
    </row>
    <row r="61" spans="1:6">
      <c r="A61" s="440">
        <f t="shared" si="0"/>
        <v>55</v>
      </c>
      <c r="B61" s="440">
        <f t="shared" si="4"/>
        <v>29</v>
      </c>
      <c r="C61" s="242" t="s">
        <v>282</v>
      </c>
      <c r="D61" s="244">
        <v>5.3838999999999998E-2</v>
      </c>
      <c r="E61" s="244">
        <f>+'(JAP4) SecVolt RD'!G123</f>
        <v>5.4219999999999997E-2</v>
      </c>
      <c r="F61" s="244">
        <f>+E61-D61</f>
        <v>3.8099999999999939E-4</v>
      </c>
    </row>
    <row r="62" spans="1:6">
      <c r="A62" s="440">
        <f t="shared" si="0"/>
        <v>56</v>
      </c>
      <c r="B62" s="440">
        <f t="shared" si="4"/>
        <v>29</v>
      </c>
      <c r="C62" s="247"/>
    </row>
    <row r="63" spans="1:6">
      <c r="A63" s="440">
        <f t="shared" si="0"/>
        <v>57</v>
      </c>
      <c r="B63" s="440">
        <f t="shared" si="4"/>
        <v>29</v>
      </c>
      <c r="C63" s="242" t="s">
        <v>283</v>
      </c>
      <c r="D63" s="243">
        <v>0</v>
      </c>
      <c r="E63" s="243">
        <v>0</v>
      </c>
      <c r="F63" s="243">
        <f>+E63-D63</f>
        <v>0</v>
      </c>
    </row>
    <row r="64" spans="1:6">
      <c r="A64" s="440">
        <f t="shared" si="0"/>
        <v>58</v>
      </c>
      <c r="B64" s="440">
        <f t="shared" si="4"/>
        <v>29</v>
      </c>
      <c r="C64" s="242" t="s">
        <v>265</v>
      </c>
      <c r="D64" s="243">
        <v>8.94</v>
      </c>
      <c r="E64" s="243">
        <f>+'(JAP4) SecVolt RD'!G130</f>
        <v>9</v>
      </c>
      <c r="F64" s="243">
        <f>+E64-D64</f>
        <v>6.0000000000000497E-2</v>
      </c>
    </row>
    <row r="65" spans="1:6">
      <c r="A65" s="440">
        <f t="shared" si="0"/>
        <v>59</v>
      </c>
      <c r="B65" s="440">
        <f t="shared" si="4"/>
        <v>29</v>
      </c>
      <c r="C65" s="242" t="s">
        <v>266</v>
      </c>
      <c r="D65" s="243">
        <v>4.4000000000000004</v>
      </c>
      <c r="E65" s="243">
        <f>+'(JAP4) SecVolt RD'!G131</f>
        <v>4.43</v>
      </c>
      <c r="F65" s="243">
        <f>+E65-D65</f>
        <v>2.9999999999999361E-2</v>
      </c>
    </row>
    <row r="66" spans="1:6">
      <c r="A66" s="440">
        <f t="shared" si="0"/>
        <v>60</v>
      </c>
      <c r="B66" s="440">
        <f t="shared" si="4"/>
        <v>29</v>
      </c>
      <c r="C66" s="242"/>
      <c r="D66" s="243"/>
      <c r="E66" s="243"/>
      <c r="F66" s="243"/>
    </row>
    <row r="67" spans="1:6">
      <c r="A67" s="440">
        <f t="shared" si="0"/>
        <v>61</v>
      </c>
      <c r="B67" s="440">
        <f t="shared" si="4"/>
        <v>29</v>
      </c>
      <c r="C67" s="242" t="s">
        <v>267</v>
      </c>
      <c r="D67" s="248">
        <v>2.8400000000000001E-3</v>
      </c>
      <c r="E67" s="248">
        <f>+'(JAP4) SecVolt RD'!G134</f>
        <v>2.8600000000000001E-3</v>
      </c>
      <c r="F67" s="248">
        <f>+E67-D67</f>
        <v>2.0000000000000052E-5</v>
      </c>
    </row>
    <row r="68" spans="1:6">
      <c r="A68" s="440">
        <f t="shared" si="0"/>
        <v>62</v>
      </c>
    </row>
    <row r="69" spans="1:6">
      <c r="A69" s="440">
        <f t="shared" si="0"/>
        <v>63</v>
      </c>
      <c r="B69" s="440" t="s">
        <v>284</v>
      </c>
      <c r="C69" s="245" t="s">
        <v>285</v>
      </c>
    </row>
    <row r="70" spans="1:6">
      <c r="A70" s="440">
        <f t="shared" ref="A70:A133" si="5">+A69+1</f>
        <v>64</v>
      </c>
      <c r="B70" s="440" t="str">
        <f>+$B$69</f>
        <v>31 (10)</v>
      </c>
      <c r="C70" s="242" t="s">
        <v>260</v>
      </c>
      <c r="D70" s="243">
        <v>343.66</v>
      </c>
      <c r="E70" s="243">
        <f>+'(JAP4) PriVolt RD'!G15</f>
        <v>346.09</v>
      </c>
      <c r="F70" s="243">
        <f>+E70-D70</f>
        <v>2.42999999999995</v>
      </c>
    </row>
    <row r="71" spans="1:6">
      <c r="A71" s="440">
        <f t="shared" si="5"/>
        <v>65</v>
      </c>
      <c r="B71" s="440" t="str">
        <f t="shared" ref="B71:B77" si="6">+$B$69</f>
        <v>31 (10)</v>
      </c>
      <c r="C71" s="242"/>
      <c r="D71" s="243"/>
      <c r="E71" s="243"/>
      <c r="F71" s="243"/>
    </row>
    <row r="72" spans="1:6">
      <c r="A72" s="440">
        <f t="shared" si="5"/>
        <v>66</v>
      </c>
      <c r="B72" s="440" t="str">
        <f t="shared" si="6"/>
        <v>31 (10)</v>
      </c>
      <c r="C72" s="242" t="s">
        <v>286</v>
      </c>
      <c r="D72" s="244">
        <v>5.5014E-2</v>
      </c>
      <c r="E72" s="244">
        <f>+'(JAP4) PriVolt RD'!G17</f>
        <v>5.5407999999999999E-2</v>
      </c>
      <c r="F72" s="244">
        <f>+E72-D72</f>
        <v>3.9399999999999852E-4</v>
      </c>
    </row>
    <row r="73" spans="1:6">
      <c r="A73" s="440">
        <f t="shared" si="5"/>
        <v>67</v>
      </c>
      <c r="B73" s="440" t="str">
        <f t="shared" si="6"/>
        <v>31 (10)</v>
      </c>
      <c r="C73" s="247"/>
    </row>
    <row r="74" spans="1:6">
      <c r="A74" s="440">
        <f t="shared" si="5"/>
        <v>68</v>
      </c>
      <c r="B74" s="440" t="str">
        <f t="shared" si="6"/>
        <v>31 (10)</v>
      </c>
      <c r="C74" s="242" t="s">
        <v>271</v>
      </c>
      <c r="D74" s="243">
        <v>11.46</v>
      </c>
      <c r="E74" s="243">
        <f>+'(JAP4) PriVolt RD'!G23</f>
        <v>11.54</v>
      </c>
      <c r="F74" s="243">
        <f>+E74-D74</f>
        <v>7.9999999999998295E-2</v>
      </c>
    </row>
    <row r="75" spans="1:6">
      <c r="A75" s="440">
        <f t="shared" si="5"/>
        <v>69</v>
      </c>
      <c r="B75" s="440" t="str">
        <f t="shared" si="6"/>
        <v>31 (10)</v>
      </c>
      <c r="C75" s="242" t="s">
        <v>272</v>
      </c>
      <c r="D75" s="243">
        <v>7.64</v>
      </c>
      <c r="E75" s="243">
        <f>+'(JAP4) PriVolt RD'!G24</f>
        <v>7.69</v>
      </c>
      <c r="F75" s="243">
        <f>+E75-D75</f>
        <v>5.0000000000000711E-2</v>
      </c>
    </row>
    <row r="76" spans="1:6">
      <c r="A76" s="440">
        <f t="shared" si="5"/>
        <v>70</v>
      </c>
      <c r="B76" s="440" t="str">
        <f t="shared" si="6"/>
        <v>31 (10)</v>
      </c>
      <c r="C76" s="242"/>
      <c r="D76" s="243"/>
      <c r="E76" s="243"/>
      <c r="F76" s="243"/>
    </row>
    <row r="77" spans="1:6">
      <c r="A77" s="440">
        <f t="shared" si="5"/>
        <v>71</v>
      </c>
      <c r="B77" s="440" t="str">
        <f t="shared" si="6"/>
        <v>31 (10)</v>
      </c>
      <c r="C77" s="242" t="s">
        <v>267</v>
      </c>
      <c r="D77" s="248">
        <v>1.07E-3</v>
      </c>
      <c r="E77" s="248">
        <f>+'(JAP4) PriVolt RD'!G27</f>
        <v>1.08E-3</v>
      </c>
      <c r="F77" s="248">
        <f>+E77-D77</f>
        <v>1.0000000000000026E-5</v>
      </c>
    </row>
    <row r="78" spans="1:6">
      <c r="A78" s="440">
        <f t="shared" si="5"/>
        <v>72</v>
      </c>
    </row>
    <row r="79" spans="1:6">
      <c r="A79" s="440">
        <f t="shared" si="5"/>
        <v>73</v>
      </c>
      <c r="B79" s="440">
        <v>35</v>
      </c>
      <c r="C79" s="245" t="s">
        <v>287</v>
      </c>
    </row>
    <row r="80" spans="1:6">
      <c r="A80" s="440">
        <f t="shared" si="5"/>
        <v>74</v>
      </c>
      <c r="B80" s="440">
        <f>+$B$79</f>
        <v>35</v>
      </c>
      <c r="C80" s="242" t="s">
        <v>260</v>
      </c>
      <c r="D80" s="243">
        <v>343.66</v>
      </c>
      <c r="E80" s="243">
        <f>+'(JAP4) PriVolt RD'!G37</f>
        <v>346.09</v>
      </c>
      <c r="F80" s="243">
        <f>+E80-D80</f>
        <v>2.42999999999995</v>
      </c>
    </row>
    <row r="81" spans="1:6">
      <c r="A81" s="440">
        <f t="shared" si="5"/>
        <v>75</v>
      </c>
      <c r="B81" s="440">
        <f t="shared" ref="B81:B87" si="7">+$B$79</f>
        <v>35</v>
      </c>
      <c r="C81" s="242"/>
      <c r="D81" s="243"/>
      <c r="E81" s="243"/>
      <c r="F81" s="243"/>
    </row>
    <row r="82" spans="1:6">
      <c r="A82" s="440">
        <f t="shared" si="5"/>
        <v>76</v>
      </c>
      <c r="B82" s="440">
        <f t="shared" si="7"/>
        <v>35</v>
      </c>
      <c r="C82" s="242" t="s">
        <v>286</v>
      </c>
      <c r="D82" s="244">
        <v>4.9973999999999998E-2</v>
      </c>
      <c r="E82" s="244">
        <f>+'(JAP4) PriVolt RD'!G39</f>
        <v>5.0811999999999996E-2</v>
      </c>
      <c r="F82" s="244">
        <f>+E82-D82</f>
        <v>8.3799999999999847E-4</v>
      </c>
    </row>
    <row r="83" spans="1:6">
      <c r="A83" s="440">
        <f t="shared" si="5"/>
        <v>77</v>
      </c>
      <c r="B83" s="440">
        <f t="shared" si="7"/>
        <v>35</v>
      </c>
      <c r="C83" s="247"/>
    </row>
    <row r="84" spans="1:6">
      <c r="A84" s="440">
        <f t="shared" si="5"/>
        <v>78</v>
      </c>
      <c r="B84" s="440">
        <f t="shared" si="7"/>
        <v>35</v>
      </c>
      <c r="C84" s="242" t="s">
        <v>288</v>
      </c>
      <c r="D84" s="243">
        <v>4.62</v>
      </c>
      <c r="E84" s="243">
        <f>+'(JAP4) PriVolt RD'!G45</f>
        <v>4.7</v>
      </c>
      <c r="F84" s="243">
        <f>+E84-D84</f>
        <v>8.0000000000000071E-2</v>
      </c>
    </row>
    <row r="85" spans="1:6">
      <c r="A85" s="440">
        <f t="shared" si="5"/>
        <v>79</v>
      </c>
      <c r="B85" s="440">
        <f t="shared" si="7"/>
        <v>35</v>
      </c>
      <c r="C85" s="242" t="s">
        <v>289</v>
      </c>
      <c r="D85" s="243">
        <v>3.08</v>
      </c>
      <c r="E85" s="243">
        <f>+'(JAP4) PriVolt RD'!G46</f>
        <v>3.13</v>
      </c>
      <c r="F85" s="243">
        <f>+E85-D85</f>
        <v>4.9999999999999822E-2</v>
      </c>
    </row>
    <row r="86" spans="1:6">
      <c r="A86" s="440">
        <f t="shared" si="5"/>
        <v>80</v>
      </c>
      <c r="B86" s="440">
        <f t="shared" si="7"/>
        <v>35</v>
      </c>
      <c r="C86" s="242"/>
      <c r="D86" s="243"/>
      <c r="E86" s="243"/>
      <c r="F86" s="243"/>
    </row>
    <row r="87" spans="1:6">
      <c r="A87" s="440">
        <f t="shared" si="5"/>
        <v>81</v>
      </c>
      <c r="B87" s="440">
        <f t="shared" si="7"/>
        <v>35</v>
      </c>
      <c r="C87" s="242" t="s">
        <v>267</v>
      </c>
      <c r="D87" s="248">
        <v>1.1100000000000001E-3</v>
      </c>
      <c r="E87" s="248">
        <f>+'(JAP4) PriVolt RD'!G49</f>
        <v>1.1299999999999999E-3</v>
      </c>
      <c r="F87" s="248">
        <f>+E87-D87</f>
        <v>1.9999999999999836E-5</v>
      </c>
    </row>
    <row r="88" spans="1:6">
      <c r="A88" s="440">
        <f t="shared" si="5"/>
        <v>82</v>
      </c>
    </row>
    <row r="89" spans="1:6">
      <c r="A89" s="440">
        <f t="shared" si="5"/>
        <v>83</v>
      </c>
      <c r="B89" s="440">
        <v>43</v>
      </c>
      <c r="C89" s="245" t="s">
        <v>290</v>
      </c>
    </row>
    <row r="90" spans="1:6">
      <c r="A90" s="440">
        <f t="shared" si="5"/>
        <v>84</v>
      </c>
      <c r="B90" s="440">
        <f>+$B$89</f>
        <v>43</v>
      </c>
      <c r="C90" s="242" t="s">
        <v>260</v>
      </c>
      <c r="D90" s="243">
        <v>343.66</v>
      </c>
      <c r="E90" s="243">
        <f>+'(JAP4) PriVolt RD'!G60</f>
        <v>346.09</v>
      </c>
      <c r="F90" s="243">
        <f>+E90-D90</f>
        <v>2.42999999999995</v>
      </c>
    </row>
    <row r="91" spans="1:6">
      <c r="A91" s="440">
        <f t="shared" si="5"/>
        <v>85</v>
      </c>
      <c r="B91" s="440">
        <f t="shared" ref="B91:B98" si="8">+$B$89</f>
        <v>43</v>
      </c>
      <c r="C91" s="242"/>
      <c r="D91" s="243"/>
      <c r="E91" s="243"/>
      <c r="F91" s="243"/>
    </row>
    <row r="92" spans="1:6">
      <c r="A92" s="440">
        <f t="shared" si="5"/>
        <v>86</v>
      </c>
      <c r="B92" s="440">
        <f t="shared" si="8"/>
        <v>43</v>
      </c>
      <c r="C92" s="242" t="s">
        <v>286</v>
      </c>
      <c r="D92" s="244">
        <v>5.7135999999999999E-2</v>
      </c>
      <c r="E92" s="244">
        <f>+'(JAP4) PriVolt RD'!G62</f>
        <v>5.7894000000000001E-2</v>
      </c>
      <c r="F92" s="244">
        <f>+E92-D92</f>
        <v>7.5800000000000173E-4</v>
      </c>
    </row>
    <row r="93" spans="1:6">
      <c r="A93" s="440">
        <f t="shared" si="5"/>
        <v>87</v>
      </c>
      <c r="B93" s="440">
        <f t="shared" si="8"/>
        <v>43</v>
      </c>
      <c r="C93" s="247"/>
    </row>
    <row r="94" spans="1:6">
      <c r="A94" s="440">
        <f t="shared" si="5"/>
        <v>88</v>
      </c>
      <c r="B94" s="440">
        <f t="shared" si="8"/>
        <v>43</v>
      </c>
      <c r="C94" s="242" t="s">
        <v>291</v>
      </c>
      <c r="D94" s="243">
        <v>4.8099999999999996</v>
      </c>
      <c r="E94" s="243">
        <f>+'(JAP4) PriVolt RD'!G68</f>
        <v>4.84</v>
      </c>
      <c r="F94" s="243">
        <f>+E94-D94</f>
        <v>3.0000000000000249E-2</v>
      </c>
    </row>
    <row r="95" spans="1:6">
      <c r="A95" s="440">
        <f t="shared" si="5"/>
        <v>89</v>
      </c>
      <c r="B95" s="440">
        <f t="shared" si="8"/>
        <v>43</v>
      </c>
      <c r="C95" s="242"/>
      <c r="D95" s="243"/>
      <c r="E95" s="243"/>
      <c r="F95" s="243"/>
    </row>
    <row r="96" spans="1:6">
      <c r="A96" s="440">
        <f t="shared" si="5"/>
        <v>90</v>
      </c>
      <c r="B96" s="440">
        <f t="shared" si="8"/>
        <v>43</v>
      </c>
      <c r="C96" s="242" t="s">
        <v>292</v>
      </c>
      <c r="D96" s="243">
        <v>6.65</v>
      </c>
      <c r="E96" s="243">
        <f>+'(JAP4) PriVolt RD'!G71</f>
        <v>6.7</v>
      </c>
      <c r="F96" s="243">
        <f>+E96-D96</f>
        <v>4.9999999999999822E-2</v>
      </c>
    </row>
    <row r="97" spans="1:6">
      <c r="A97" s="440">
        <f t="shared" si="5"/>
        <v>91</v>
      </c>
      <c r="B97" s="440">
        <f t="shared" si="8"/>
        <v>43</v>
      </c>
      <c r="D97" s="243"/>
      <c r="E97" s="243"/>
      <c r="F97" s="243"/>
    </row>
    <row r="98" spans="1:6">
      <c r="A98" s="440">
        <f t="shared" si="5"/>
        <v>92</v>
      </c>
      <c r="B98" s="440">
        <f t="shared" si="8"/>
        <v>43</v>
      </c>
      <c r="C98" s="242" t="s">
        <v>267</v>
      </c>
      <c r="D98" s="248">
        <v>3.0400000000000002E-3</v>
      </c>
      <c r="E98" s="248">
        <f>+'(JAP4) PriVolt RD'!G73</f>
        <v>3.0599999999999998E-3</v>
      </c>
      <c r="F98" s="248">
        <f>+E98-D98</f>
        <v>1.9999999999999619E-5</v>
      </c>
    </row>
    <row r="99" spans="1:6">
      <c r="A99" s="440">
        <f t="shared" si="5"/>
        <v>93</v>
      </c>
    </row>
    <row r="100" spans="1:6">
      <c r="A100" s="440">
        <f t="shared" si="5"/>
        <v>94</v>
      </c>
      <c r="B100" s="250"/>
      <c r="C100" s="250"/>
      <c r="D100" s="250"/>
      <c r="E100" s="250"/>
      <c r="F100" s="250"/>
    </row>
    <row r="101" spans="1:6">
      <c r="A101" s="440">
        <f t="shared" si="5"/>
        <v>95</v>
      </c>
      <c r="B101" s="251">
        <v>40</v>
      </c>
      <c r="C101" s="252" t="s">
        <v>293</v>
      </c>
      <c r="D101" s="250"/>
      <c r="E101" s="250"/>
      <c r="F101" s="250"/>
    </row>
    <row r="102" spans="1:6">
      <c r="A102" s="440">
        <f t="shared" si="5"/>
        <v>96</v>
      </c>
      <c r="B102" s="251">
        <f>+$B$101</f>
        <v>40</v>
      </c>
      <c r="C102" s="253" t="s">
        <v>260</v>
      </c>
      <c r="D102" s="254"/>
      <c r="E102" s="254"/>
      <c r="F102" s="254"/>
    </row>
    <row r="103" spans="1:6">
      <c r="A103" s="440">
        <f t="shared" si="5"/>
        <v>97</v>
      </c>
      <c r="B103" s="251">
        <f t="shared" ref="B103:B148" si="9">+$B$101</f>
        <v>40</v>
      </c>
      <c r="C103" s="261" t="s">
        <v>294</v>
      </c>
      <c r="D103" s="254">
        <v>52.3</v>
      </c>
      <c r="E103" s="254">
        <f>+'(JAP4) CAMP RD'!H15</f>
        <v>52.67</v>
      </c>
      <c r="F103" s="254">
        <f>+E103-D103</f>
        <v>0.37000000000000455</v>
      </c>
    </row>
    <row r="104" spans="1:6">
      <c r="A104" s="440">
        <f t="shared" si="5"/>
        <v>98</v>
      </c>
      <c r="B104" s="251">
        <f t="shared" si="9"/>
        <v>40</v>
      </c>
      <c r="C104" s="262" t="s">
        <v>295</v>
      </c>
      <c r="D104" s="254">
        <v>105.74</v>
      </c>
      <c r="E104" s="254">
        <f>+'(JAP4) CAMP RD'!H16</f>
        <v>106.49</v>
      </c>
      <c r="F104" s="254">
        <f>+E104-D104</f>
        <v>0.75</v>
      </c>
    </row>
    <row r="105" spans="1:6">
      <c r="A105" s="440">
        <f t="shared" si="5"/>
        <v>99</v>
      </c>
      <c r="B105" s="251">
        <f t="shared" si="9"/>
        <v>40</v>
      </c>
      <c r="C105" s="261" t="s">
        <v>145</v>
      </c>
      <c r="D105" s="254">
        <v>343.66</v>
      </c>
      <c r="E105" s="254">
        <f>+'(JAP4) CAMP RD'!H17</f>
        <v>346.09</v>
      </c>
      <c r="F105" s="254">
        <f>+E105-D105</f>
        <v>2.42999999999995</v>
      </c>
    </row>
    <row r="106" spans="1:6">
      <c r="A106" s="440">
        <f t="shared" si="5"/>
        <v>100</v>
      </c>
      <c r="B106" s="251">
        <f t="shared" si="9"/>
        <v>40</v>
      </c>
      <c r="C106" s="253"/>
      <c r="D106" s="254"/>
      <c r="E106" s="254"/>
      <c r="F106" s="254"/>
    </row>
    <row r="107" spans="1:6">
      <c r="A107" s="440">
        <f t="shared" si="5"/>
        <v>101</v>
      </c>
      <c r="B107" s="251">
        <f t="shared" si="9"/>
        <v>40</v>
      </c>
      <c r="C107" s="253" t="s">
        <v>296</v>
      </c>
      <c r="D107" s="227"/>
      <c r="E107" s="227"/>
      <c r="F107" s="227"/>
    </row>
    <row r="108" spans="1:6">
      <c r="A108" s="440">
        <f t="shared" si="5"/>
        <v>102</v>
      </c>
      <c r="B108" s="251">
        <f t="shared" si="9"/>
        <v>40</v>
      </c>
      <c r="C108" s="261" t="s">
        <v>294</v>
      </c>
      <c r="D108" s="227">
        <v>5.3848E-2</v>
      </c>
      <c r="E108" s="227">
        <f>+'(JAP4) CAMP RD'!H21</f>
        <v>5.4226000000000003E-2</v>
      </c>
      <c r="F108" s="227">
        <f>+E108-D108</f>
        <v>3.7800000000000333E-4</v>
      </c>
    </row>
    <row r="109" spans="1:6">
      <c r="A109" s="440">
        <f t="shared" si="5"/>
        <v>103</v>
      </c>
      <c r="B109" s="251">
        <f t="shared" si="9"/>
        <v>40</v>
      </c>
      <c r="C109" s="262" t="s">
        <v>295</v>
      </c>
      <c r="D109" s="227">
        <v>5.3848E-2</v>
      </c>
      <c r="E109" s="227">
        <f>+E108</f>
        <v>5.4226000000000003E-2</v>
      </c>
      <c r="F109" s="227">
        <f>+E109-D109</f>
        <v>3.7800000000000333E-4</v>
      </c>
    </row>
    <row r="110" spans="1:6">
      <c r="A110" s="440">
        <f t="shared" si="5"/>
        <v>104</v>
      </c>
      <c r="B110" s="251">
        <f t="shared" si="9"/>
        <v>40</v>
      </c>
      <c r="C110" s="261" t="s">
        <v>145</v>
      </c>
      <c r="D110" s="227">
        <v>5.1728999999999997E-2</v>
      </c>
      <c r="E110" s="227">
        <f>+'(JAP4) CAMP RD'!H22</f>
        <v>5.2091999999999999E-2</v>
      </c>
      <c r="F110" s="227">
        <f>+E110-D110</f>
        <v>3.6300000000000221E-4</v>
      </c>
    </row>
    <row r="111" spans="1:6">
      <c r="A111" s="440">
        <f t="shared" si="5"/>
        <v>105</v>
      </c>
      <c r="B111" s="251">
        <f t="shared" si="9"/>
        <v>40</v>
      </c>
      <c r="C111" s="261" t="s">
        <v>297</v>
      </c>
      <c r="D111" s="227">
        <v>5.0738999999999999E-2</v>
      </c>
      <c r="E111" s="227">
        <f>+'(JAP4) CAMP RD'!G58</f>
        <v>5.1095000000000002E-2</v>
      </c>
      <c r="F111" s="227">
        <f>+E111-D111</f>
        <v>3.5600000000000215E-4</v>
      </c>
    </row>
    <row r="112" spans="1:6">
      <c r="A112" s="440">
        <f t="shared" si="5"/>
        <v>106</v>
      </c>
      <c r="B112" s="251">
        <f t="shared" si="9"/>
        <v>40</v>
      </c>
      <c r="C112" s="261"/>
      <c r="D112" s="250"/>
      <c r="E112" s="250"/>
      <c r="F112" s="250"/>
    </row>
    <row r="113" spans="1:6">
      <c r="A113" s="440">
        <f t="shared" si="5"/>
        <v>107</v>
      </c>
      <c r="B113" s="251">
        <f t="shared" si="9"/>
        <v>40</v>
      </c>
      <c r="C113" s="253" t="s">
        <v>323</v>
      </c>
      <c r="D113" s="254"/>
      <c r="E113" s="254"/>
      <c r="F113" s="254"/>
    </row>
    <row r="114" spans="1:6">
      <c r="A114" s="440">
        <f t="shared" si="5"/>
        <v>108</v>
      </c>
      <c r="B114" s="251">
        <f t="shared" si="9"/>
        <v>40</v>
      </c>
      <c r="C114" s="262" t="s">
        <v>149</v>
      </c>
      <c r="D114" s="254">
        <v>6.13</v>
      </c>
      <c r="E114" s="254">
        <f>+'(JAP4) CAMP RD'!H29</f>
        <v>6.17</v>
      </c>
      <c r="F114" s="254">
        <f>+E114-D114</f>
        <v>4.0000000000000036E-2</v>
      </c>
    </row>
    <row r="115" spans="1:6">
      <c r="A115" s="440">
        <f t="shared" si="5"/>
        <v>109</v>
      </c>
      <c r="B115" s="251">
        <f t="shared" si="9"/>
        <v>40</v>
      </c>
      <c r="C115" s="261" t="s">
        <v>145</v>
      </c>
      <c r="D115" s="254">
        <v>5.88</v>
      </c>
      <c r="E115" s="254">
        <f>+'(JAP4) CAMP RD'!H30</f>
        <v>5.93</v>
      </c>
      <c r="F115" s="254">
        <f>+E115-D115</f>
        <v>4.9999999999999822E-2</v>
      </c>
    </row>
    <row r="116" spans="1:6">
      <c r="A116" s="440">
        <f t="shared" si="5"/>
        <v>110</v>
      </c>
      <c r="B116" s="251">
        <f t="shared" si="9"/>
        <v>40</v>
      </c>
      <c r="C116" s="261" t="s">
        <v>297</v>
      </c>
      <c r="D116" s="254">
        <v>5.77</v>
      </c>
      <c r="E116" s="254">
        <f>+'(JAP4) CAMP RD'!G54</f>
        <v>5.81</v>
      </c>
      <c r="F116" s="254">
        <f>+E116-D116</f>
        <v>4.0000000000000036E-2</v>
      </c>
    </row>
    <row r="117" spans="1:6">
      <c r="A117" s="440">
        <f t="shared" si="5"/>
        <v>111</v>
      </c>
      <c r="B117" s="251">
        <f t="shared" si="9"/>
        <v>40</v>
      </c>
      <c r="C117" s="253"/>
      <c r="D117" s="254"/>
      <c r="E117" s="254"/>
      <c r="F117" s="254"/>
    </row>
    <row r="118" spans="1:6">
      <c r="A118" s="440">
        <f t="shared" si="5"/>
        <v>112</v>
      </c>
      <c r="B118" s="251">
        <f t="shared" si="9"/>
        <v>40</v>
      </c>
      <c r="C118" s="253" t="s">
        <v>267</v>
      </c>
      <c r="D118" s="255"/>
      <c r="E118" s="255"/>
      <c r="F118" s="255"/>
    </row>
    <row r="119" spans="1:6">
      <c r="A119" s="440">
        <f t="shared" si="5"/>
        <v>113</v>
      </c>
      <c r="B119" s="251">
        <f t="shared" si="9"/>
        <v>40</v>
      </c>
      <c r="C119" s="262" t="s">
        <v>149</v>
      </c>
      <c r="D119" s="255">
        <v>1.2600000000000001E-3</v>
      </c>
      <c r="E119" s="255">
        <f>+'(JAP4) CAMP RD'!H34</f>
        <v>1.2700000000000001E-3</v>
      </c>
      <c r="F119" s="255">
        <f>+E119-D119</f>
        <v>1.0000000000000026E-5</v>
      </c>
    </row>
    <row r="120" spans="1:6">
      <c r="A120" s="440">
        <f t="shared" si="5"/>
        <v>114</v>
      </c>
      <c r="B120" s="251">
        <f t="shared" si="9"/>
        <v>40</v>
      </c>
      <c r="C120" s="261" t="s">
        <v>145</v>
      </c>
      <c r="D120" s="255">
        <v>1.07E-3</v>
      </c>
      <c r="E120" s="255">
        <f>+'(JAP4) CAMP RD'!H35</f>
        <v>1.08E-3</v>
      </c>
      <c r="F120" s="255">
        <f>+E120-D120</f>
        <v>1.0000000000000026E-5</v>
      </c>
    </row>
    <row r="121" spans="1:6">
      <c r="A121" s="440">
        <f t="shared" si="5"/>
        <v>115</v>
      </c>
      <c r="B121" s="251">
        <f t="shared" si="9"/>
        <v>40</v>
      </c>
      <c r="C121" s="261"/>
      <c r="D121" s="255"/>
      <c r="E121" s="255"/>
      <c r="F121" s="255"/>
    </row>
    <row r="122" spans="1:6">
      <c r="A122" s="440">
        <f t="shared" si="5"/>
        <v>116</v>
      </c>
      <c r="B122" s="251">
        <f t="shared" si="9"/>
        <v>40</v>
      </c>
      <c r="C122" s="261" t="s">
        <v>298</v>
      </c>
      <c r="D122" s="256">
        <v>7.5999999999999998E-2</v>
      </c>
      <c r="E122" s="256">
        <f>+D122</f>
        <v>7.5999999999999998E-2</v>
      </c>
      <c r="F122" s="256">
        <f>+E122-D122</f>
        <v>0</v>
      </c>
    </row>
    <row r="123" spans="1:6">
      <c r="A123" s="440">
        <f t="shared" si="5"/>
        <v>117</v>
      </c>
      <c r="B123" s="251">
        <f t="shared" si="9"/>
        <v>40</v>
      </c>
      <c r="C123" s="262" t="s">
        <v>299</v>
      </c>
      <c r="D123" s="271">
        <v>0.44</v>
      </c>
      <c r="E123" s="271">
        <f>+D123</f>
        <v>0.44</v>
      </c>
      <c r="F123" s="271">
        <f>+E123-D123</f>
        <v>0</v>
      </c>
    </row>
    <row r="124" spans="1:6">
      <c r="A124" s="440">
        <f t="shared" si="5"/>
        <v>118</v>
      </c>
      <c r="B124" s="251">
        <f t="shared" si="9"/>
        <v>40</v>
      </c>
      <c r="C124" s="261" t="s">
        <v>300</v>
      </c>
      <c r="D124" s="256">
        <v>3.3439999999999998E-2</v>
      </c>
      <c r="E124" s="256">
        <f>+D124</f>
        <v>3.3439999999999998E-2</v>
      </c>
      <c r="F124" s="256">
        <f>+E124-D124</f>
        <v>0</v>
      </c>
    </row>
    <row r="125" spans="1:6">
      <c r="A125" s="440">
        <f t="shared" si="5"/>
        <v>119</v>
      </c>
      <c r="B125" s="251">
        <f t="shared" si="9"/>
        <v>40</v>
      </c>
      <c r="C125" s="262" t="s">
        <v>301</v>
      </c>
      <c r="D125" s="257">
        <v>0.2185</v>
      </c>
      <c r="E125" s="257">
        <f>+D125</f>
        <v>0.2185</v>
      </c>
      <c r="F125" s="257">
        <f>+E125-D125</f>
        <v>0</v>
      </c>
    </row>
    <row r="126" spans="1:6">
      <c r="A126" s="440">
        <f t="shared" si="5"/>
        <v>120</v>
      </c>
      <c r="B126" s="251">
        <f t="shared" si="9"/>
        <v>40</v>
      </c>
      <c r="C126" s="262" t="s">
        <v>302</v>
      </c>
      <c r="D126" s="257">
        <v>4.7399999999999998E-2</v>
      </c>
      <c r="E126" s="257">
        <f>+D126</f>
        <v>4.7399999999999998E-2</v>
      </c>
      <c r="F126" s="257">
        <f>+E126-D126</f>
        <v>0</v>
      </c>
    </row>
    <row r="127" spans="1:6">
      <c r="A127" s="440">
        <f t="shared" si="5"/>
        <v>121</v>
      </c>
      <c r="B127" s="251">
        <f t="shared" si="9"/>
        <v>40</v>
      </c>
      <c r="C127" s="261"/>
      <c r="D127" s="257"/>
      <c r="E127" s="257"/>
      <c r="F127" s="257"/>
    </row>
    <row r="128" spans="1:6">
      <c r="A128" s="440">
        <f t="shared" si="5"/>
        <v>122</v>
      </c>
      <c r="B128" s="251">
        <f t="shared" si="9"/>
        <v>40</v>
      </c>
      <c r="C128" s="262" t="s">
        <v>303</v>
      </c>
      <c r="D128" s="256">
        <v>9.1354726579609066E-2</v>
      </c>
      <c r="E128" s="256">
        <f>+D128</f>
        <v>9.1354726579609066E-2</v>
      </c>
      <c r="F128" s="256">
        <f>+E128-D128</f>
        <v>0</v>
      </c>
    </row>
    <row r="129" spans="1:10">
      <c r="A129" s="440">
        <f t="shared" si="5"/>
        <v>123</v>
      </c>
      <c r="B129" s="251">
        <f t="shared" si="9"/>
        <v>40</v>
      </c>
      <c r="C129" s="262"/>
      <c r="D129" s="256"/>
      <c r="E129" s="256"/>
      <c r="F129" s="256"/>
    </row>
    <row r="130" spans="1:10">
      <c r="A130" s="440">
        <f t="shared" si="5"/>
        <v>124</v>
      </c>
      <c r="B130" s="251">
        <f t="shared" si="9"/>
        <v>40</v>
      </c>
      <c r="C130" s="263" t="s">
        <v>304</v>
      </c>
      <c r="D130" s="256"/>
      <c r="E130" s="256"/>
      <c r="F130" s="256"/>
    </row>
    <row r="131" spans="1:10">
      <c r="A131" s="440">
        <f t="shared" si="5"/>
        <v>125</v>
      </c>
      <c r="B131" s="251">
        <f t="shared" si="9"/>
        <v>40</v>
      </c>
      <c r="C131" s="262" t="s">
        <v>305</v>
      </c>
      <c r="D131" s="227">
        <v>1.1266999999999999E-2</v>
      </c>
      <c r="E131" s="227">
        <f>+D131</f>
        <v>1.1266999999999999E-2</v>
      </c>
      <c r="F131" s="227">
        <f>+E131-D131</f>
        <v>0</v>
      </c>
    </row>
    <row r="132" spans="1:10">
      <c r="A132" s="440">
        <f t="shared" si="5"/>
        <v>126</v>
      </c>
      <c r="B132" s="251">
        <f t="shared" si="9"/>
        <v>40</v>
      </c>
      <c r="C132" s="262" t="s">
        <v>306</v>
      </c>
      <c r="D132" s="227">
        <v>9.528E-3</v>
      </c>
      <c r="E132" s="227">
        <f t="shared" ref="E132:E133" si="10">+D132</f>
        <v>9.528E-3</v>
      </c>
      <c r="F132" s="227">
        <f>+E132-D132</f>
        <v>0</v>
      </c>
    </row>
    <row r="133" spans="1:10">
      <c r="A133" s="440">
        <f t="shared" si="5"/>
        <v>127</v>
      </c>
      <c r="B133" s="251">
        <f t="shared" si="9"/>
        <v>40</v>
      </c>
      <c r="C133" s="262" t="s">
        <v>307</v>
      </c>
      <c r="D133" s="227">
        <v>1.4507000000000001E-2</v>
      </c>
      <c r="E133" s="227">
        <f t="shared" si="10"/>
        <v>1.4507000000000001E-2</v>
      </c>
      <c r="F133" s="227">
        <f>+E133-D133</f>
        <v>0</v>
      </c>
    </row>
    <row r="134" spans="1:10">
      <c r="A134" s="440">
        <f>+A133+1</f>
        <v>128</v>
      </c>
      <c r="B134" s="251">
        <f t="shared" si="9"/>
        <v>40</v>
      </c>
      <c r="C134" s="253"/>
      <c r="D134" s="255"/>
      <c r="E134" s="255"/>
      <c r="F134" s="255"/>
    </row>
    <row r="135" spans="1:10" ht="15">
      <c r="A135" s="440">
        <f>+A134+1</f>
        <v>129</v>
      </c>
      <c r="B135" s="251">
        <f t="shared" si="9"/>
        <v>40</v>
      </c>
      <c r="C135" s="253"/>
      <c r="D135" s="486" t="s">
        <v>889</v>
      </c>
      <c r="E135" s="486"/>
      <c r="F135" s="486" t="s">
        <v>994</v>
      </c>
      <c r="G135" s="486"/>
      <c r="H135" s="392"/>
      <c r="I135" s="392"/>
    </row>
    <row r="136" spans="1:10" ht="15">
      <c r="A136" s="440">
        <f>+A135+1</f>
        <v>130</v>
      </c>
      <c r="B136" s="251">
        <f t="shared" si="9"/>
        <v>40</v>
      </c>
      <c r="C136" s="253"/>
      <c r="D136" s="441" t="s">
        <v>886</v>
      </c>
      <c r="E136" s="441" t="s">
        <v>887</v>
      </c>
      <c r="F136" s="441" t="s">
        <v>886</v>
      </c>
      <c r="G136" s="441" t="s">
        <v>887</v>
      </c>
      <c r="H136" s="441"/>
      <c r="I136" s="441"/>
    </row>
    <row r="137" spans="1:10" s="258" customFormat="1">
      <c r="A137" s="440">
        <f>+A136+1</f>
        <v>131</v>
      </c>
      <c r="B137" s="251">
        <f t="shared" si="9"/>
        <v>40</v>
      </c>
      <c r="C137" s="391" t="s">
        <v>888</v>
      </c>
      <c r="D137" s="391"/>
      <c r="E137" s="391"/>
      <c r="F137" s="391"/>
      <c r="G137" s="391"/>
      <c r="H137" s="272"/>
      <c r="I137" s="272"/>
    </row>
    <row r="138" spans="1:10">
      <c r="A138" s="440">
        <f t="shared" ref="A138:A171" si="11">+A137+1</f>
        <v>132</v>
      </c>
      <c r="B138" s="251">
        <f t="shared" si="9"/>
        <v>40</v>
      </c>
      <c r="C138" s="253" t="s">
        <v>868</v>
      </c>
      <c r="D138" s="254">
        <v>3.160000000000001</v>
      </c>
      <c r="E138" s="254">
        <v>3.13</v>
      </c>
      <c r="F138" s="254">
        <f>+'(JAP4) CAMP RD'!S65</f>
        <v>3.16</v>
      </c>
      <c r="G138" s="254">
        <f>+'(JAP4) CAMP RD'!T65</f>
        <v>3.1300000000000008</v>
      </c>
      <c r="H138" s="243"/>
      <c r="I138" s="243"/>
      <c r="J138" s="243"/>
    </row>
    <row r="139" spans="1:10">
      <c r="A139" s="440">
        <f t="shared" si="11"/>
        <v>133</v>
      </c>
      <c r="B139" s="251">
        <f t="shared" si="9"/>
        <v>40</v>
      </c>
      <c r="C139" s="253" t="s">
        <v>869</v>
      </c>
      <c r="D139" s="254">
        <v>5.9200000000000008</v>
      </c>
      <c r="E139" s="254">
        <v>5.8999999999999995</v>
      </c>
      <c r="F139" s="254">
        <f>+'(JAP4) CAMP RD'!S66</f>
        <v>5.92</v>
      </c>
      <c r="G139" s="254">
        <f>+'(JAP4) CAMP RD'!T66</f>
        <v>5.8899999999999988</v>
      </c>
      <c r="H139" s="243"/>
      <c r="I139" s="243"/>
      <c r="J139" s="243"/>
    </row>
    <row r="140" spans="1:10">
      <c r="A140" s="440">
        <f t="shared" si="11"/>
        <v>134</v>
      </c>
      <c r="B140" s="251">
        <f t="shared" si="9"/>
        <v>40</v>
      </c>
      <c r="C140" s="253" t="s">
        <v>870</v>
      </c>
      <c r="D140" s="254">
        <v>1.5599999999999996</v>
      </c>
      <c r="E140" s="254">
        <v>1.5599999999999996</v>
      </c>
      <c r="F140" s="254">
        <f>+'(JAP4) CAMP RD'!S67</f>
        <v>1.5600000000000005</v>
      </c>
      <c r="G140" s="254">
        <f>+'(JAP4) CAMP RD'!T67</f>
        <v>1.5600000000000005</v>
      </c>
      <c r="H140" s="243"/>
      <c r="I140" s="243"/>
      <c r="J140" s="243"/>
    </row>
    <row r="141" spans="1:10">
      <c r="A141" s="440">
        <f t="shared" si="11"/>
        <v>135</v>
      </c>
      <c r="B141" s="251">
        <f t="shared" si="9"/>
        <v>40</v>
      </c>
      <c r="C141" s="253" t="s">
        <v>871</v>
      </c>
      <c r="D141" s="254">
        <v>0.59999999999999964</v>
      </c>
      <c r="E141" s="254">
        <v>0.59999999999999964</v>
      </c>
      <c r="F141" s="254">
        <f>+'(JAP4) CAMP RD'!S68</f>
        <v>0.59999999999999964</v>
      </c>
      <c r="G141" s="254">
        <f>+'(JAP4) CAMP RD'!T68</f>
        <v>0.59999999999999964</v>
      </c>
      <c r="H141" s="243"/>
      <c r="I141" s="243"/>
      <c r="J141" s="243"/>
    </row>
    <row r="142" spans="1:10">
      <c r="A142" s="440">
        <f t="shared" si="11"/>
        <v>136</v>
      </c>
      <c r="B142" s="251">
        <f t="shared" si="9"/>
        <v>40</v>
      </c>
      <c r="C142" s="253" t="s">
        <v>872</v>
      </c>
      <c r="D142" s="254">
        <v>2.6499999999999995</v>
      </c>
      <c r="E142" s="254">
        <v>2.6499999999999995</v>
      </c>
      <c r="F142" s="254">
        <f>+'(JAP4) CAMP RD'!S69</f>
        <v>2.6500000000000004</v>
      </c>
      <c r="G142" s="254">
        <f>+'(JAP4) CAMP RD'!T69</f>
        <v>2.6500000000000004</v>
      </c>
      <c r="H142" s="243"/>
      <c r="I142" s="243"/>
      <c r="J142" s="243"/>
    </row>
    <row r="143" spans="1:10">
      <c r="A143" s="440">
        <f t="shared" si="11"/>
        <v>137</v>
      </c>
      <c r="B143" s="251">
        <f t="shared" si="9"/>
        <v>40</v>
      </c>
      <c r="C143" s="253" t="s">
        <v>873</v>
      </c>
      <c r="D143" s="254">
        <v>0.45999999999999996</v>
      </c>
      <c r="E143" s="254">
        <v>0.45999999999999996</v>
      </c>
      <c r="F143" s="254">
        <f>+'(JAP4) CAMP RD'!S70</f>
        <v>0.45999999999999996</v>
      </c>
      <c r="G143" s="254">
        <f>+'(JAP4) CAMP RD'!T70</f>
        <v>0.45999999999999996</v>
      </c>
      <c r="H143" s="243"/>
      <c r="I143" s="243"/>
      <c r="J143" s="243"/>
    </row>
    <row r="144" spans="1:10">
      <c r="A144" s="440">
        <f t="shared" si="11"/>
        <v>138</v>
      </c>
      <c r="B144" s="251">
        <f t="shared" si="9"/>
        <v>40</v>
      </c>
      <c r="C144" s="253" t="s">
        <v>874</v>
      </c>
      <c r="D144" s="254">
        <v>2.6000000000000005</v>
      </c>
      <c r="E144" s="254">
        <v>2.6000000000000005</v>
      </c>
      <c r="F144" s="254">
        <f>+'(JAP4) CAMP RD'!S71</f>
        <v>2.5999999999999996</v>
      </c>
      <c r="G144" s="254">
        <f>+'(JAP4) CAMP RD'!T71</f>
        <v>2.5999999999999996</v>
      </c>
      <c r="H144" s="243"/>
      <c r="I144" s="243"/>
      <c r="J144" s="243"/>
    </row>
    <row r="145" spans="1:10">
      <c r="A145" s="440">
        <f t="shared" si="11"/>
        <v>139</v>
      </c>
      <c r="B145" s="251">
        <f t="shared" si="9"/>
        <v>40</v>
      </c>
      <c r="C145" s="253" t="s">
        <v>875</v>
      </c>
      <c r="D145" s="254">
        <v>4.9999999999999991</v>
      </c>
      <c r="E145" s="254">
        <v>4.9799999999999995</v>
      </c>
      <c r="F145" s="254">
        <f>+'(JAP4) CAMP RD'!S72</f>
        <v>5</v>
      </c>
      <c r="G145" s="254">
        <f>+'(JAP4) CAMP RD'!T72</f>
        <v>4.9800000000000004</v>
      </c>
      <c r="H145" s="243"/>
      <c r="I145" s="243"/>
      <c r="J145" s="243"/>
    </row>
    <row r="146" spans="1:10">
      <c r="A146" s="440">
        <f t="shared" si="11"/>
        <v>140</v>
      </c>
      <c r="B146" s="251">
        <f t="shared" si="9"/>
        <v>40</v>
      </c>
      <c r="C146" s="253" t="s">
        <v>876</v>
      </c>
      <c r="D146" s="254">
        <v>1.2599999999999998</v>
      </c>
      <c r="E146" s="254">
        <v>1.25</v>
      </c>
      <c r="F146" s="254">
        <f>+'(JAP4) CAMP RD'!S73</f>
        <v>1.25</v>
      </c>
      <c r="G146" s="254">
        <f>+'(JAP4) CAMP RD'!T73</f>
        <v>1.2400000000000002</v>
      </c>
      <c r="H146" s="243"/>
      <c r="I146" s="243"/>
      <c r="J146" s="243"/>
    </row>
    <row r="147" spans="1:10">
      <c r="A147" s="440">
        <f t="shared" si="11"/>
        <v>141</v>
      </c>
      <c r="B147" s="251">
        <f t="shared" si="9"/>
        <v>40</v>
      </c>
      <c r="C147" s="253" t="s">
        <v>877</v>
      </c>
      <c r="D147" s="254">
        <v>1.6800000000000006</v>
      </c>
      <c r="E147" s="254">
        <v>1.6700000000000008</v>
      </c>
      <c r="F147" s="254">
        <f>+'(JAP4) CAMP RD'!S74</f>
        <v>1.6799999999999997</v>
      </c>
      <c r="G147" s="254">
        <f>+'(JAP4) CAMP RD'!T74</f>
        <v>1.67</v>
      </c>
      <c r="H147" s="243"/>
      <c r="I147" s="243"/>
      <c r="J147" s="243"/>
    </row>
    <row r="148" spans="1:10">
      <c r="A148" s="440">
        <f t="shared" si="11"/>
        <v>142</v>
      </c>
      <c r="B148" s="251">
        <f t="shared" si="9"/>
        <v>40</v>
      </c>
      <c r="C148" s="253" t="s">
        <v>878</v>
      </c>
      <c r="D148" s="254">
        <v>0.66000000000000014</v>
      </c>
      <c r="E148" s="254">
        <v>0.66000000000000014</v>
      </c>
      <c r="F148" s="254">
        <f>+'(JAP4) CAMP RD'!S75</f>
        <v>0.66000000000000014</v>
      </c>
      <c r="G148" s="254">
        <f>+'(JAP4) CAMP RD'!T75</f>
        <v>0.65000000000000036</v>
      </c>
      <c r="H148" s="243"/>
      <c r="I148" s="243"/>
      <c r="J148" s="243"/>
    </row>
    <row r="149" spans="1:10">
      <c r="A149" s="440">
        <f t="shared" si="11"/>
        <v>143</v>
      </c>
      <c r="B149" s="251"/>
      <c r="C149" s="253"/>
      <c r="D149" s="254"/>
      <c r="E149" s="254"/>
      <c r="F149" s="254"/>
    </row>
    <row r="150" spans="1:10">
      <c r="A150" s="440">
        <f t="shared" si="11"/>
        <v>144</v>
      </c>
      <c r="B150" s="251"/>
      <c r="C150" s="253"/>
      <c r="D150" s="254"/>
      <c r="E150" s="254"/>
      <c r="F150" s="254"/>
    </row>
    <row r="151" spans="1:10">
      <c r="A151" s="440">
        <f t="shared" si="11"/>
        <v>145</v>
      </c>
    </row>
    <row r="152" spans="1:10">
      <c r="A152" s="440">
        <f t="shared" si="11"/>
        <v>146</v>
      </c>
      <c r="B152" s="440">
        <v>46</v>
      </c>
      <c r="C152" s="245" t="s">
        <v>308</v>
      </c>
    </row>
    <row r="153" spans="1:10">
      <c r="A153" s="440">
        <f t="shared" si="11"/>
        <v>147</v>
      </c>
      <c r="B153" s="440">
        <f t="shared" ref="B153:B158" si="12">+$B$152</f>
        <v>46</v>
      </c>
      <c r="C153" s="242" t="s">
        <v>286</v>
      </c>
      <c r="D153" s="244">
        <v>5.0738999999999999E-2</v>
      </c>
      <c r="E153" s="244">
        <f>+'(JAP4) HighVolt RD'!G16</f>
        <v>5.1095000000000002E-2</v>
      </c>
      <c r="F153" s="244">
        <f>+E153-D153</f>
        <v>3.5600000000000215E-4</v>
      </c>
    </row>
    <row r="154" spans="1:10">
      <c r="A154" s="440">
        <f t="shared" si="11"/>
        <v>148</v>
      </c>
      <c r="B154" s="440">
        <f t="shared" si="12"/>
        <v>46</v>
      </c>
      <c r="C154" s="247"/>
    </row>
    <row r="155" spans="1:10">
      <c r="A155" s="440">
        <f t="shared" si="11"/>
        <v>149</v>
      </c>
      <c r="B155" s="440">
        <f t="shared" si="12"/>
        <v>46</v>
      </c>
      <c r="C155" s="242" t="s">
        <v>309</v>
      </c>
      <c r="D155" s="243">
        <v>2.95</v>
      </c>
      <c r="E155" s="243">
        <f>+'(JAP4) HighVolt RD'!G20</f>
        <v>2.97</v>
      </c>
      <c r="F155" s="243">
        <f>+E155-D155</f>
        <v>2.0000000000000018E-2</v>
      </c>
    </row>
    <row r="156" spans="1:10">
      <c r="A156" s="440">
        <f t="shared" si="11"/>
        <v>150</v>
      </c>
      <c r="B156" s="440">
        <f t="shared" si="12"/>
        <v>46</v>
      </c>
      <c r="C156" s="242"/>
      <c r="D156" s="243"/>
      <c r="E156" s="243"/>
      <c r="F156" s="243"/>
    </row>
    <row r="157" spans="1:10">
      <c r="A157" s="440">
        <f t="shared" si="11"/>
        <v>151</v>
      </c>
      <c r="B157" s="440">
        <f t="shared" si="12"/>
        <v>46</v>
      </c>
      <c r="C157" s="249" t="s">
        <v>310</v>
      </c>
      <c r="D157" s="243">
        <v>35.4</v>
      </c>
      <c r="E157" s="243">
        <f>+'(JAP4) HighVolt RD'!G25</f>
        <v>35.64</v>
      </c>
      <c r="F157" s="243">
        <f>+E157-D157</f>
        <v>0.24000000000000199</v>
      </c>
    </row>
    <row r="158" spans="1:10">
      <c r="A158" s="440">
        <f t="shared" si="11"/>
        <v>152</v>
      </c>
      <c r="B158" s="440">
        <f t="shared" si="12"/>
        <v>46</v>
      </c>
      <c r="C158" s="242" t="s">
        <v>311</v>
      </c>
      <c r="D158" s="244">
        <v>4.5664999999999997E-2</v>
      </c>
      <c r="E158" s="244">
        <f>+'(JAP4) HighVolt RD'!G24</f>
        <v>4.5985999999999999E-2</v>
      </c>
      <c r="F158" s="244">
        <f>+E158-D158</f>
        <v>3.2100000000000184E-4</v>
      </c>
    </row>
    <row r="159" spans="1:10">
      <c r="A159" s="440">
        <f t="shared" si="11"/>
        <v>153</v>
      </c>
    </row>
    <row r="160" spans="1:10">
      <c r="A160" s="440">
        <f t="shared" si="11"/>
        <v>154</v>
      </c>
      <c r="B160" s="440">
        <v>49</v>
      </c>
      <c r="C160" s="259" t="s">
        <v>312</v>
      </c>
    </row>
    <row r="161" spans="1:6">
      <c r="A161" s="440">
        <f t="shared" si="11"/>
        <v>155</v>
      </c>
      <c r="B161" s="440">
        <f>+$B$160</f>
        <v>49</v>
      </c>
      <c r="C161" s="242" t="s">
        <v>286</v>
      </c>
      <c r="D161" s="244">
        <v>5.0738999999999999E-2</v>
      </c>
      <c r="E161" s="244">
        <f>+'(JAP4) HighVolt RD'!G31</f>
        <v>5.1095000000000002E-2</v>
      </c>
      <c r="F161" s="244">
        <f>+E161-D161</f>
        <v>3.5600000000000215E-4</v>
      </c>
    </row>
    <row r="162" spans="1:6">
      <c r="A162" s="440">
        <f t="shared" si="11"/>
        <v>156</v>
      </c>
      <c r="B162" s="440">
        <f>+$B$160</f>
        <v>49</v>
      </c>
      <c r="C162" s="247"/>
    </row>
    <row r="163" spans="1:6">
      <c r="A163" s="440">
        <f t="shared" si="11"/>
        <v>157</v>
      </c>
      <c r="B163" s="440">
        <f>+$B$160</f>
        <v>49</v>
      </c>
      <c r="C163" s="242" t="s">
        <v>313</v>
      </c>
      <c r="D163" s="243">
        <v>5.48</v>
      </c>
      <c r="E163" s="243">
        <f>+'(JAP4) HighVolt RD'!G35</f>
        <v>5.52</v>
      </c>
      <c r="F163" s="243">
        <f>+E163-D163</f>
        <v>3.9999999999999147E-2</v>
      </c>
    </row>
    <row r="164" spans="1:6">
      <c r="A164" s="440">
        <f t="shared" si="11"/>
        <v>158</v>
      </c>
    </row>
    <row r="165" spans="1:6">
      <c r="A165" s="440">
        <f t="shared" si="11"/>
        <v>159</v>
      </c>
      <c r="B165" s="440" t="s">
        <v>314</v>
      </c>
      <c r="C165" s="245" t="s">
        <v>315</v>
      </c>
    </row>
    <row r="166" spans="1:6">
      <c r="A166" s="440">
        <f t="shared" si="11"/>
        <v>160</v>
      </c>
      <c r="B166" s="440" t="str">
        <f t="shared" ref="B166:B167" si="13">+$B$165</f>
        <v>448 / 458</v>
      </c>
      <c r="C166" s="242" t="s">
        <v>995</v>
      </c>
    </row>
    <row r="167" spans="1:6">
      <c r="A167" s="440">
        <f t="shared" si="11"/>
        <v>161</v>
      </c>
      <c r="B167" s="440" t="str">
        <f t="shared" si="13"/>
        <v>448 / 458</v>
      </c>
      <c r="C167" s="247" t="s">
        <v>316</v>
      </c>
      <c r="D167" s="243">
        <v>2120</v>
      </c>
      <c r="E167" s="243">
        <f>+'(JAP4) TRANSP RD'!G14</f>
        <v>2140</v>
      </c>
      <c r="F167" s="243">
        <f>+E167-D167</f>
        <v>20</v>
      </c>
    </row>
    <row r="168" spans="1:6">
      <c r="A168" s="440">
        <f t="shared" si="11"/>
        <v>162</v>
      </c>
      <c r="D168" s="243"/>
      <c r="E168" s="243"/>
      <c r="F168" s="243"/>
    </row>
    <row r="169" spans="1:6">
      <c r="A169" s="440">
        <f t="shared" si="11"/>
        <v>163</v>
      </c>
      <c r="B169" s="246" t="s">
        <v>234</v>
      </c>
      <c r="C169" s="245" t="s">
        <v>317</v>
      </c>
    </row>
    <row r="170" spans="1:6">
      <c r="A170" s="440">
        <f t="shared" si="11"/>
        <v>164</v>
      </c>
      <c r="B170" s="440" t="str">
        <f t="shared" ref="B170:B171" si="14">+$B$169</f>
        <v>449 / 459</v>
      </c>
      <c r="C170" s="249" t="str">
        <f>+C166</f>
        <v>Primary &amp; High Voltage</v>
      </c>
    </row>
    <row r="171" spans="1:6">
      <c r="A171" s="440">
        <f t="shared" si="11"/>
        <v>165</v>
      </c>
      <c r="B171" s="440" t="str">
        <f t="shared" si="14"/>
        <v>449 / 459</v>
      </c>
      <c r="C171" s="247" t="s">
        <v>316</v>
      </c>
      <c r="D171" s="243">
        <v>2120</v>
      </c>
      <c r="E171" s="243">
        <f>+E167</f>
        <v>2140</v>
      </c>
      <c r="F171" s="243">
        <f>+E171-D171</f>
        <v>20</v>
      </c>
    </row>
  </sheetData>
  <sortState ref="D139:D150">
    <sortCondition ref="D139"/>
  </sortState>
  <mergeCells count="4">
    <mergeCell ref="A1:F1"/>
    <mergeCell ref="A2:F2"/>
    <mergeCell ref="D135:E135"/>
    <mergeCell ref="F135:G135"/>
  </mergeCells>
  <printOptions horizontalCentered="1"/>
  <pageMargins left="0.7" right="0.7" top="0.75" bottom="0.75" header="0.3" footer="0.3"/>
  <pageSetup scale="71" fitToHeight="0" orientation="portrait" r:id="rId1"/>
  <headerFooter alignWithMargins="0">
    <oddFooter>&amp;L&amp;F
&amp;A&amp;R2018 ERF Rate Design Workpapers
Page &amp;P of &amp;N</oddFooter>
  </headerFooter>
  <rowBreaks count="1" manualBreakCount="1">
    <brk id="6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3"/>
  <sheetViews>
    <sheetView workbookViewId="0">
      <pane xSplit="4" ySplit="5" topLeftCell="E174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D153" sqref="D153:E171"/>
    </sheetView>
  </sheetViews>
  <sheetFormatPr defaultColWidth="8.75" defaultRowHeight="15.75"/>
  <cols>
    <col min="1" max="1" width="4" style="47" bestFit="1" customWidth="1"/>
    <col min="2" max="2" width="7.125" style="47" bestFit="1" customWidth="1"/>
    <col min="3" max="3" width="30.75" style="47" bestFit="1" customWidth="1"/>
    <col min="4" max="4" width="21.25" style="47" bestFit="1" customWidth="1"/>
    <col min="5" max="7" width="8.75" style="47"/>
    <col min="8" max="9" width="9" style="47" customWidth="1"/>
    <col min="10" max="16384" width="8.75" style="47"/>
  </cols>
  <sheetData>
    <row r="1" spans="1:7">
      <c r="A1" s="238" t="s">
        <v>86</v>
      </c>
      <c r="B1" s="238"/>
      <c r="C1" s="238"/>
      <c r="D1" s="238"/>
      <c r="E1" s="238"/>
      <c r="F1" s="238"/>
    </row>
    <row r="2" spans="1:7">
      <c r="A2" s="238" t="s">
        <v>789</v>
      </c>
      <c r="B2" s="238"/>
      <c r="C2" s="238"/>
      <c r="D2" s="238"/>
      <c r="E2" s="238"/>
      <c r="F2" s="238"/>
    </row>
    <row r="3" spans="1:7">
      <c r="A3" s="238"/>
      <c r="B3" s="238"/>
      <c r="C3" s="238"/>
      <c r="D3" s="238"/>
      <c r="E3" s="238"/>
      <c r="F3" s="238"/>
    </row>
    <row r="4" spans="1:7" ht="64.5">
      <c r="A4" s="239" t="s">
        <v>208</v>
      </c>
      <c r="B4" s="239" t="s">
        <v>251</v>
      </c>
      <c r="C4" s="239" t="s">
        <v>210</v>
      </c>
      <c r="D4" s="239" t="s">
        <v>790</v>
      </c>
      <c r="E4" s="239" t="s">
        <v>998</v>
      </c>
      <c r="F4" s="239" t="s">
        <v>997</v>
      </c>
      <c r="G4" s="239" t="s">
        <v>1025</v>
      </c>
    </row>
    <row r="5" spans="1:7">
      <c r="A5" s="272"/>
      <c r="B5" s="272"/>
      <c r="C5" s="272"/>
      <c r="D5" s="440"/>
      <c r="E5" s="241" t="s">
        <v>213</v>
      </c>
      <c r="F5" s="241" t="s">
        <v>214</v>
      </c>
      <c r="G5" s="241" t="s">
        <v>1020</v>
      </c>
    </row>
    <row r="6" spans="1:7">
      <c r="A6" s="440">
        <v>1</v>
      </c>
      <c r="B6" s="440">
        <v>50</v>
      </c>
      <c r="C6" s="259" t="s">
        <v>791</v>
      </c>
      <c r="D6" s="440" t="s">
        <v>792</v>
      </c>
      <c r="E6" s="243">
        <v>0.68</v>
      </c>
      <c r="F6" s="243">
        <f>+'(JAP4) LIGHT Sum'!G30</f>
        <v>0.68</v>
      </c>
      <c r="G6" s="243">
        <f>+F6-E6</f>
        <v>0</v>
      </c>
    </row>
    <row r="7" spans="1:7">
      <c r="A7" s="440">
        <f>+A6+1</f>
        <v>2</v>
      </c>
      <c r="B7" s="440">
        <f>+$B$6</f>
        <v>50</v>
      </c>
      <c r="C7" s="272" t="s">
        <v>793</v>
      </c>
      <c r="D7" s="440" t="s">
        <v>794</v>
      </c>
      <c r="E7" s="243">
        <v>5.19</v>
      </c>
      <c r="F7" s="243">
        <f>+'(JAP4) LIGHT Sum'!G32</f>
        <v>5.23</v>
      </c>
      <c r="G7" s="243">
        <f>+F7-E7</f>
        <v>4.0000000000000036E-2</v>
      </c>
    </row>
    <row r="8" spans="1:7">
      <c r="A8" s="440">
        <f t="shared" ref="A8:A71" si="0">+A7+1</f>
        <v>3</v>
      </c>
      <c r="B8" s="440">
        <f>+B7</f>
        <v>50</v>
      </c>
      <c r="C8" s="272" t="s">
        <v>793</v>
      </c>
      <c r="D8" s="440" t="s">
        <v>795</v>
      </c>
      <c r="E8" s="243">
        <v>7.5</v>
      </c>
      <c r="F8" s="243">
        <f>+'(JAP4) LIGHT Sum'!G33</f>
        <v>7.55</v>
      </c>
      <c r="G8" s="243">
        <f>+F8-E8</f>
        <v>4.9999999999999822E-2</v>
      </c>
    </row>
    <row r="9" spans="1:7">
      <c r="A9" s="440">
        <f t="shared" si="0"/>
        <v>4</v>
      </c>
      <c r="B9" s="440">
        <f>+B8</f>
        <v>50</v>
      </c>
      <c r="C9" s="272" t="s">
        <v>793</v>
      </c>
      <c r="D9" s="440" t="s">
        <v>796</v>
      </c>
      <c r="E9" s="243">
        <v>14.45</v>
      </c>
      <c r="F9" s="243">
        <f>+'(JAP4) LIGHT Sum'!G34</f>
        <v>14.52</v>
      </c>
      <c r="G9" s="243">
        <f>+F9-E9</f>
        <v>7.0000000000000284E-2</v>
      </c>
    </row>
    <row r="10" spans="1:7">
      <c r="A10" s="440">
        <f t="shared" si="0"/>
        <v>5</v>
      </c>
      <c r="B10" s="440"/>
      <c r="C10" s="272"/>
      <c r="D10" s="440"/>
      <c r="E10" s="243"/>
      <c r="F10" s="243"/>
      <c r="G10" s="243"/>
    </row>
    <row r="11" spans="1:7">
      <c r="A11" s="440">
        <f t="shared" si="0"/>
        <v>6</v>
      </c>
      <c r="B11" s="440">
        <f>+$B$6</f>
        <v>50</v>
      </c>
      <c r="C11" s="272" t="s">
        <v>797</v>
      </c>
      <c r="D11" s="440" t="s">
        <v>794</v>
      </c>
      <c r="E11" s="243">
        <v>3.09</v>
      </c>
      <c r="F11" s="243">
        <f>+'(JAP4) LIGHT Sum'!G36</f>
        <v>3.0999999999999996</v>
      </c>
      <c r="G11" s="243">
        <f t="shared" ref="G11:G29" si="1">+F11-E11</f>
        <v>9.9999999999997868E-3</v>
      </c>
    </row>
    <row r="12" spans="1:7">
      <c r="A12" s="440">
        <f t="shared" si="0"/>
        <v>7</v>
      </c>
      <c r="B12" s="440">
        <f>+$B$6</f>
        <v>50</v>
      </c>
      <c r="C12" s="272" t="s">
        <v>797</v>
      </c>
      <c r="D12" s="440" t="s">
        <v>795</v>
      </c>
      <c r="E12" s="243">
        <v>5.4</v>
      </c>
      <c r="F12" s="243">
        <f>+'(JAP4) LIGHT Sum'!G37</f>
        <v>5.41</v>
      </c>
      <c r="G12" s="243">
        <f t="shared" si="1"/>
        <v>9.9999999999997868E-3</v>
      </c>
    </row>
    <row r="13" spans="1:7">
      <c r="A13" s="440">
        <f t="shared" si="0"/>
        <v>8</v>
      </c>
      <c r="B13" s="440">
        <f>+$B$6</f>
        <v>50</v>
      </c>
      <c r="C13" s="272" t="s">
        <v>797</v>
      </c>
      <c r="D13" s="440" t="s">
        <v>796</v>
      </c>
      <c r="E13" s="243">
        <v>12.35</v>
      </c>
      <c r="F13" s="243">
        <f>+'(JAP4) LIGHT Sum'!G38</f>
        <v>12.379999999999999</v>
      </c>
      <c r="G13" s="243">
        <f t="shared" si="1"/>
        <v>2.9999999999999361E-2</v>
      </c>
    </row>
    <row r="14" spans="1:7">
      <c r="A14" s="440">
        <f t="shared" si="0"/>
        <v>9</v>
      </c>
      <c r="B14" s="440">
        <f>+$B$6</f>
        <v>50</v>
      </c>
      <c r="C14" s="272" t="s">
        <v>797</v>
      </c>
      <c r="D14" s="440" t="s">
        <v>798</v>
      </c>
      <c r="E14" s="243">
        <v>21.61</v>
      </c>
      <c r="F14" s="243">
        <f>+'(JAP4) LIGHT Sum'!G39</f>
        <v>21.669999999999998</v>
      </c>
      <c r="G14" s="243">
        <f t="shared" si="1"/>
        <v>5.9999999999998721E-2</v>
      </c>
    </row>
    <row r="15" spans="1:7">
      <c r="A15" s="440">
        <f t="shared" si="0"/>
        <v>10</v>
      </c>
      <c r="B15" s="440"/>
      <c r="C15" s="272"/>
      <c r="D15" s="440"/>
      <c r="E15" s="243"/>
      <c r="F15" s="243"/>
      <c r="G15" s="243"/>
    </row>
    <row r="16" spans="1:7">
      <c r="A16" s="440">
        <f t="shared" si="0"/>
        <v>11</v>
      </c>
      <c r="B16" s="440">
        <v>51</v>
      </c>
      <c r="C16" s="272" t="s">
        <v>799</v>
      </c>
      <c r="D16" s="440" t="s">
        <v>800</v>
      </c>
      <c r="E16" s="370">
        <v>1.328E-2</v>
      </c>
      <c r="F16" s="370">
        <f>+'(JAP4) LIGHT Sum'!G105</f>
        <v>1.329E-2</v>
      </c>
      <c r="G16" s="370">
        <f t="shared" si="1"/>
        <v>9.9999999999995925E-6</v>
      </c>
    </row>
    <row r="17" spans="1:7">
      <c r="A17" s="440">
        <f t="shared" si="0"/>
        <v>12</v>
      </c>
      <c r="B17" s="440">
        <f>+$B$16</f>
        <v>51</v>
      </c>
      <c r="C17" s="272" t="s">
        <v>799</v>
      </c>
      <c r="D17" s="440" t="s">
        <v>801</v>
      </c>
      <c r="E17" s="370">
        <v>7.3999999999999999E-4</v>
      </c>
      <c r="F17" s="370">
        <f>+'(JAP4) LIGHT Sum'!G106</f>
        <v>7.5000000000000002E-4</v>
      </c>
      <c r="G17" s="370">
        <f t="shared" si="1"/>
        <v>1.0000000000000026E-5</v>
      </c>
    </row>
    <row r="18" spans="1:7">
      <c r="A18" s="440">
        <f t="shared" si="0"/>
        <v>13</v>
      </c>
      <c r="B18" s="440"/>
      <c r="C18" s="272"/>
      <c r="D18" s="440"/>
      <c r="E18" s="370"/>
      <c r="F18" s="370"/>
      <c r="G18" s="370"/>
    </row>
    <row r="19" spans="1:7">
      <c r="A19" s="440">
        <f t="shared" si="0"/>
        <v>14</v>
      </c>
      <c r="B19" s="440">
        <f t="shared" ref="B19:B27" si="2">+$B$16</f>
        <v>51</v>
      </c>
      <c r="C19" s="245" t="s">
        <v>802</v>
      </c>
      <c r="D19" s="246" t="s">
        <v>999</v>
      </c>
      <c r="E19" s="243">
        <v>1.39</v>
      </c>
      <c r="F19" s="243">
        <f>+'(JAP4) LIGHT Sum'!G50</f>
        <v>1.39</v>
      </c>
      <c r="G19" s="243">
        <f t="shared" si="1"/>
        <v>0</v>
      </c>
    </row>
    <row r="20" spans="1:7">
      <c r="A20" s="440">
        <f t="shared" si="0"/>
        <v>15</v>
      </c>
      <c r="B20" s="440">
        <f t="shared" si="2"/>
        <v>51</v>
      </c>
      <c r="C20" s="245" t="s">
        <v>802</v>
      </c>
      <c r="D20" s="246" t="s">
        <v>1000</v>
      </c>
      <c r="E20" s="243">
        <v>2.3199999999999998</v>
      </c>
      <c r="F20" s="243">
        <f>+'(JAP4) LIGHT Sum'!G56</f>
        <v>2.3299999999999996</v>
      </c>
      <c r="G20" s="243">
        <f t="shared" si="1"/>
        <v>9.9999999999997868E-3</v>
      </c>
    </row>
    <row r="21" spans="1:7">
      <c r="A21" s="440">
        <f t="shared" si="0"/>
        <v>16</v>
      </c>
      <c r="B21" s="440">
        <f t="shared" si="2"/>
        <v>51</v>
      </c>
      <c r="C21" s="245" t="s">
        <v>802</v>
      </c>
      <c r="D21" s="246" t="s">
        <v>1001</v>
      </c>
      <c r="E21" s="243">
        <v>3.24</v>
      </c>
      <c r="F21" s="243">
        <f>+'(JAP4) LIGHT Sum'!G62</f>
        <v>3.25</v>
      </c>
      <c r="G21" s="243">
        <f t="shared" si="1"/>
        <v>9.9999999999997868E-3</v>
      </c>
    </row>
    <row r="22" spans="1:7">
      <c r="A22" s="440">
        <f t="shared" si="0"/>
        <v>17</v>
      </c>
      <c r="B22" s="440">
        <f t="shared" si="2"/>
        <v>51</v>
      </c>
      <c r="C22" s="245" t="s">
        <v>802</v>
      </c>
      <c r="D22" s="246" t="s">
        <v>824</v>
      </c>
      <c r="E22" s="243">
        <v>4.17</v>
      </c>
      <c r="F22" s="243">
        <f>+'(JAP4) LIGHT Sum'!G68</f>
        <v>4.18</v>
      </c>
      <c r="G22" s="243">
        <f t="shared" si="1"/>
        <v>9.9999999999997868E-3</v>
      </c>
    </row>
    <row r="23" spans="1:7">
      <c r="A23" s="440">
        <f t="shared" si="0"/>
        <v>18</v>
      </c>
      <c r="B23" s="440">
        <f t="shared" si="2"/>
        <v>51</v>
      </c>
      <c r="C23" s="245" t="s">
        <v>802</v>
      </c>
      <c r="D23" s="246" t="s">
        <v>825</v>
      </c>
      <c r="E23" s="243">
        <v>5.09</v>
      </c>
      <c r="F23" s="243">
        <f>+'(JAP4) LIGHT Sum'!G74</f>
        <v>5.0999999999999996</v>
      </c>
      <c r="G23" s="243">
        <f t="shared" si="1"/>
        <v>9.9999999999997868E-3</v>
      </c>
    </row>
    <row r="24" spans="1:7">
      <c r="A24" s="440">
        <f t="shared" si="0"/>
        <v>19</v>
      </c>
      <c r="B24" s="440">
        <f t="shared" si="2"/>
        <v>51</v>
      </c>
      <c r="C24" s="245" t="s">
        <v>802</v>
      </c>
      <c r="D24" s="246" t="s">
        <v>826</v>
      </c>
      <c r="E24" s="243">
        <v>6.02</v>
      </c>
      <c r="F24" s="243">
        <f>+'(JAP4) LIGHT Sum'!G80</f>
        <v>6.0399999999999991</v>
      </c>
      <c r="G24" s="243">
        <f t="shared" si="1"/>
        <v>1.9999999999999574E-2</v>
      </c>
    </row>
    <row r="25" spans="1:7">
      <c r="A25" s="440">
        <f t="shared" si="0"/>
        <v>20</v>
      </c>
      <c r="B25" s="440">
        <f t="shared" si="2"/>
        <v>51</v>
      </c>
      <c r="C25" s="245" t="s">
        <v>802</v>
      </c>
      <c r="D25" s="246" t="s">
        <v>827</v>
      </c>
      <c r="E25" s="243">
        <v>6.95</v>
      </c>
      <c r="F25" s="243">
        <f>+'(JAP4) LIGHT Sum'!G86</f>
        <v>6.97</v>
      </c>
      <c r="G25" s="243">
        <f t="shared" si="1"/>
        <v>1.9999999999999574E-2</v>
      </c>
    </row>
    <row r="26" spans="1:7">
      <c r="A26" s="440">
        <f t="shared" si="0"/>
        <v>21</v>
      </c>
      <c r="B26" s="440">
        <f t="shared" si="2"/>
        <v>51</v>
      </c>
      <c r="C26" s="245" t="s">
        <v>802</v>
      </c>
      <c r="D26" s="246" t="s">
        <v>828</v>
      </c>
      <c r="E26" s="243">
        <v>7.87</v>
      </c>
      <c r="F26" s="243">
        <f>+'(JAP4) LIGHT Sum'!G92</f>
        <v>7.89</v>
      </c>
      <c r="G26" s="243">
        <f t="shared" si="1"/>
        <v>1.9999999999999574E-2</v>
      </c>
    </row>
    <row r="27" spans="1:7">
      <c r="A27" s="440">
        <f t="shared" si="0"/>
        <v>22</v>
      </c>
      <c r="B27" s="440">
        <f t="shared" si="2"/>
        <v>51</v>
      </c>
      <c r="C27" s="245" t="s">
        <v>802</v>
      </c>
      <c r="D27" s="246" t="s">
        <v>829</v>
      </c>
      <c r="E27" s="243">
        <v>8.8000000000000007</v>
      </c>
      <c r="F27" s="243">
        <f>+'(JAP4) LIGHT Sum'!G98</f>
        <v>8.82</v>
      </c>
      <c r="G27" s="243">
        <f t="shared" si="1"/>
        <v>1.9999999999999574E-2</v>
      </c>
    </row>
    <row r="28" spans="1:7">
      <c r="A28" s="440">
        <f t="shared" si="0"/>
        <v>23</v>
      </c>
      <c r="B28" s="440"/>
      <c r="C28" s="272"/>
      <c r="D28" s="440"/>
      <c r="E28" s="243"/>
      <c r="F28" s="243"/>
      <c r="G28" s="243"/>
    </row>
    <row r="29" spans="1:7">
      <c r="A29" s="440">
        <f t="shared" si="0"/>
        <v>24</v>
      </c>
      <c r="B29" s="440">
        <v>52</v>
      </c>
      <c r="C29" s="272" t="s">
        <v>803</v>
      </c>
      <c r="D29" s="440" t="s">
        <v>800</v>
      </c>
      <c r="E29" s="370">
        <v>1.4930000000000001E-2</v>
      </c>
      <c r="F29" s="370">
        <f>+'(JAP4) LIGHT Sum'!G135</f>
        <v>1.4970000000000001E-2</v>
      </c>
      <c r="G29" s="370">
        <f t="shared" si="1"/>
        <v>4.0000000000000105E-5</v>
      </c>
    </row>
    <row r="30" spans="1:7">
      <c r="A30" s="440">
        <f t="shared" si="0"/>
        <v>25</v>
      </c>
      <c r="B30" s="440">
        <f>+$B$29</f>
        <v>52</v>
      </c>
      <c r="C30" s="272" t="s">
        <v>803</v>
      </c>
      <c r="D30" s="440" t="s">
        <v>801</v>
      </c>
      <c r="E30" s="370">
        <v>2.3900000000000002E-3</v>
      </c>
      <c r="F30" s="370">
        <f>+'(JAP4) LIGHT Sum'!G136</f>
        <v>2.4300000000000003E-3</v>
      </c>
      <c r="G30" s="370">
        <f t="shared" ref="G30:G69" si="3">+F30-E30</f>
        <v>4.0000000000000105E-5</v>
      </c>
    </row>
    <row r="31" spans="1:7">
      <c r="A31" s="440">
        <f t="shared" si="0"/>
        <v>26</v>
      </c>
      <c r="B31" s="440"/>
      <c r="C31" s="272"/>
      <c r="D31" s="440"/>
      <c r="E31" s="243"/>
      <c r="F31" s="243"/>
      <c r="G31" s="243"/>
    </row>
    <row r="32" spans="1:7">
      <c r="A32" s="440">
        <f t="shared" si="0"/>
        <v>27</v>
      </c>
      <c r="B32" s="440">
        <f t="shared" ref="B32:B39" si="4">+$B$29</f>
        <v>52</v>
      </c>
      <c r="C32" s="272" t="s">
        <v>803</v>
      </c>
      <c r="D32" s="440" t="s">
        <v>804</v>
      </c>
      <c r="E32" s="243">
        <v>1.54</v>
      </c>
      <c r="F32" s="243">
        <f>+'(JAP4) LIGHT Sum'!G118</f>
        <v>1.54</v>
      </c>
      <c r="G32" s="243">
        <f t="shared" si="3"/>
        <v>0</v>
      </c>
    </row>
    <row r="33" spans="1:7">
      <c r="A33" s="440">
        <f t="shared" si="0"/>
        <v>28</v>
      </c>
      <c r="B33" s="440">
        <f t="shared" si="4"/>
        <v>52</v>
      </c>
      <c r="C33" s="272" t="s">
        <v>803</v>
      </c>
      <c r="D33" s="440" t="s">
        <v>805</v>
      </c>
      <c r="E33" s="243">
        <v>2.16</v>
      </c>
      <c r="F33" s="243">
        <f>+'(JAP4) LIGHT Sum'!G119</f>
        <v>2.17</v>
      </c>
      <c r="G33" s="243">
        <f t="shared" si="3"/>
        <v>9.9999999999997868E-3</v>
      </c>
    </row>
    <row r="34" spans="1:7">
      <c r="A34" s="440">
        <f t="shared" si="0"/>
        <v>29</v>
      </c>
      <c r="B34" s="440">
        <f t="shared" si="4"/>
        <v>52</v>
      </c>
      <c r="C34" s="272" t="s">
        <v>803</v>
      </c>
      <c r="D34" s="440" t="s">
        <v>794</v>
      </c>
      <c r="E34" s="243">
        <v>3.09</v>
      </c>
      <c r="F34" s="243">
        <f>+'(JAP4) LIGHT Sum'!G120</f>
        <v>3.0999999999999996</v>
      </c>
      <c r="G34" s="243">
        <f t="shared" si="3"/>
        <v>9.9999999999997868E-3</v>
      </c>
    </row>
    <row r="35" spans="1:7">
      <c r="A35" s="440">
        <f t="shared" si="0"/>
        <v>30</v>
      </c>
      <c r="B35" s="440">
        <f t="shared" si="4"/>
        <v>52</v>
      </c>
      <c r="C35" s="272" t="s">
        <v>803</v>
      </c>
      <c r="D35" s="440" t="s">
        <v>806</v>
      </c>
      <c r="E35" s="243">
        <v>4.63</v>
      </c>
      <c r="F35" s="243">
        <f>+'(JAP4) LIGHT Sum'!G121</f>
        <v>4.6399999999999997</v>
      </c>
      <c r="G35" s="243">
        <f t="shared" si="3"/>
        <v>9.9999999999997868E-3</v>
      </c>
    </row>
    <row r="36" spans="1:7">
      <c r="A36" s="440">
        <f t="shared" si="0"/>
        <v>31</v>
      </c>
      <c r="B36" s="440">
        <f t="shared" si="4"/>
        <v>52</v>
      </c>
      <c r="C36" s="272" t="s">
        <v>803</v>
      </c>
      <c r="D36" s="440" t="s">
        <v>807</v>
      </c>
      <c r="E36" s="243">
        <v>6.17</v>
      </c>
      <c r="F36" s="243">
        <f>+'(JAP4) LIGHT Sum'!G122</f>
        <v>6.1899999999999995</v>
      </c>
      <c r="G36" s="243">
        <f t="shared" si="3"/>
        <v>1.9999999999999574E-2</v>
      </c>
    </row>
    <row r="37" spans="1:7">
      <c r="A37" s="440">
        <f t="shared" si="0"/>
        <v>32</v>
      </c>
      <c r="B37" s="440">
        <f t="shared" si="4"/>
        <v>52</v>
      </c>
      <c r="C37" s="272" t="s">
        <v>803</v>
      </c>
      <c r="D37" s="440" t="s">
        <v>808</v>
      </c>
      <c r="E37" s="243">
        <v>7.72</v>
      </c>
      <c r="F37" s="243">
        <f>+'(JAP4) LIGHT Sum'!G123</f>
        <v>7.7399999999999993</v>
      </c>
      <c r="G37" s="243">
        <f t="shared" si="3"/>
        <v>1.9999999999999574E-2</v>
      </c>
    </row>
    <row r="38" spans="1:7">
      <c r="A38" s="440">
        <f t="shared" si="0"/>
        <v>33</v>
      </c>
      <c r="B38" s="440">
        <f t="shared" si="4"/>
        <v>52</v>
      </c>
      <c r="C38" s="272" t="s">
        <v>803</v>
      </c>
      <c r="D38" s="440" t="s">
        <v>809</v>
      </c>
      <c r="E38" s="243">
        <v>9.57</v>
      </c>
      <c r="F38" s="243">
        <f>+'(JAP4) LIGHT Sum'!G124</f>
        <v>9.6</v>
      </c>
      <c r="G38" s="243">
        <f t="shared" si="3"/>
        <v>2.9999999999999361E-2</v>
      </c>
    </row>
    <row r="39" spans="1:7">
      <c r="A39" s="440">
        <f t="shared" si="0"/>
        <v>34</v>
      </c>
      <c r="B39" s="440">
        <f t="shared" si="4"/>
        <v>52</v>
      </c>
      <c r="C39" s="272" t="s">
        <v>803</v>
      </c>
      <c r="D39" s="440" t="s">
        <v>796</v>
      </c>
      <c r="E39" s="243">
        <v>12.35</v>
      </c>
      <c r="F39" s="243">
        <f>+'(JAP4) LIGHT Sum'!G125</f>
        <v>12.379999999999999</v>
      </c>
      <c r="G39" s="243">
        <f t="shared" si="3"/>
        <v>2.9999999999999361E-2</v>
      </c>
    </row>
    <row r="40" spans="1:7">
      <c r="A40" s="440">
        <f t="shared" si="0"/>
        <v>35</v>
      </c>
      <c r="B40" s="440"/>
      <c r="C40" s="272"/>
      <c r="D40" s="440"/>
      <c r="E40" s="243"/>
      <c r="F40" s="243"/>
      <c r="G40" s="243"/>
    </row>
    <row r="41" spans="1:7">
      <c r="A41" s="440">
        <f t="shared" si="0"/>
        <v>36</v>
      </c>
      <c r="B41" s="440">
        <f t="shared" ref="B41:B47" si="5">+$B$29</f>
        <v>52</v>
      </c>
      <c r="C41" s="272" t="s">
        <v>810</v>
      </c>
      <c r="D41" s="440" t="s">
        <v>805</v>
      </c>
      <c r="E41" s="243">
        <v>2.16</v>
      </c>
      <c r="F41" s="243">
        <f>+'(JAP4) LIGHT Sum'!G127</f>
        <v>2.17</v>
      </c>
      <c r="G41" s="243">
        <f t="shared" si="3"/>
        <v>9.9999999999997868E-3</v>
      </c>
    </row>
    <row r="42" spans="1:7">
      <c r="A42" s="440">
        <f t="shared" si="0"/>
        <v>37</v>
      </c>
      <c r="B42" s="440">
        <f t="shared" si="5"/>
        <v>52</v>
      </c>
      <c r="C42" s="272" t="s">
        <v>810</v>
      </c>
      <c r="D42" s="440" t="s">
        <v>794</v>
      </c>
      <c r="E42" s="243">
        <v>3.09</v>
      </c>
      <c r="F42" s="243">
        <f>+'(JAP4) LIGHT Sum'!G128</f>
        <v>3.0999999999999996</v>
      </c>
      <c r="G42" s="243">
        <f t="shared" si="3"/>
        <v>9.9999999999997868E-3</v>
      </c>
    </row>
    <row r="43" spans="1:7">
      <c r="A43" s="440">
        <f t="shared" si="0"/>
        <v>38</v>
      </c>
      <c r="B43" s="440">
        <f t="shared" si="5"/>
        <v>52</v>
      </c>
      <c r="C43" s="272" t="s">
        <v>810</v>
      </c>
      <c r="D43" s="440" t="s">
        <v>806</v>
      </c>
      <c r="E43" s="243">
        <v>4.63</v>
      </c>
      <c r="F43" s="243">
        <f>+'(JAP4) LIGHT Sum'!G129</f>
        <v>4.6399999999999997</v>
      </c>
      <c r="G43" s="243">
        <f t="shared" si="3"/>
        <v>9.9999999999997868E-3</v>
      </c>
    </row>
    <row r="44" spans="1:7">
      <c r="A44" s="440">
        <f t="shared" si="0"/>
        <v>39</v>
      </c>
      <c r="B44" s="440">
        <f t="shared" si="5"/>
        <v>52</v>
      </c>
      <c r="C44" s="272" t="s">
        <v>810</v>
      </c>
      <c r="D44" s="440" t="s">
        <v>795</v>
      </c>
      <c r="E44" s="243">
        <v>5.4</v>
      </c>
      <c r="F44" s="243">
        <f>+'(JAP4) LIGHT Sum'!G130</f>
        <v>5.41</v>
      </c>
      <c r="G44" s="243">
        <f t="shared" si="3"/>
        <v>9.9999999999997868E-3</v>
      </c>
    </row>
    <row r="45" spans="1:7">
      <c r="A45" s="440">
        <f t="shared" si="0"/>
        <v>40</v>
      </c>
      <c r="B45" s="440">
        <f t="shared" si="5"/>
        <v>52</v>
      </c>
      <c r="C45" s="272" t="s">
        <v>810</v>
      </c>
      <c r="D45" s="440" t="s">
        <v>808</v>
      </c>
      <c r="E45" s="243">
        <v>7.72</v>
      </c>
      <c r="F45" s="243">
        <f>+'(JAP4) LIGHT Sum'!G131</f>
        <v>7.7399999999999993</v>
      </c>
      <c r="G45" s="243">
        <f t="shared" si="3"/>
        <v>1.9999999999999574E-2</v>
      </c>
    </row>
    <row r="46" spans="1:7">
      <c r="A46" s="440">
        <f t="shared" si="0"/>
        <v>41</v>
      </c>
      <c r="B46" s="440">
        <f t="shared" si="5"/>
        <v>52</v>
      </c>
      <c r="C46" s="272" t="s">
        <v>810</v>
      </c>
      <c r="D46" s="440" t="s">
        <v>796</v>
      </c>
      <c r="E46" s="243">
        <v>12.35</v>
      </c>
      <c r="F46" s="243">
        <f>+'(JAP4) LIGHT Sum'!G132</f>
        <v>12.379999999999999</v>
      </c>
      <c r="G46" s="243">
        <f t="shared" si="3"/>
        <v>2.9999999999999361E-2</v>
      </c>
    </row>
    <row r="47" spans="1:7">
      <c r="A47" s="440">
        <f t="shared" si="0"/>
        <v>42</v>
      </c>
      <c r="B47" s="440">
        <f t="shared" si="5"/>
        <v>52</v>
      </c>
      <c r="C47" s="272" t="s">
        <v>810</v>
      </c>
      <c r="D47" s="440" t="s">
        <v>811</v>
      </c>
      <c r="E47" s="243">
        <v>30.87</v>
      </c>
      <c r="F47" s="243">
        <f>+'(JAP4) LIGHT Sum'!G133</f>
        <v>30.95</v>
      </c>
      <c r="G47" s="243">
        <f t="shared" si="3"/>
        <v>7.9999999999998295E-2</v>
      </c>
    </row>
    <row r="48" spans="1:7">
      <c r="A48" s="440">
        <f t="shared" si="0"/>
        <v>43</v>
      </c>
      <c r="B48" s="440"/>
      <c r="C48" s="272"/>
      <c r="D48" s="440"/>
      <c r="E48" s="243"/>
      <c r="F48" s="243"/>
      <c r="G48" s="243"/>
    </row>
    <row r="49" spans="1:7">
      <c r="A49" s="440">
        <f t="shared" si="0"/>
        <v>44</v>
      </c>
      <c r="B49" s="440">
        <v>53</v>
      </c>
      <c r="C49" s="272" t="s">
        <v>812</v>
      </c>
      <c r="D49" s="440" t="s">
        <v>804</v>
      </c>
      <c r="E49" s="243">
        <v>10.72</v>
      </c>
      <c r="F49" s="243">
        <f>+'(JAP4) LIGHT Sum'!G149</f>
        <v>10.860000000000001</v>
      </c>
      <c r="G49" s="243">
        <f t="shared" si="3"/>
        <v>0.14000000000000057</v>
      </c>
    </row>
    <row r="50" spans="1:7">
      <c r="A50" s="440">
        <f t="shared" si="0"/>
        <v>45</v>
      </c>
      <c r="B50" s="440">
        <f>+$B$49</f>
        <v>53</v>
      </c>
      <c r="C50" s="272" t="s">
        <v>812</v>
      </c>
      <c r="D50" s="440" t="s">
        <v>805</v>
      </c>
      <c r="E50" s="243">
        <v>11.5</v>
      </c>
      <c r="F50" s="243">
        <f>+'(JAP4) LIGHT Sum'!G150</f>
        <v>11.65</v>
      </c>
      <c r="G50" s="243">
        <f t="shared" si="3"/>
        <v>0.15000000000000036</v>
      </c>
    </row>
    <row r="51" spans="1:7">
      <c r="A51" s="440">
        <f t="shared" si="0"/>
        <v>46</v>
      </c>
      <c r="B51" s="440">
        <f t="shared" ref="B51:B57" si="6">+$B$49</f>
        <v>53</v>
      </c>
      <c r="C51" s="272" t="s">
        <v>812</v>
      </c>
      <c r="D51" s="440" t="s">
        <v>794</v>
      </c>
      <c r="E51" s="243">
        <v>12.68</v>
      </c>
      <c r="F51" s="243">
        <f>+'(JAP4) LIGHT Sum'!G151</f>
        <v>12.84</v>
      </c>
      <c r="G51" s="243">
        <f t="shared" si="3"/>
        <v>0.16000000000000014</v>
      </c>
    </row>
    <row r="52" spans="1:7">
      <c r="A52" s="440">
        <f t="shared" si="0"/>
        <v>47</v>
      </c>
      <c r="B52" s="440">
        <f t="shared" si="6"/>
        <v>53</v>
      </c>
      <c r="C52" s="272" t="s">
        <v>812</v>
      </c>
      <c r="D52" s="440" t="s">
        <v>806</v>
      </c>
      <c r="E52" s="243">
        <v>14.64</v>
      </c>
      <c r="F52" s="243">
        <f>+'(JAP4) LIGHT Sum'!G152</f>
        <v>14.81</v>
      </c>
      <c r="G52" s="243">
        <f t="shared" si="3"/>
        <v>0.16999999999999993</v>
      </c>
    </row>
    <row r="53" spans="1:7">
      <c r="A53" s="440">
        <f t="shared" si="0"/>
        <v>48</v>
      </c>
      <c r="B53" s="440">
        <f t="shared" si="6"/>
        <v>53</v>
      </c>
      <c r="C53" s="272" t="s">
        <v>812</v>
      </c>
      <c r="D53" s="440" t="s">
        <v>807</v>
      </c>
      <c r="E53" s="243">
        <v>16.61</v>
      </c>
      <c r="F53" s="243">
        <f>+'(JAP4) LIGHT Sum'!G153</f>
        <v>16.79</v>
      </c>
      <c r="G53" s="243">
        <f t="shared" si="3"/>
        <v>0.17999999999999972</v>
      </c>
    </row>
    <row r="54" spans="1:7">
      <c r="A54" s="440">
        <f t="shared" si="0"/>
        <v>49</v>
      </c>
      <c r="B54" s="440">
        <f t="shared" si="6"/>
        <v>53</v>
      </c>
      <c r="C54" s="272" t="s">
        <v>812</v>
      </c>
      <c r="D54" s="440" t="s">
        <v>808</v>
      </c>
      <c r="E54" s="243">
        <v>18.57</v>
      </c>
      <c r="F54" s="243">
        <f>+'(JAP4) LIGHT Sum'!G154</f>
        <v>18.760000000000002</v>
      </c>
      <c r="G54" s="243">
        <f t="shared" si="3"/>
        <v>0.19000000000000128</v>
      </c>
    </row>
    <row r="55" spans="1:7">
      <c r="A55" s="440">
        <f t="shared" si="0"/>
        <v>50</v>
      </c>
      <c r="B55" s="440">
        <f t="shared" si="6"/>
        <v>53</v>
      </c>
      <c r="C55" s="272" t="s">
        <v>812</v>
      </c>
      <c r="D55" s="440" t="s">
        <v>809</v>
      </c>
      <c r="E55" s="243">
        <v>20.93</v>
      </c>
      <c r="F55" s="243">
        <f>+'(JAP4) LIGHT Sum'!G155</f>
        <v>21.13</v>
      </c>
      <c r="G55" s="243">
        <f t="shared" si="3"/>
        <v>0.19999999999999929</v>
      </c>
    </row>
    <row r="56" spans="1:7">
      <c r="A56" s="440">
        <f t="shared" si="0"/>
        <v>51</v>
      </c>
      <c r="B56" s="440">
        <f t="shared" si="6"/>
        <v>53</v>
      </c>
      <c r="C56" s="272" t="s">
        <v>812</v>
      </c>
      <c r="D56" s="440" t="s">
        <v>796</v>
      </c>
      <c r="E56" s="243">
        <v>24.46</v>
      </c>
      <c r="F56" s="243">
        <f>+'(JAP4) LIGHT Sum'!G156</f>
        <v>24.68</v>
      </c>
      <c r="G56" s="243">
        <f t="shared" si="3"/>
        <v>0.21999999999999886</v>
      </c>
    </row>
    <row r="57" spans="1:7">
      <c r="A57" s="440">
        <f t="shared" si="0"/>
        <v>52</v>
      </c>
      <c r="B57" s="440">
        <f t="shared" si="6"/>
        <v>53</v>
      </c>
      <c r="C57" s="272" t="s">
        <v>812</v>
      </c>
      <c r="D57" s="440" t="s">
        <v>811</v>
      </c>
      <c r="E57" s="243">
        <v>48.03</v>
      </c>
      <c r="F57" s="243">
        <f>+'(JAP4) LIGHT Sum'!G157</f>
        <v>48.38</v>
      </c>
      <c r="G57" s="243">
        <f t="shared" si="3"/>
        <v>0.35000000000000142</v>
      </c>
    </row>
    <row r="58" spans="1:7">
      <c r="A58" s="440">
        <f t="shared" si="0"/>
        <v>53</v>
      </c>
      <c r="B58" s="440"/>
      <c r="C58" s="272"/>
      <c r="D58" s="440"/>
      <c r="E58" s="243"/>
      <c r="F58" s="243"/>
      <c r="G58" s="243"/>
    </row>
    <row r="59" spans="1:7">
      <c r="A59" s="440">
        <f t="shared" si="0"/>
        <v>54</v>
      </c>
      <c r="B59" s="440">
        <f>+$B$49</f>
        <v>53</v>
      </c>
      <c r="C59" s="245" t="s">
        <v>813</v>
      </c>
      <c r="D59" s="440" t="s">
        <v>805</v>
      </c>
      <c r="E59" s="243">
        <v>14.18</v>
      </c>
      <c r="F59" s="243">
        <f>+'(JAP4) LIGHT Sum'!G159</f>
        <v>14.37</v>
      </c>
      <c r="G59" s="243">
        <f t="shared" si="3"/>
        <v>0.1899999999999995</v>
      </c>
    </row>
    <row r="60" spans="1:7">
      <c r="A60" s="440">
        <f t="shared" si="0"/>
        <v>55</v>
      </c>
      <c r="B60" s="440">
        <f>+$B$49</f>
        <v>53</v>
      </c>
      <c r="C60" s="245" t="s">
        <v>813</v>
      </c>
      <c r="D60" s="440" t="s">
        <v>794</v>
      </c>
      <c r="E60" s="243">
        <v>15.44</v>
      </c>
      <c r="F60" s="243">
        <f>+'(JAP4) LIGHT Sum'!G160</f>
        <v>15.639999999999999</v>
      </c>
      <c r="G60" s="243">
        <f t="shared" si="3"/>
        <v>0.19999999999999929</v>
      </c>
    </row>
    <row r="61" spans="1:7">
      <c r="A61" s="440">
        <f t="shared" si="0"/>
        <v>56</v>
      </c>
      <c r="B61" s="440">
        <f>+$B$49</f>
        <v>53</v>
      </c>
      <c r="C61" s="245" t="s">
        <v>813</v>
      </c>
      <c r="D61" s="440" t="s">
        <v>806</v>
      </c>
      <c r="E61" s="243">
        <v>17.52</v>
      </c>
      <c r="F61" s="243">
        <f>+'(JAP4) LIGHT Sum'!G161</f>
        <v>17.73</v>
      </c>
      <c r="G61" s="243">
        <f t="shared" si="3"/>
        <v>0.21000000000000085</v>
      </c>
    </row>
    <row r="62" spans="1:7">
      <c r="A62" s="440">
        <f t="shared" si="0"/>
        <v>57</v>
      </c>
      <c r="B62" s="440">
        <f>+$B$49</f>
        <v>53</v>
      </c>
      <c r="C62" s="245" t="s">
        <v>813</v>
      </c>
      <c r="D62" s="440" t="s">
        <v>808</v>
      </c>
      <c r="E62" s="243">
        <v>21.69</v>
      </c>
      <c r="F62" s="243">
        <f>+'(JAP4) LIGHT Sum'!G162</f>
        <v>21.92</v>
      </c>
      <c r="G62" s="243">
        <f t="shared" si="3"/>
        <v>0.23000000000000043</v>
      </c>
    </row>
    <row r="63" spans="1:7">
      <c r="A63" s="440">
        <f t="shared" si="0"/>
        <v>58</v>
      </c>
      <c r="B63" s="440">
        <f>+$B$49</f>
        <v>53</v>
      </c>
      <c r="C63" s="245" t="s">
        <v>813</v>
      </c>
      <c r="D63" s="440" t="s">
        <v>796</v>
      </c>
      <c r="E63" s="243">
        <v>27.95</v>
      </c>
      <c r="F63" s="243">
        <f>+'(JAP4) LIGHT Sum'!G163</f>
        <v>28.22</v>
      </c>
      <c r="G63" s="243">
        <f t="shared" si="3"/>
        <v>0.26999999999999957</v>
      </c>
    </row>
    <row r="64" spans="1:7">
      <c r="A64" s="440">
        <f t="shared" si="0"/>
        <v>59</v>
      </c>
      <c r="B64" s="440"/>
      <c r="C64" s="272"/>
      <c r="D64" s="440"/>
      <c r="E64" s="243"/>
      <c r="F64" s="243"/>
      <c r="G64" s="243"/>
    </row>
    <row r="65" spans="1:7">
      <c r="A65" s="440">
        <f t="shared" si="0"/>
        <v>60</v>
      </c>
      <c r="B65" s="440">
        <f t="shared" ref="B65:B73" si="7">+$B$49</f>
        <v>53</v>
      </c>
      <c r="C65" s="245" t="s">
        <v>814</v>
      </c>
      <c r="D65" s="246" t="s">
        <v>999</v>
      </c>
      <c r="E65" s="243">
        <v>9.9700000000000006</v>
      </c>
      <c r="F65" s="243">
        <f>+'(JAP4) LIGHT Sum'!G165</f>
        <v>10.100000000000001</v>
      </c>
      <c r="G65" s="243">
        <f t="shared" si="3"/>
        <v>0.13000000000000078</v>
      </c>
    </row>
    <row r="66" spans="1:7">
      <c r="A66" s="440">
        <f t="shared" si="0"/>
        <v>61</v>
      </c>
      <c r="B66" s="440">
        <f t="shared" si="7"/>
        <v>53</v>
      </c>
      <c r="C66" s="245" t="s">
        <v>814</v>
      </c>
      <c r="D66" s="246" t="s">
        <v>1000</v>
      </c>
      <c r="E66" s="243">
        <v>11.03</v>
      </c>
      <c r="F66" s="243">
        <f>+'(JAP4) LIGHT Sum'!G171</f>
        <v>11.17</v>
      </c>
      <c r="G66" s="243">
        <f t="shared" si="3"/>
        <v>0.14000000000000057</v>
      </c>
    </row>
    <row r="67" spans="1:7">
      <c r="A67" s="440">
        <f t="shared" si="0"/>
        <v>62</v>
      </c>
      <c r="B67" s="440">
        <f t="shared" si="7"/>
        <v>53</v>
      </c>
      <c r="C67" s="245" t="s">
        <v>814</v>
      </c>
      <c r="D67" s="246" t="s">
        <v>1001</v>
      </c>
      <c r="E67" s="243">
        <v>12.1</v>
      </c>
      <c r="F67" s="243">
        <f>+'(JAP4) LIGHT Sum'!G177</f>
        <v>12.24</v>
      </c>
      <c r="G67" s="243">
        <f t="shared" si="3"/>
        <v>0.14000000000000057</v>
      </c>
    </row>
    <row r="68" spans="1:7">
      <c r="A68" s="440">
        <f t="shared" si="0"/>
        <v>63</v>
      </c>
      <c r="B68" s="440">
        <f t="shared" si="7"/>
        <v>53</v>
      </c>
      <c r="C68" s="245" t="s">
        <v>814</v>
      </c>
      <c r="D68" s="246" t="s">
        <v>824</v>
      </c>
      <c r="E68" s="243">
        <v>13.16</v>
      </c>
      <c r="F68" s="243">
        <f>+'(JAP4) LIGHT Sum'!G183</f>
        <v>13.31</v>
      </c>
      <c r="G68" s="243">
        <f t="shared" si="3"/>
        <v>0.15000000000000036</v>
      </c>
    </row>
    <row r="69" spans="1:7">
      <c r="A69" s="440">
        <f t="shared" si="0"/>
        <v>64</v>
      </c>
      <c r="B69" s="440">
        <f t="shared" si="7"/>
        <v>53</v>
      </c>
      <c r="C69" s="245" t="s">
        <v>814</v>
      </c>
      <c r="D69" s="246" t="s">
        <v>825</v>
      </c>
      <c r="E69" s="243">
        <v>14.23</v>
      </c>
      <c r="F69" s="243">
        <f>+'(JAP4) LIGHT Sum'!G189</f>
        <v>14.38</v>
      </c>
      <c r="G69" s="243">
        <f t="shared" si="3"/>
        <v>0.15000000000000036</v>
      </c>
    </row>
    <row r="70" spans="1:7">
      <c r="A70" s="440">
        <f t="shared" si="0"/>
        <v>65</v>
      </c>
      <c r="B70" s="440">
        <f t="shared" si="7"/>
        <v>53</v>
      </c>
      <c r="C70" s="245" t="s">
        <v>814</v>
      </c>
      <c r="D70" s="246" t="s">
        <v>826</v>
      </c>
      <c r="E70" s="243">
        <v>15.29</v>
      </c>
      <c r="F70" s="243">
        <f>+'(JAP4) LIGHT Sum'!G195</f>
        <v>15.45</v>
      </c>
      <c r="G70" s="243">
        <f t="shared" ref="G70:G95" si="8">+F70-E70</f>
        <v>0.16000000000000014</v>
      </c>
    </row>
    <row r="71" spans="1:7">
      <c r="A71" s="440">
        <f t="shared" si="0"/>
        <v>66</v>
      </c>
      <c r="B71" s="440">
        <f t="shared" si="7"/>
        <v>53</v>
      </c>
      <c r="C71" s="245" t="s">
        <v>814</v>
      </c>
      <c r="D71" s="246" t="s">
        <v>827</v>
      </c>
      <c r="E71" s="243">
        <v>16.36</v>
      </c>
      <c r="F71" s="243">
        <f>+'(JAP4) LIGHT Sum'!G201</f>
        <v>16.52</v>
      </c>
      <c r="G71" s="243">
        <f t="shared" si="8"/>
        <v>0.16000000000000014</v>
      </c>
    </row>
    <row r="72" spans="1:7">
      <c r="A72" s="440">
        <f t="shared" ref="A72:A135" si="9">+A71+1</f>
        <v>67</v>
      </c>
      <c r="B72" s="440">
        <f t="shared" si="7"/>
        <v>53</v>
      </c>
      <c r="C72" s="245" t="s">
        <v>814</v>
      </c>
      <c r="D72" s="246" t="s">
        <v>828</v>
      </c>
      <c r="E72" s="243">
        <v>17.420000000000002</v>
      </c>
      <c r="F72" s="243">
        <f>+'(JAP4) LIGHT Sum'!G207</f>
        <v>17.590000000000003</v>
      </c>
      <c r="G72" s="243">
        <f t="shared" si="8"/>
        <v>0.17000000000000171</v>
      </c>
    </row>
    <row r="73" spans="1:7">
      <c r="A73" s="440">
        <f t="shared" si="9"/>
        <v>68</v>
      </c>
      <c r="B73" s="440">
        <f t="shared" si="7"/>
        <v>53</v>
      </c>
      <c r="C73" s="245" t="s">
        <v>814</v>
      </c>
      <c r="D73" s="246" t="s">
        <v>829</v>
      </c>
      <c r="E73" s="243">
        <v>18.489999999999998</v>
      </c>
      <c r="F73" s="243">
        <f>+'(JAP4) LIGHT Sum'!G213</f>
        <v>18.66</v>
      </c>
      <c r="G73" s="243">
        <f t="shared" si="8"/>
        <v>0.17000000000000171</v>
      </c>
    </row>
    <row r="74" spans="1:7">
      <c r="A74" s="440">
        <f t="shared" si="9"/>
        <v>69</v>
      </c>
      <c r="B74" s="440"/>
      <c r="C74" s="272"/>
      <c r="D74" s="440"/>
      <c r="E74" s="243"/>
      <c r="F74" s="243"/>
      <c r="G74" s="243"/>
    </row>
    <row r="75" spans="1:7">
      <c r="A75" s="440">
        <f t="shared" si="9"/>
        <v>70</v>
      </c>
      <c r="B75" s="440">
        <f t="shared" ref="B75:B83" si="10">+$B$49</f>
        <v>53</v>
      </c>
      <c r="C75" s="272" t="s">
        <v>815</v>
      </c>
      <c r="D75" s="440" t="s">
        <v>804</v>
      </c>
      <c r="E75" s="243">
        <v>3.64</v>
      </c>
      <c r="F75" s="243">
        <f>+'(JAP4) LIGHT Sum'!G220</f>
        <v>3.68</v>
      </c>
      <c r="G75" s="243">
        <f t="shared" si="8"/>
        <v>4.0000000000000036E-2</v>
      </c>
    </row>
    <row r="76" spans="1:7">
      <c r="A76" s="440">
        <f t="shared" si="9"/>
        <v>71</v>
      </c>
      <c r="B76" s="440">
        <f t="shared" si="10"/>
        <v>53</v>
      </c>
      <c r="C76" s="272" t="s">
        <v>815</v>
      </c>
      <c r="D76" s="440" t="s">
        <v>805</v>
      </c>
      <c r="E76" s="243">
        <v>4.26</v>
      </c>
      <c r="F76" s="243">
        <f>+'(JAP4) LIGHT Sum'!G221</f>
        <v>4.3</v>
      </c>
      <c r="G76" s="243">
        <f t="shared" si="8"/>
        <v>4.0000000000000036E-2</v>
      </c>
    </row>
    <row r="77" spans="1:7">
      <c r="A77" s="440">
        <f t="shared" si="9"/>
        <v>72</v>
      </c>
      <c r="B77" s="440">
        <f t="shared" si="10"/>
        <v>53</v>
      </c>
      <c r="C77" s="272" t="s">
        <v>815</v>
      </c>
      <c r="D77" s="440" t="s">
        <v>794</v>
      </c>
      <c r="E77" s="243">
        <v>5.19</v>
      </c>
      <c r="F77" s="243">
        <f>+'(JAP4) LIGHT Sum'!G222</f>
        <v>5.23</v>
      </c>
      <c r="G77" s="243">
        <f t="shared" si="8"/>
        <v>4.0000000000000036E-2</v>
      </c>
    </row>
    <row r="78" spans="1:7">
      <c r="A78" s="440">
        <f t="shared" si="9"/>
        <v>73</v>
      </c>
      <c r="B78" s="440">
        <f t="shared" si="10"/>
        <v>53</v>
      </c>
      <c r="C78" s="272" t="s">
        <v>815</v>
      </c>
      <c r="D78" s="440" t="s">
        <v>806</v>
      </c>
      <c r="E78" s="243">
        <v>6.73</v>
      </c>
      <c r="F78" s="243">
        <f>+'(JAP4) LIGHT Sum'!G223</f>
        <v>6.7700000000000005</v>
      </c>
      <c r="G78" s="243">
        <f t="shared" si="8"/>
        <v>4.0000000000000036E-2</v>
      </c>
    </row>
    <row r="79" spans="1:7">
      <c r="A79" s="440">
        <f t="shared" si="9"/>
        <v>74</v>
      </c>
      <c r="B79" s="440">
        <f t="shared" si="10"/>
        <v>53</v>
      </c>
      <c r="C79" s="272" t="s">
        <v>815</v>
      </c>
      <c r="D79" s="440" t="s">
        <v>807</v>
      </c>
      <c r="E79" s="243">
        <v>8.27</v>
      </c>
      <c r="F79" s="243">
        <f>+'(JAP4) LIGHT Sum'!G224</f>
        <v>8.32</v>
      </c>
      <c r="G79" s="243">
        <f t="shared" si="8"/>
        <v>5.0000000000000711E-2</v>
      </c>
    </row>
    <row r="80" spans="1:7">
      <c r="A80" s="440">
        <f t="shared" si="9"/>
        <v>75</v>
      </c>
      <c r="B80" s="440">
        <f t="shared" si="10"/>
        <v>53</v>
      </c>
      <c r="C80" s="272" t="s">
        <v>815</v>
      </c>
      <c r="D80" s="440" t="s">
        <v>808</v>
      </c>
      <c r="E80" s="243">
        <v>9.82</v>
      </c>
      <c r="F80" s="243">
        <f>+'(JAP4) LIGHT Sum'!G225</f>
        <v>9.870000000000001</v>
      </c>
      <c r="G80" s="243">
        <f t="shared" si="8"/>
        <v>5.0000000000000711E-2</v>
      </c>
    </row>
    <row r="81" spans="1:7">
      <c r="A81" s="440">
        <f t="shared" si="9"/>
        <v>76</v>
      </c>
      <c r="B81" s="440">
        <f t="shared" si="10"/>
        <v>53</v>
      </c>
      <c r="C81" s="272" t="s">
        <v>815</v>
      </c>
      <c r="D81" s="440" t="s">
        <v>809</v>
      </c>
      <c r="E81" s="243">
        <v>11.67</v>
      </c>
      <c r="F81" s="243">
        <f>+'(JAP4) LIGHT Sum'!G226</f>
        <v>11.73</v>
      </c>
      <c r="G81" s="243">
        <f t="shared" si="8"/>
        <v>6.0000000000000497E-2</v>
      </c>
    </row>
    <row r="82" spans="1:7">
      <c r="A82" s="440">
        <f t="shared" si="9"/>
        <v>77</v>
      </c>
      <c r="B82" s="440">
        <f t="shared" si="10"/>
        <v>53</v>
      </c>
      <c r="C82" s="272" t="s">
        <v>815</v>
      </c>
      <c r="D82" s="440" t="s">
        <v>796</v>
      </c>
      <c r="E82" s="243">
        <v>14.45</v>
      </c>
      <c r="F82" s="243">
        <f>+'(JAP4) LIGHT Sum'!G227</f>
        <v>14.52</v>
      </c>
      <c r="G82" s="243">
        <f t="shared" si="8"/>
        <v>7.0000000000000284E-2</v>
      </c>
    </row>
    <row r="83" spans="1:7">
      <c r="A83" s="440">
        <f t="shared" si="9"/>
        <v>78</v>
      </c>
      <c r="B83" s="440">
        <f t="shared" si="10"/>
        <v>53</v>
      </c>
      <c r="C83" s="272" t="s">
        <v>815</v>
      </c>
      <c r="D83" s="440" t="s">
        <v>811</v>
      </c>
      <c r="E83" s="243">
        <v>32.97</v>
      </c>
      <c r="F83" s="243">
        <f>+'(JAP4) LIGHT Sum'!G228</f>
        <v>33.089999999999996</v>
      </c>
      <c r="G83" s="243">
        <f t="shared" si="8"/>
        <v>0.11999999999999744</v>
      </c>
    </row>
    <row r="84" spans="1:7">
      <c r="A84" s="440">
        <f t="shared" si="9"/>
        <v>79</v>
      </c>
      <c r="B84" s="440"/>
      <c r="C84" s="272"/>
      <c r="D84" s="440"/>
      <c r="E84" s="243"/>
      <c r="F84" s="243"/>
      <c r="G84" s="243"/>
    </row>
    <row r="85" spans="1:7">
      <c r="A85" s="440">
        <f t="shared" si="9"/>
        <v>80</v>
      </c>
      <c r="B85" s="440">
        <f t="shared" ref="B85:B90" si="11">+$B$49</f>
        <v>53</v>
      </c>
      <c r="C85" s="272" t="s">
        <v>816</v>
      </c>
      <c r="D85" s="440" t="s">
        <v>805</v>
      </c>
      <c r="E85" s="243">
        <v>6.36</v>
      </c>
      <c r="F85" s="243">
        <f>+'(JAP4) LIGHT Sum'!G230</f>
        <v>6.4300000000000006</v>
      </c>
      <c r="G85" s="243">
        <f t="shared" si="8"/>
        <v>7.0000000000000284E-2</v>
      </c>
    </row>
    <row r="86" spans="1:7">
      <c r="A86" s="440">
        <f t="shared" si="9"/>
        <v>81</v>
      </c>
      <c r="B86" s="440">
        <f t="shared" si="11"/>
        <v>53</v>
      </c>
      <c r="C86" s="272" t="s">
        <v>816</v>
      </c>
      <c r="D86" s="440" t="s">
        <v>794</v>
      </c>
      <c r="E86" s="243">
        <v>7.28</v>
      </c>
      <c r="F86" s="243">
        <f>+'(JAP4) LIGHT Sum'!G231</f>
        <v>7.3500000000000005</v>
      </c>
      <c r="G86" s="243">
        <f t="shared" si="8"/>
        <v>7.0000000000000284E-2</v>
      </c>
    </row>
    <row r="87" spans="1:7">
      <c r="A87" s="440">
        <f t="shared" si="9"/>
        <v>82</v>
      </c>
      <c r="B87" s="440">
        <f t="shared" si="11"/>
        <v>53</v>
      </c>
      <c r="C87" s="272" t="s">
        <v>816</v>
      </c>
      <c r="D87" s="440" t="s">
        <v>806</v>
      </c>
      <c r="E87" s="243">
        <v>8.83</v>
      </c>
      <c r="F87" s="243">
        <f>+'(JAP4) LIGHT Sum'!G232</f>
        <v>8.91</v>
      </c>
      <c r="G87" s="243">
        <f t="shared" si="8"/>
        <v>8.0000000000000071E-2</v>
      </c>
    </row>
    <row r="88" spans="1:7">
      <c r="A88" s="440">
        <f t="shared" si="9"/>
        <v>83</v>
      </c>
      <c r="B88" s="440">
        <f t="shared" si="11"/>
        <v>53</v>
      </c>
      <c r="C88" s="272" t="s">
        <v>816</v>
      </c>
      <c r="D88" s="440" t="s">
        <v>795</v>
      </c>
      <c r="E88" s="243">
        <v>9.6</v>
      </c>
      <c r="F88" s="243">
        <f>+'(JAP4) LIGHT Sum'!G233</f>
        <v>9.68</v>
      </c>
      <c r="G88" s="243">
        <f t="shared" si="8"/>
        <v>8.0000000000000071E-2</v>
      </c>
    </row>
    <row r="89" spans="1:7">
      <c r="A89" s="440">
        <f t="shared" si="9"/>
        <v>84</v>
      </c>
      <c r="B89" s="440">
        <f t="shared" si="11"/>
        <v>53</v>
      </c>
      <c r="C89" s="272" t="s">
        <v>816</v>
      </c>
      <c r="D89" s="440" t="s">
        <v>808</v>
      </c>
      <c r="E89" s="243">
        <v>11.91</v>
      </c>
      <c r="F89" s="243">
        <f>+'(JAP4) LIGHT Sum'!G234</f>
        <v>12</v>
      </c>
      <c r="G89" s="243">
        <f t="shared" si="8"/>
        <v>8.9999999999999858E-2</v>
      </c>
    </row>
    <row r="90" spans="1:7">
      <c r="A90" s="440">
        <f t="shared" si="9"/>
        <v>85</v>
      </c>
      <c r="B90" s="440">
        <f t="shared" si="11"/>
        <v>53</v>
      </c>
      <c r="C90" s="272" t="s">
        <v>816</v>
      </c>
      <c r="D90" s="440" t="s">
        <v>796</v>
      </c>
      <c r="E90" s="243">
        <v>16.55</v>
      </c>
      <c r="F90" s="243">
        <f>+'(JAP4) LIGHT Sum'!G235</f>
        <v>16.650000000000002</v>
      </c>
      <c r="G90" s="243">
        <f t="shared" si="8"/>
        <v>0.10000000000000142</v>
      </c>
    </row>
    <row r="91" spans="1:7">
      <c r="A91" s="440">
        <f t="shared" si="9"/>
        <v>86</v>
      </c>
      <c r="B91" s="440"/>
      <c r="C91" s="272"/>
      <c r="D91" s="440"/>
      <c r="E91" s="243"/>
      <c r="F91" s="243"/>
      <c r="G91" s="243"/>
    </row>
    <row r="92" spans="1:7">
      <c r="A92" s="440">
        <f t="shared" si="9"/>
        <v>87</v>
      </c>
      <c r="B92" s="440">
        <f t="shared" ref="B92:B100" si="12">+$B$49</f>
        <v>53</v>
      </c>
      <c r="C92" s="245" t="s">
        <v>817</v>
      </c>
      <c r="D92" s="246" t="s">
        <v>999</v>
      </c>
      <c r="E92" s="243">
        <v>1.81</v>
      </c>
      <c r="F92" s="243">
        <f>+'(JAP4) LIGHT Sum'!G237</f>
        <v>1.82</v>
      </c>
      <c r="G92" s="243">
        <f t="shared" si="8"/>
        <v>1.0000000000000009E-2</v>
      </c>
    </row>
    <row r="93" spans="1:7">
      <c r="A93" s="440">
        <f t="shared" si="9"/>
        <v>88</v>
      </c>
      <c r="B93" s="440">
        <f t="shared" si="12"/>
        <v>53</v>
      </c>
      <c r="C93" s="245" t="s">
        <v>814</v>
      </c>
      <c r="D93" s="246" t="s">
        <v>1000</v>
      </c>
      <c r="E93" s="243">
        <v>2.74</v>
      </c>
      <c r="F93" s="243">
        <f>+'(JAP4) LIGHT Sum'!G243</f>
        <v>2.75</v>
      </c>
      <c r="G93" s="243">
        <f t="shared" si="8"/>
        <v>9.9999999999997868E-3</v>
      </c>
    </row>
    <row r="94" spans="1:7">
      <c r="A94" s="440">
        <f t="shared" si="9"/>
        <v>89</v>
      </c>
      <c r="B94" s="440">
        <f t="shared" si="12"/>
        <v>53</v>
      </c>
      <c r="C94" s="245" t="s">
        <v>814</v>
      </c>
      <c r="D94" s="246" t="s">
        <v>1001</v>
      </c>
      <c r="E94" s="243">
        <v>3.66</v>
      </c>
      <c r="F94" s="243">
        <f>+'(JAP4) LIGHT Sum'!G249</f>
        <v>3.68</v>
      </c>
      <c r="G94" s="243">
        <f t="shared" si="8"/>
        <v>2.0000000000000018E-2</v>
      </c>
    </row>
    <row r="95" spans="1:7">
      <c r="A95" s="440">
        <f t="shared" si="9"/>
        <v>90</v>
      </c>
      <c r="B95" s="440">
        <f t="shared" si="12"/>
        <v>53</v>
      </c>
      <c r="C95" s="245" t="s">
        <v>814</v>
      </c>
      <c r="D95" s="246" t="s">
        <v>824</v>
      </c>
      <c r="E95" s="243">
        <v>4.59</v>
      </c>
      <c r="F95" s="243">
        <f>+'(JAP4) LIGHT Sum'!G255</f>
        <v>4.6099999999999994</v>
      </c>
      <c r="G95" s="243">
        <f t="shared" si="8"/>
        <v>1.9999999999999574E-2</v>
      </c>
    </row>
    <row r="96" spans="1:7">
      <c r="A96" s="440">
        <f t="shared" si="9"/>
        <v>91</v>
      </c>
      <c r="B96" s="440">
        <f t="shared" si="12"/>
        <v>53</v>
      </c>
      <c r="C96" s="245" t="s">
        <v>814</v>
      </c>
      <c r="D96" s="246" t="s">
        <v>825</v>
      </c>
      <c r="E96" s="243">
        <v>5.51</v>
      </c>
      <c r="F96" s="243">
        <f>+'(JAP4) LIGHT Sum'!G261</f>
        <v>5.5299999999999994</v>
      </c>
      <c r="G96" s="243">
        <f t="shared" ref="G96:G115" si="13">+F96-E96</f>
        <v>1.9999999999999574E-2</v>
      </c>
    </row>
    <row r="97" spans="1:7">
      <c r="A97" s="440">
        <f t="shared" si="9"/>
        <v>92</v>
      </c>
      <c r="B97" s="440">
        <f t="shared" si="12"/>
        <v>53</v>
      </c>
      <c r="C97" s="245" t="s">
        <v>814</v>
      </c>
      <c r="D97" s="246" t="s">
        <v>826</v>
      </c>
      <c r="E97" s="243">
        <v>6.44</v>
      </c>
      <c r="F97" s="243">
        <f>+'(JAP4) LIGHT Sum'!G267</f>
        <v>6.46</v>
      </c>
      <c r="G97" s="243">
        <f t="shared" si="13"/>
        <v>1.9999999999999574E-2</v>
      </c>
    </row>
    <row r="98" spans="1:7">
      <c r="A98" s="440">
        <f t="shared" si="9"/>
        <v>93</v>
      </c>
      <c r="B98" s="440">
        <f t="shared" si="12"/>
        <v>53</v>
      </c>
      <c r="C98" s="245" t="s">
        <v>814</v>
      </c>
      <c r="D98" s="246" t="s">
        <v>827</v>
      </c>
      <c r="E98" s="243">
        <v>7.37</v>
      </c>
      <c r="F98" s="243">
        <f>+'(JAP4) LIGHT Sum'!G273</f>
        <v>7.4</v>
      </c>
      <c r="G98" s="243">
        <f t="shared" si="13"/>
        <v>3.0000000000000249E-2</v>
      </c>
    </row>
    <row r="99" spans="1:7">
      <c r="A99" s="440">
        <f t="shared" si="9"/>
        <v>94</v>
      </c>
      <c r="B99" s="440">
        <f t="shared" si="12"/>
        <v>53</v>
      </c>
      <c r="C99" s="245" t="s">
        <v>814</v>
      </c>
      <c r="D99" s="246" t="s">
        <v>828</v>
      </c>
      <c r="E99" s="243">
        <v>8.2899999999999991</v>
      </c>
      <c r="F99" s="243">
        <f>+'(JAP4) LIGHT Sum'!G279</f>
        <v>8.3199999999999985</v>
      </c>
      <c r="G99" s="243">
        <f t="shared" si="13"/>
        <v>2.9999999999999361E-2</v>
      </c>
    </row>
    <row r="100" spans="1:7">
      <c r="A100" s="440">
        <f t="shared" si="9"/>
        <v>95</v>
      </c>
      <c r="B100" s="440">
        <f t="shared" si="12"/>
        <v>53</v>
      </c>
      <c r="C100" s="245" t="s">
        <v>814</v>
      </c>
      <c r="D100" s="246" t="s">
        <v>829</v>
      </c>
      <c r="E100" s="243">
        <v>9.2200000000000006</v>
      </c>
      <c r="F100" s="243">
        <f>+'(JAP4) LIGHT Sum'!G285</f>
        <v>9.25</v>
      </c>
      <c r="G100" s="243">
        <f t="shared" si="13"/>
        <v>2.9999999999999361E-2</v>
      </c>
    </row>
    <row r="101" spans="1:7">
      <c r="A101" s="440">
        <f t="shared" si="9"/>
        <v>96</v>
      </c>
      <c r="B101" s="440"/>
      <c r="C101" s="272"/>
      <c r="D101" s="440"/>
      <c r="E101" s="243"/>
      <c r="F101" s="243"/>
      <c r="G101" s="243"/>
    </row>
    <row r="102" spans="1:7">
      <c r="A102" s="440">
        <f t="shared" si="9"/>
        <v>97</v>
      </c>
      <c r="B102" s="440">
        <v>54</v>
      </c>
      <c r="C102" s="272" t="s">
        <v>818</v>
      </c>
      <c r="D102" s="440" t="s">
        <v>804</v>
      </c>
      <c r="E102" s="243">
        <v>1.54</v>
      </c>
      <c r="F102" s="243">
        <f>+'(JAP4) LIGHT Sum'!G305</f>
        <v>1.54</v>
      </c>
      <c r="G102" s="243">
        <f t="shared" si="13"/>
        <v>0</v>
      </c>
    </row>
    <row r="103" spans="1:7">
      <c r="A103" s="440">
        <f t="shared" si="9"/>
        <v>98</v>
      </c>
      <c r="B103" s="440">
        <f>+$B$102</f>
        <v>54</v>
      </c>
      <c r="C103" s="272" t="s">
        <v>818</v>
      </c>
      <c r="D103" s="440" t="s">
        <v>805</v>
      </c>
      <c r="E103" s="243">
        <v>2.16</v>
      </c>
      <c r="F103" s="243">
        <f>+'(JAP4) LIGHT Sum'!G306</f>
        <v>2.17</v>
      </c>
      <c r="G103" s="243">
        <f t="shared" si="13"/>
        <v>9.9999999999997868E-3</v>
      </c>
    </row>
    <row r="104" spans="1:7">
      <c r="A104" s="440">
        <f t="shared" si="9"/>
        <v>99</v>
      </c>
      <c r="B104" s="440">
        <f t="shared" ref="B104:B110" si="14">+$B$102</f>
        <v>54</v>
      </c>
      <c r="C104" s="272" t="s">
        <v>818</v>
      </c>
      <c r="D104" s="440" t="s">
        <v>794</v>
      </c>
      <c r="E104" s="243">
        <v>3.09</v>
      </c>
      <c r="F104" s="243">
        <f>+'(JAP4) LIGHT Sum'!G307</f>
        <v>3.0999999999999996</v>
      </c>
      <c r="G104" s="243">
        <f t="shared" si="13"/>
        <v>9.9999999999997868E-3</v>
      </c>
    </row>
    <row r="105" spans="1:7">
      <c r="A105" s="440">
        <f t="shared" si="9"/>
        <v>100</v>
      </c>
      <c r="B105" s="440">
        <f t="shared" si="14"/>
        <v>54</v>
      </c>
      <c r="C105" s="272" t="s">
        <v>818</v>
      </c>
      <c r="D105" s="440" t="s">
        <v>806</v>
      </c>
      <c r="E105" s="243">
        <v>4.63</v>
      </c>
      <c r="F105" s="243">
        <f>+'(JAP4) LIGHT Sum'!G308</f>
        <v>4.6399999999999997</v>
      </c>
      <c r="G105" s="243">
        <f t="shared" si="13"/>
        <v>9.9999999999997868E-3</v>
      </c>
    </row>
    <row r="106" spans="1:7">
      <c r="A106" s="440">
        <f t="shared" si="9"/>
        <v>101</v>
      </c>
      <c r="B106" s="440">
        <f t="shared" si="14"/>
        <v>54</v>
      </c>
      <c r="C106" s="272" t="s">
        <v>818</v>
      </c>
      <c r="D106" s="440" t="s">
        <v>807</v>
      </c>
      <c r="E106" s="243">
        <v>6.17</v>
      </c>
      <c r="F106" s="243">
        <f>+'(JAP4) LIGHT Sum'!G309</f>
        <v>6.1899999999999995</v>
      </c>
      <c r="G106" s="243">
        <f t="shared" si="13"/>
        <v>1.9999999999999574E-2</v>
      </c>
    </row>
    <row r="107" spans="1:7">
      <c r="A107" s="440">
        <f t="shared" si="9"/>
        <v>102</v>
      </c>
      <c r="B107" s="440">
        <f t="shared" si="14"/>
        <v>54</v>
      </c>
      <c r="C107" s="272" t="s">
        <v>818</v>
      </c>
      <c r="D107" s="440" t="s">
        <v>808</v>
      </c>
      <c r="E107" s="243">
        <v>7.72</v>
      </c>
      <c r="F107" s="243">
        <f>+'(JAP4) LIGHT Sum'!G310</f>
        <v>7.7399999999999993</v>
      </c>
      <c r="G107" s="243">
        <f t="shared" si="13"/>
        <v>1.9999999999999574E-2</v>
      </c>
    </row>
    <row r="108" spans="1:7">
      <c r="A108" s="440">
        <f t="shared" si="9"/>
        <v>103</v>
      </c>
      <c r="B108" s="440">
        <f t="shared" si="14"/>
        <v>54</v>
      </c>
      <c r="C108" s="272" t="s">
        <v>818</v>
      </c>
      <c r="D108" s="440" t="s">
        <v>809</v>
      </c>
      <c r="E108" s="243">
        <v>9.57</v>
      </c>
      <c r="F108" s="243">
        <f>+'(JAP4) LIGHT Sum'!G311</f>
        <v>9.6</v>
      </c>
      <c r="G108" s="243">
        <f t="shared" si="13"/>
        <v>2.9999999999999361E-2</v>
      </c>
    </row>
    <row r="109" spans="1:7">
      <c r="A109" s="440">
        <f t="shared" si="9"/>
        <v>104</v>
      </c>
      <c r="B109" s="440">
        <f t="shared" si="14"/>
        <v>54</v>
      </c>
      <c r="C109" s="272" t="s">
        <v>818</v>
      </c>
      <c r="D109" s="440" t="s">
        <v>796</v>
      </c>
      <c r="E109" s="243">
        <v>12.35</v>
      </c>
      <c r="F109" s="243">
        <f>+'(JAP4) LIGHT Sum'!G312</f>
        <v>12.379999999999999</v>
      </c>
      <c r="G109" s="243">
        <f t="shared" si="13"/>
        <v>2.9999999999999361E-2</v>
      </c>
    </row>
    <row r="110" spans="1:7">
      <c r="A110" s="440">
        <f t="shared" si="9"/>
        <v>105</v>
      </c>
      <c r="B110" s="440">
        <f t="shared" si="14"/>
        <v>54</v>
      </c>
      <c r="C110" s="272" t="s">
        <v>818</v>
      </c>
      <c r="D110" s="440" t="s">
        <v>811</v>
      </c>
      <c r="E110" s="243">
        <v>30.87</v>
      </c>
      <c r="F110" s="243">
        <f>+'(JAP4) LIGHT Sum'!G313</f>
        <v>30.95</v>
      </c>
      <c r="G110" s="243">
        <f t="shared" si="13"/>
        <v>7.9999999999998295E-2</v>
      </c>
    </row>
    <row r="111" spans="1:7">
      <c r="A111" s="440">
        <f t="shared" si="9"/>
        <v>106</v>
      </c>
      <c r="B111" s="440"/>
      <c r="C111" s="272"/>
      <c r="D111" s="440"/>
      <c r="E111" s="243"/>
      <c r="F111" s="243"/>
      <c r="G111" s="243"/>
    </row>
    <row r="112" spans="1:7">
      <c r="A112" s="440">
        <f t="shared" si="9"/>
        <v>107</v>
      </c>
      <c r="B112" s="440">
        <f t="shared" ref="B112:B120" si="15">+$B$102</f>
        <v>54</v>
      </c>
      <c r="C112" s="245" t="s">
        <v>819</v>
      </c>
      <c r="D112" s="246" t="s">
        <v>999</v>
      </c>
      <c r="E112" s="243">
        <v>1.39</v>
      </c>
      <c r="F112" s="243">
        <f>+'(JAP4) LIGHT Sum'!G315</f>
        <v>1.39</v>
      </c>
      <c r="G112" s="243">
        <f t="shared" si="13"/>
        <v>0</v>
      </c>
    </row>
    <row r="113" spans="1:7">
      <c r="A113" s="440">
        <f t="shared" si="9"/>
        <v>108</v>
      </c>
      <c r="B113" s="440">
        <f t="shared" si="15"/>
        <v>54</v>
      </c>
      <c r="C113" s="245" t="s">
        <v>819</v>
      </c>
      <c r="D113" s="246" t="s">
        <v>1000</v>
      </c>
      <c r="E113" s="243">
        <v>2.3199999999999998</v>
      </c>
      <c r="F113" s="243">
        <f>+'(JAP4) LIGHT Sum'!G321</f>
        <v>2.3299999999999996</v>
      </c>
      <c r="G113" s="243">
        <f t="shared" si="13"/>
        <v>9.9999999999997868E-3</v>
      </c>
    </row>
    <row r="114" spans="1:7">
      <c r="A114" s="440">
        <f t="shared" si="9"/>
        <v>109</v>
      </c>
      <c r="B114" s="440">
        <f t="shared" si="15"/>
        <v>54</v>
      </c>
      <c r="C114" s="245" t="s">
        <v>819</v>
      </c>
      <c r="D114" s="246" t="s">
        <v>1001</v>
      </c>
      <c r="E114" s="243">
        <v>3.24</v>
      </c>
      <c r="F114" s="243">
        <f>+'(JAP4) LIGHT Sum'!G327</f>
        <v>3.25</v>
      </c>
      <c r="G114" s="243">
        <f t="shared" si="13"/>
        <v>9.9999999999997868E-3</v>
      </c>
    </row>
    <row r="115" spans="1:7">
      <c r="A115" s="440">
        <f t="shared" si="9"/>
        <v>110</v>
      </c>
      <c r="B115" s="440">
        <f t="shared" si="15"/>
        <v>54</v>
      </c>
      <c r="C115" s="245" t="s">
        <v>819</v>
      </c>
      <c r="D115" s="246" t="s">
        <v>824</v>
      </c>
      <c r="E115" s="243">
        <v>4.17</v>
      </c>
      <c r="F115" s="243">
        <f>+'(JAP4) LIGHT Sum'!G333</f>
        <v>4.18</v>
      </c>
      <c r="G115" s="243">
        <f t="shared" si="13"/>
        <v>9.9999999999997868E-3</v>
      </c>
    </row>
    <row r="116" spans="1:7">
      <c r="A116" s="440">
        <f t="shared" si="9"/>
        <v>111</v>
      </c>
      <c r="B116" s="440">
        <f t="shared" si="15"/>
        <v>54</v>
      </c>
      <c r="C116" s="245" t="s">
        <v>819</v>
      </c>
      <c r="D116" s="246" t="s">
        <v>825</v>
      </c>
      <c r="E116" s="243">
        <v>5.09</v>
      </c>
      <c r="F116" s="243">
        <f>+'(JAP4) LIGHT Sum'!G339</f>
        <v>5.0999999999999996</v>
      </c>
      <c r="G116" s="243">
        <f t="shared" ref="G116:G138" si="16">+F116-E116</f>
        <v>9.9999999999997868E-3</v>
      </c>
    </row>
    <row r="117" spans="1:7">
      <c r="A117" s="440">
        <f t="shared" si="9"/>
        <v>112</v>
      </c>
      <c r="B117" s="440">
        <f t="shared" si="15"/>
        <v>54</v>
      </c>
      <c r="C117" s="245" t="s">
        <v>819</v>
      </c>
      <c r="D117" s="246" t="s">
        <v>826</v>
      </c>
      <c r="E117" s="243">
        <v>6.02</v>
      </c>
      <c r="F117" s="243">
        <f>+'(JAP4) LIGHT Sum'!G345</f>
        <v>6.0399999999999991</v>
      </c>
      <c r="G117" s="243">
        <f t="shared" si="16"/>
        <v>1.9999999999999574E-2</v>
      </c>
    </row>
    <row r="118" spans="1:7">
      <c r="A118" s="440">
        <f t="shared" si="9"/>
        <v>113</v>
      </c>
      <c r="B118" s="440">
        <f t="shared" si="15"/>
        <v>54</v>
      </c>
      <c r="C118" s="245" t="s">
        <v>819</v>
      </c>
      <c r="D118" s="246" t="s">
        <v>827</v>
      </c>
      <c r="E118" s="243">
        <v>6.95</v>
      </c>
      <c r="F118" s="243">
        <f>+'(JAP4) LIGHT Sum'!G351</f>
        <v>6.97</v>
      </c>
      <c r="G118" s="243">
        <f t="shared" si="16"/>
        <v>1.9999999999999574E-2</v>
      </c>
    </row>
    <row r="119" spans="1:7">
      <c r="A119" s="440">
        <f t="shared" si="9"/>
        <v>114</v>
      </c>
      <c r="B119" s="440">
        <f t="shared" si="15"/>
        <v>54</v>
      </c>
      <c r="C119" s="245" t="s">
        <v>819</v>
      </c>
      <c r="D119" s="246" t="s">
        <v>828</v>
      </c>
      <c r="E119" s="243">
        <v>7.87</v>
      </c>
      <c r="F119" s="243">
        <f>+'(JAP4) LIGHT Sum'!G357</f>
        <v>7.89</v>
      </c>
      <c r="G119" s="243">
        <f t="shared" si="16"/>
        <v>1.9999999999999574E-2</v>
      </c>
    </row>
    <row r="120" spans="1:7">
      <c r="A120" s="440">
        <f t="shared" si="9"/>
        <v>115</v>
      </c>
      <c r="B120" s="440">
        <f t="shared" si="15"/>
        <v>54</v>
      </c>
      <c r="C120" s="245" t="s">
        <v>819</v>
      </c>
      <c r="D120" s="246" t="s">
        <v>829</v>
      </c>
      <c r="E120" s="243">
        <v>8.8000000000000007</v>
      </c>
      <c r="F120" s="243">
        <f>+'(JAP4) LIGHT Sum'!G363</f>
        <v>8.82</v>
      </c>
      <c r="G120" s="243">
        <f t="shared" si="16"/>
        <v>1.9999999999999574E-2</v>
      </c>
    </row>
    <row r="121" spans="1:7">
      <c r="A121" s="440">
        <f t="shared" si="9"/>
        <v>116</v>
      </c>
      <c r="B121" s="440"/>
      <c r="C121" s="272"/>
      <c r="D121" s="440"/>
      <c r="E121" s="243"/>
      <c r="F121" s="243"/>
      <c r="G121" s="243"/>
    </row>
    <row r="122" spans="1:7">
      <c r="A122" s="440">
        <f t="shared" si="9"/>
        <v>117</v>
      </c>
      <c r="B122" s="440" t="s">
        <v>820</v>
      </c>
      <c r="C122" s="272" t="s">
        <v>821</v>
      </c>
      <c r="D122" s="440" t="s">
        <v>805</v>
      </c>
      <c r="E122" s="243">
        <v>11.53</v>
      </c>
      <c r="F122" s="243">
        <f>+'(JAP4) LIGHT Sum'!G381</f>
        <v>11.68</v>
      </c>
      <c r="G122" s="243">
        <f t="shared" si="16"/>
        <v>0.15000000000000036</v>
      </c>
    </row>
    <row r="123" spans="1:7">
      <c r="A123" s="440">
        <f t="shared" si="9"/>
        <v>118</v>
      </c>
      <c r="B123" s="440" t="str">
        <f>+$B$122</f>
        <v>55 (56)</v>
      </c>
      <c r="C123" s="272" t="s">
        <v>821</v>
      </c>
      <c r="D123" s="440" t="s">
        <v>794</v>
      </c>
      <c r="E123" s="243">
        <v>12.72</v>
      </c>
      <c r="F123" s="243">
        <f>+'(JAP4) LIGHT Sum'!G382</f>
        <v>12.88</v>
      </c>
      <c r="G123" s="243">
        <f t="shared" si="16"/>
        <v>0.16000000000000014</v>
      </c>
    </row>
    <row r="124" spans="1:7">
      <c r="A124" s="440">
        <f t="shared" si="9"/>
        <v>119</v>
      </c>
      <c r="B124" s="440" t="str">
        <f>+$B$122</f>
        <v>55 (56)</v>
      </c>
      <c r="C124" s="272" t="s">
        <v>821</v>
      </c>
      <c r="D124" s="440" t="s">
        <v>806</v>
      </c>
      <c r="E124" s="243">
        <v>14.71</v>
      </c>
      <c r="F124" s="243">
        <f>+'(JAP4) LIGHT Sum'!G383</f>
        <v>14.88</v>
      </c>
      <c r="G124" s="243">
        <f t="shared" si="16"/>
        <v>0.16999999999999993</v>
      </c>
    </row>
    <row r="125" spans="1:7">
      <c r="A125" s="440">
        <f t="shared" si="9"/>
        <v>120</v>
      </c>
      <c r="B125" s="440" t="str">
        <f>+$B$122</f>
        <v>55 (56)</v>
      </c>
      <c r="C125" s="272" t="s">
        <v>821</v>
      </c>
      <c r="D125" s="440" t="s">
        <v>807</v>
      </c>
      <c r="E125" s="243">
        <v>16.690000000000001</v>
      </c>
      <c r="F125" s="243">
        <f>+'(JAP4) LIGHT Sum'!G384</f>
        <v>16.87</v>
      </c>
      <c r="G125" s="243">
        <f t="shared" si="16"/>
        <v>0.17999999999999972</v>
      </c>
    </row>
    <row r="126" spans="1:7">
      <c r="A126" s="440">
        <f t="shared" si="9"/>
        <v>121</v>
      </c>
      <c r="B126" s="440" t="str">
        <f>+$B$122</f>
        <v>55 (56)</v>
      </c>
      <c r="C126" s="272" t="s">
        <v>821</v>
      </c>
      <c r="D126" s="440" t="s">
        <v>808</v>
      </c>
      <c r="E126" s="243">
        <v>18.68</v>
      </c>
      <c r="F126" s="243">
        <f>+'(JAP4) LIGHT Sum'!G385</f>
        <v>18.87</v>
      </c>
      <c r="G126" s="243">
        <f t="shared" si="16"/>
        <v>0.19000000000000128</v>
      </c>
    </row>
    <row r="127" spans="1:7">
      <c r="A127" s="440">
        <f t="shared" si="9"/>
        <v>122</v>
      </c>
      <c r="B127" s="440" t="str">
        <f>+$B$122</f>
        <v>55 (56)</v>
      </c>
      <c r="C127" s="272" t="s">
        <v>821</v>
      </c>
      <c r="D127" s="440" t="s">
        <v>796</v>
      </c>
      <c r="E127" s="243">
        <v>24.63</v>
      </c>
      <c r="F127" s="243">
        <f>+'(JAP4) LIGHT Sum'!G386</f>
        <v>24.849999999999998</v>
      </c>
      <c r="G127" s="243">
        <f t="shared" si="16"/>
        <v>0.21999999999999886</v>
      </c>
    </row>
    <row r="128" spans="1:7">
      <c r="A128" s="440">
        <f t="shared" si="9"/>
        <v>123</v>
      </c>
      <c r="B128" s="440"/>
      <c r="C128" s="272"/>
      <c r="D128" s="440"/>
      <c r="E128" s="243"/>
      <c r="F128" s="243"/>
      <c r="G128" s="243"/>
    </row>
    <row r="129" spans="1:7">
      <c r="A129" s="440">
        <f t="shared" si="9"/>
        <v>124</v>
      </c>
      <c r="B129" s="440" t="str">
        <f>+$B$122</f>
        <v>55 (56)</v>
      </c>
      <c r="C129" s="272" t="s">
        <v>822</v>
      </c>
      <c r="D129" s="440" t="s">
        <v>808</v>
      </c>
      <c r="E129" s="243">
        <v>21.8</v>
      </c>
      <c r="F129" s="243">
        <f>+'(JAP4) LIGHT Sum'!G388</f>
        <v>22.03</v>
      </c>
      <c r="G129" s="243">
        <f t="shared" si="16"/>
        <v>0.23000000000000043</v>
      </c>
    </row>
    <row r="130" spans="1:7">
      <c r="A130" s="440">
        <f t="shared" si="9"/>
        <v>125</v>
      </c>
      <c r="B130" s="440"/>
      <c r="C130" s="272"/>
      <c r="D130" s="440"/>
      <c r="E130" s="243"/>
      <c r="F130" s="243"/>
      <c r="G130" s="243"/>
    </row>
    <row r="131" spans="1:7">
      <c r="A131" s="440">
        <f t="shared" si="9"/>
        <v>126</v>
      </c>
      <c r="B131" s="440" t="str">
        <f t="shared" ref="B131:B139" si="17">+$B$122</f>
        <v>55 (56)</v>
      </c>
      <c r="C131" s="245" t="s">
        <v>823</v>
      </c>
      <c r="D131" s="246" t="s">
        <v>999</v>
      </c>
      <c r="E131" s="243">
        <v>12.31</v>
      </c>
      <c r="F131" s="243">
        <f>+'(JAP4) LIGHT Sum'!G390</f>
        <v>12.48</v>
      </c>
      <c r="G131" s="243">
        <f t="shared" si="16"/>
        <v>0.16999999999999993</v>
      </c>
    </row>
    <row r="132" spans="1:7">
      <c r="A132" s="440">
        <f t="shared" si="9"/>
        <v>127</v>
      </c>
      <c r="B132" s="440" t="str">
        <f t="shared" si="17"/>
        <v>55 (56)</v>
      </c>
      <c r="C132" s="245" t="s">
        <v>823</v>
      </c>
      <c r="D132" s="246" t="s">
        <v>1000</v>
      </c>
      <c r="E132" s="243">
        <v>13.42</v>
      </c>
      <c r="F132" s="243">
        <f>+'(JAP4) LIGHT Sum'!G396</f>
        <v>13.6</v>
      </c>
      <c r="G132" s="243">
        <f t="shared" si="16"/>
        <v>0.17999999999999972</v>
      </c>
    </row>
    <row r="133" spans="1:7">
      <c r="A133" s="440">
        <f t="shared" si="9"/>
        <v>128</v>
      </c>
      <c r="B133" s="440" t="str">
        <f t="shared" si="17"/>
        <v>55 (56)</v>
      </c>
      <c r="C133" s="245" t="s">
        <v>823</v>
      </c>
      <c r="D133" s="246" t="s">
        <v>1001</v>
      </c>
      <c r="E133" s="243">
        <v>14.54</v>
      </c>
      <c r="F133" s="243">
        <f>+'(JAP4) LIGHT Sum'!G402</f>
        <v>14.719999999999999</v>
      </c>
      <c r="G133" s="243">
        <f t="shared" si="16"/>
        <v>0.17999999999999972</v>
      </c>
    </row>
    <row r="134" spans="1:7">
      <c r="A134" s="440">
        <f t="shared" si="9"/>
        <v>129</v>
      </c>
      <c r="B134" s="440" t="str">
        <f t="shared" si="17"/>
        <v>55 (56)</v>
      </c>
      <c r="C134" s="245" t="s">
        <v>823</v>
      </c>
      <c r="D134" s="440" t="s">
        <v>824</v>
      </c>
      <c r="E134" s="243">
        <v>15.66</v>
      </c>
      <c r="F134" s="243">
        <f>+'(JAP4) LIGHT Sum'!G405</f>
        <v>15.85</v>
      </c>
      <c r="G134" s="243">
        <f t="shared" si="16"/>
        <v>0.1899999999999995</v>
      </c>
    </row>
    <row r="135" spans="1:7">
      <c r="A135" s="440">
        <f t="shared" si="9"/>
        <v>130</v>
      </c>
      <c r="B135" s="440" t="str">
        <f t="shared" si="17"/>
        <v>55 (56)</v>
      </c>
      <c r="C135" s="245" t="s">
        <v>823</v>
      </c>
      <c r="D135" s="440" t="s">
        <v>825</v>
      </c>
      <c r="E135" s="243">
        <v>16.77</v>
      </c>
      <c r="F135" s="243">
        <f>+'(JAP4) LIGHT Sum'!G406</f>
        <v>16.96</v>
      </c>
      <c r="G135" s="243">
        <f t="shared" si="16"/>
        <v>0.19000000000000128</v>
      </c>
    </row>
    <row r="136" spans="1:7">
      <c r="A136" s="440">
        <f t="shared" ref="A136:A183" si="18">+A135+1</f>
        <v>131</v>
      </c>
      <c r="B136" s="440" t="str">
        <f t="shared" si="17"/>
        <v>55 (56)</v>
      </c>
      <c r="C136" s="245" t="s">
        <v>823</v>
      </c>
      <c r="D136" s="440" t="s">
        <v>826</v>
      </c>
      <c r="E136" s="243">
        <v>17.89</v>
      </c>
      <c r="F136" s="243">
        <f>+'(JAP4) LIGHT Sum'!G407</f>
        <v>18.09</v>
      </c>
      <c r="G136" s="243">
        <f t="shared" si="16"/>
        <v>0.19999999999999929</v>
      </c>
    </row>
    <row r="137" spans="1:7">
      <c r="A137" s="440">
        <f t="shared" si="18"/>
        <v>132</v>
      </c>
      <c r="B137" s="440" t="str">
        <f t="shared" si="17"/>
        <v>55 (56)</v>
      </c>
      <c r="C137" s="245" t="s">
        <v>823</v>
      </c>
      <c r="D137" s="440" t="s">
        <v>827</v>
      </c>
      <c r="E137" s="243">
        <v>19</v>
      </c>
      <c r="F137" s="243">
        <f>+'(JAP4) LIGHT Sum'!G408</f>
        <v>19.2</v>
      </c>
      <c r="G137" s="243">
        <f t="shared" si="16"/>
        <v>0.19999999999999929</v>
      </c>
    </row>
    <row r="138" spans="1:7">
      <c r="A138" s="440">
        <f t="shared" si="18"/>
        <v>133</v>
      </c>
      <c r="B138" s="440" t="str">
        <f t="shared" si="17"/>
        <v>55 (56)</v>
      </c>
      <c r="C138" s="245" t="s">
        <v>823</v>
      </c>
      <c r="D138" s="440" t="s">
        <v>828</v>
      </c>
      <c r="E138" s="243">
        <v>20.12</v>
      </c>
      <c r="F138" s="243">
        <f>+'(JAP4) LIGHT Sum'!G409</f>
        <v>20.330000000000002</v>
      </c>
      <c r="G138" s="243">
        <f t="shared" si="16"/>
        <v>0.21000000000000085</v>
      </c>
    </row>
    <row r="139" spans="1:7">
      <c r="A139" s="440">
        <f t="shared" si="18"/>
        <v>134</v>
      </c>
      <c r="B139" s="440" t="str">
        <f t="shared" si="17"/>
        <v>55 (56)</v>
      </c>
      <c r="C139" s="245" t="s">
        <v>823</v>
      </c>
      <c r="D139" s="440" t="s">
        <v>829</v>
      </c>
      <c r="E139" s="243">
        <v>21.24</v>
      </c>
      <c r="F139" s="243">
        <f>+'(JAP4) LIGHT Sum'!G410</f>
        <v>21.45</v>
      </c>
      <c r="G139" s="243">
        <f t="shared" ref="G139:G175" si="19">+F139-E139</f>
        <v>0.21000000000000085</v>
      </c>
    </row>
    <row r="140" spans="1:7">
      <c r="A140" s="440">
        <f t="shared" si="18"/>
        <v>135</v>
      </c>
      <c r="B140" s="440"/>
      <c r="C140" s="272"/>
      <c r="D140" s="440"/>
      <c r="E140" s="243"/>
      <c r="F140" s="243"/>
      <c r="G140" s="243"/>
    </row>
    <row r="141" spans="1:7">
      <c r="A141" s="440">
        <f t="shared" si="18"/>
        <v>136</v>
      </c>
      <c r="B141" s="440" t="str">
        <f>+$B$122</f>
        <v>55 (56)</v>
      </c>
      <c r="C141" s="259" t="s">
        <v>830</v>
      </c>
      <c r="D141" s="440" t="s">
        <v>831</v>
      </c>
      <c r="E141" s="243">
        <v>5.93</v>
      </c>
      <c r="F141" s="243">
        <f>+'(JAP4) LIGHT Sum'!G412</f>
        <v>6.02</v>
      </c>
      <c r="G141" s="243">
        <f t="shared" si="19"/>
        <v>8.9999999999999858E-2</v>
      </c>
    </row>
    <row r="142" spans="1:7">
      <c r="A142" s="440">
        <f t="shared" si="18"/>
        <v>137</v>
      </c>
      <c r="B142" s="440" t="str">
        <f>+$B$122</f>
        <v>55 (56)</v>
      </c>
      <c r="C142" s="259" t="s">
        <v>830</v>
      </c>
      <c r="D142" s="440" t="s">
        <v>832</v>
      </c>
      <c r="E142" s="243">
        <v>9.75</v>
      </c>
      <c r="F142" s="243">
        <f>+'(JAP4) LIGHT Sum'!G413</f>
        <v>9.9</v>
      </c>
      <c r="G142" s="243">
        <f t="shared" si="19"/>
        <v>0.15000000000000036</v>
      </c>
    </row>
    <row r="143" spans="1:7">
      <c r="A143" s="440">
        <f t="shared" si="18"/>
        <v>138</v>
      </c>
      <c r="B143" s="440"/>
      <c r="C143" s="272"/>
      <c r="D143" s="440"/>
      <c r="E143" s="243"/>
      <c r="F143" s="243"/>
      <c r="G143" s="243"/>
    </row>
    <row r="144" spans="1:7">
      <c r="A144" s="480">
        <f t="shared" si="18"/>
        <v>139</v>
      </c>
      <c r="B144" s="440">
        <v>57</v>
      </c>
      <c r="C144" s="272" t="s">
        <v>833</v>
      </c>
      <c r="D144" s="246" t="s">
        <v>834</v>
      </c>
      <c r="E144" s="248">
        <v>3.9269999999999999E-2</v>
      </c>
      <c r="F144" s="248">
        <f>+'(JAP4) LIGHT Sum'!G426</f>
        <v>3.9289999999999999E-2</v>
      </c>
      <c r="G144" s="248">
        <f t="shared" si="19"/>
        <v>1.9999999999999185E-5</v>
      </c>
    </row>
    <row r="145" spans="1:7">
      <c r="A145" s="480">
        <f t="shared" si="18"/>
        <v>140</v>
      </c>
      <c r="B145" s="440"/>
      <c r="C145" s="272"/>
      <c r="D145" s="440"/>
      <c r="E145" s="243"/>
      <c r="F145" s="243"/>
      <c r="G145" s="243"/>
    </row>
    <row r="146" spans="1:7">
      <c r="A146" s="480">
        <f t="shared" si="18"/>
        <v>141</v>
      </c>
      <c r="B146" s="440" t="s">
        <v>835</v>
      </c>
      <c r="C146" s="272" t="s">
        <v>836</v>
      </c>
      <c r="D146" s="440" t="s">
        <v>805</v>
      </c>
      <c r="E146" s="243">
        <v>11.53</v>
      </c>
      <c r="F146" s="243">
        <f>+'(JAP4) LIGHT Sum'!G439</f>
        <v>11.68</v>
      </c>
      <c r="G146" s="243">
        <f t="shared" si="19"/>
        <v>0.15000000000000036</v>
      </c>
    </row>
    <row r="147" spans="1:7">
      <c r="A147" s="480">
        <f t="shared" si="18"/>
        <v>142</v>
      </c>
      <c r="B147" s="440" t="str">
        <f>+$B$146</f>
        <v>58 (59)</v>
      </c>
      <c r="C147" s="272" t="s">
        <v>836</v>
      </c>
      <c r="D147" s="440" t="s">
        <v>794</v>
      </c>
      <c r="E147" s="243">
        <v>12.72</v>
      </c>
      <c r="F147" s="243">
        <f>+'(JAP4) LIGHT Sum'!G440</f>
        <v>12.88</v>
      </c>
      <c r="G147" s="243">
        <f t="shared" si="19"/>
        <v>0.16000000000000014</v>
      </c>
    </row>
    <row r="148" spans="1:7">
      <c r="A148" s="480">
        <f t="shared" si="18"/>
        <v>143</v>
      </c>
      <c r="B148" s="440" t="str">
        <f>+$B$146</f>
        <v>58 (59)</v>
      </c>
      <c r="C148" s="272" t="s">
        <v>836</v>
      </c>
      <c r="D148" s="440" t="s">
        <v>806</v>
      </c>
      <c r="E148" s="243">
        <v>14.71</v>
      </c>
      <c r="F148" s="243">
        <f>+'(JAP4) LIGHT Sum'!G441</f>
        <v>14.88</v>
      </c>
      <c r="G148" s="243">
        <f t="shared" si="19"/>
        <v>0.16999999999999993</v>
      </c>
    </row>
    <row r="149" spans="1:7">
      <c r="A149" s="480">
        <f t="shared" si="18"/>
        <v>144</v>
      </c>
      <c r="B149" s="440" t="str">
        <f>+$B$146</f>
        <v>58 (59)</v>
      </c>
      <c r="C149" s="272" t="s">
        <v>836</v>
      </c>
      <c r="D149" s="440" t="s">
        <v>807</v>
      </c>
      <c r="E149" s="243">
        <v>16.690000000000001</v>
      </c>
      <c r="F149" s="243">
        <f>+'(JAP4) LIGHT Sum'!G442</f>
        <v>16.87</v>
      </c>
      <c r="G149" s="243">
        <f t="shared" si="19"/>
        <v>0.17999999999999972</v>
      </c>
    </row>
    <row r="150" spans="1:7">
      <c r="A150" s="440">
        <f t="shared" si="18"/>
        <v>145</v>
      </c>
      <c r="B150" s="440" t="str">
        <f>+$B$146</f>
        <v>58 (59)</v>
      </c>
      <c r="C150" s="272" t="s">
        <v>836</v>
      </c>
      <c r="D150" s="440" t="s">
        <v>808</v>
      </c>
      <c r="E150" s="243">
        <v>18.68</v>
      </c>
      <c r="F150" s="243">
        <f>+'(JAP4) LIGHT Sum'!G443</f>
        <v>18.87</v>
      </c>
      <c r="G150" s="243">
        <f t="shared" si="19"/>
        <v>0.19000000000000128</v>
      </c>
    </row>
    <row r="151" spans="1:7">
      <c r="A151" s="440">
        <f t="shared" si="18"/>
        <v>146</v>
      </c>
      <c r="B151" s="440" t="str">
        <f>+$B$146</f>
        <v>58 (59)</v>
      </c>
      <c r="C151" s="272" t="s">
        <v>836</v>
      </c>
      <c r="D151" s="440" t="s">
        <v>796</v>
      </c>
      <c r="E151" s="243">
        <v>24.63</v>
      </c>
      <c r="F151" s="243">
        <f>+'(JAP4) LIGHT Sum'!G444</f>
        <v>24.849999999999998</v>
      </c>
      <c r="G151" s="243">
        <f t="shared" si="19"/>
        <v>0.21999999999999886</v>
      </c>
    </row>
    <row r="152" spans="1:7">
      <c r="A152" s="440">
        <f t="shared" si="18"/>
        <v>147</v>
      </c>
      <c r="B152" s="440"/>
      <c r="C152" s="272"/>
      <c r="D152" s="440"/>
      <c r="E152" s="243"/>
      <c r="F152" s="243"/>
      <c r="G152" s="243"/>
    </row>
    <row r="153" spans="1:7">
      <c r="A153" s="440">
        <f t="shared" si="18"/>
        <v>148</v>
      </c>
      <c r="B153" s="440" t="str">
        <f>+$B$146</f>
        <v>58 (59)</v>
      </c>
      <c r="C153" s="272" t="s">
        <v>837</v>
      </c>
      <c r="D153" s="440" t="s">
        <v>795</v>
      </c>
      <c r="E153" s="243">
        <v>18.64</v>
      </c>
      <c r="F153" s="243">
        <f>+'(JAP4) LIGHT Sum'!G446</f>
        <v>18.86</v>
      </c>
      <c r="G153" s="243">
        <f t="shared" si="19"/>
        <v>0.21999999999999886</v>
      </c>
    </row>
    <row r="154" spans="1:7">
      <c r="A154" s="440">
        <f t="shared" si="18"/>
        <v>149</v>
      </c>
      <c r="B154" s="440" t="str">
        <f>+$B$146</f>
        <v>58 (59)</v>
      </c>
      <c r="C154" s="272" t="s">
        <v>837</v>
      </c>
      <c r="D154" s="440" t="s">
        <v>808</v>
      </c>
      <c r="E154" s="243">
        <v>21.8</v>
      </c>
      <c r="F154" s="243">
        <f>+'(JAP4) LIGHT Sum'!G447</f>
        <v>22.03</v>
      </c>
      <c r="G154" s="243">
        <f t="shared" si="19"/>
        <v>0.23000000000000043</v>
      </c>
    </row>
    <row r="155" spans="1:7">
      <c r="A155" s="440">
        <f t="shared" si="18"/>
        <v>150</v>
      </c>
      <c r="B155" s="440" t="str">
        <f>+$B$146</f>
        <v>58 (59)</v>
      </c>
      <c r="C155" s="272" t="s">
        <v>837</v>
      </c>
      <c r="D155" s="440" t="s">
        <v>796</v>
      </c>
      <c r="E155" s="243">
        <v>28.12</v>
      </c>
      <c r="F155" s="243">
        <f>+'(JAP4) LIGHT Sum'!G448</f>
        <v>28.39</v>
      </c>
      <c r="G155" s="243">
        <f t="shared" si="19"/>
        <v>0.26999999999999957</v>
      </c>
    </row>
    <row r="156" spans="1:7">
      <c r="A156" s="440">
        <f t="shared" si="18"/>
        <v>151</v>
      </c>
      <c r="B156" s="440" t="str">
        <f>+$B$146</f>
        <v>58 (59)</v>
      </c>
      <c r="C156" s="272" t="s">
        <v>837</v>
      </c>
      <c r="D156" s="440" t="s">
        <v>811</v>
      </c>
      <c r="E156" s="243">
        <v>53.4</v>
      </c>
      <c r="F156" s="243">
        <f>+'(JAP4) LIGHT Sum'!G449</f>
        <v>53.82</v>
      </c>
      <c r="G156" s="243">
        <f t="shared" si="19"/>
        <v>0.42000000000000171</v>
      </c>
    </row>
    <row r="157" spans="1:7">
      <c r="A157" s="440">
        <f t="shared" si="18"/>
        <v>152</v>
      </c>
      <c r="B157" s="440"/>
      <c r="C157" s="272"/>
      <c r="D157" s="440"/>
      <c r="E157" s="243"/>
      <c r="F157" s="243"/>
      <c r="G157" s="243"/>
    </row>
    <row r="158" spans="1:7">
      <c r="A158" s="440">
        <f t="shared" si="18"/>
        <v>153</v>
      </c>
      <c r="B158" s="440" t="str">
        <f>+$B$146</f>
        <v>58 (59)</v>
      </c>
      <c r="C158" s="272" t="s">
        <v>838</v>
      </c>
      <c r="D158" s="440" t="s">
        <v>794</v>
      </c>
      <c r="E158" s="243">
        <v>12.72</v>
      </c>
      <c r="F158" s="243">
        <f>+'(JAP4) LIGHT Sum'!G451</f>
        <v>12.88</v>
      </c>
      <c r="G158" s="243">
        <f t="shared" si="19"/>
        <v>0.16000000000000014</v>
      </c>
    </row>
    <row r="159" spans="1:7">
      <c r="A159" s="440">
        <f t="shared" si="18"/>
        <v>154</v>
      </c>
      <c r="B159" s="440" t="str">
        <f>+$B$146</f>
        <v>58 (59)</v>
      </c>
      <c r="C159" s="272" t="s">
        <v>838</v>
      </c>
      <c r="D159" s="440" t="s">
        <v>806</v>
      </c>
      <c r="E159" s="243">
        <v>14.71</v>
      </c>
      <c r="F159" s="243">
        <f>+'(JAP4) LIGHT Sum'!G452</f>
        <v>14.88</v>
      </c>
      <c r="G159" s="243">
        <f t="shared" si="19"/>
        <v>0.16999999999999993</v>
      </c>
    </row>
    <row r="160" spans="1:7">
      <c r="A160" s="440">
        <f t="shared" si="18"/>
        <v>155</v>
      </c>
      <c r="B160" s="440" t="str">
        <f>+$B$146</f>
        <v>58 (59)</v>
      </c>
      <c r="C160" s="272" t="s">
        <v>838</v>
      </c>
      <c r="D160" s="440" t="s">
        <v>807</v>
      </c>
      <c r="E160" s="243">
        <v>16.690000000000001</v>
      </c>
      <c r="F160" s="243">
        <f>+'(JAP4) LIGHT Sum'!G453</f>
        <v>16.87</v>
      </c>
      <c r="G160" s="243">
        <f t="shared" si="19"/>
        <v>0.17999999999999972</v>
      </c>
    </row>
    <row r="161" spans="1:7">
      <c r="A161" s="440">
        <f t="shared" si="18"/>
        <v>156</v>
      </c>
      <c r="B161" s="440" t="str">
        <f>+$B$146</f>
        <v>58 (59)</v>
      </c>
      <c r="C161" s="272" t="s">
        <v>838</v>
      </c>
      <c r="D161" s="440" t="s">
        <v>808</v>
      </c>
      <c r="E161" s="243">
        <v>18.68</v>
      </c>
      <c r="F161" s="243">
        <f>+'(JAP4) LIGHT Sum'!G454</f>
        <v>18.87</v>
      </c>
      <c r="G161" s="243">
        <f t="shared" si="19"/>
        <v>0.19000000000000128</v>
      </c>
    </row>
    <row r="162" spans="1:7">
      <c r="A162" s="440">
        <f t="shared" si="18"/>
        <v>157</v>
      </c>
      <c r="B162" s="440" t="str">
        <f>+$B$146</f>
        <v>58 (59)</v>
      </c>
      <c r="C162" s="272" t="s">
        <v>838</v>
      </c>
      <c r="D162" s="440" t="s">
        <v>796</v>
      </c>
      <c r="E162" s="243">
        <v>24.63</v>
      </c>
      <c r="F162" s="243">
        <f>+'(JAP4) LIGHT Sum'!G455</f>
        <v>24.849999999999998</v>
      </c>
      <c r="G162" s="243">
        <f t="shared" si="19"/>
        <v>0.21999999999999886</v>
      </c>
    </row>
    <row r="163" spans="1:7">
      <c r="A163" s="440">
        <f t="shared" si="18"/>
        <v>158</v>
      </c>
      <c r="B163" s="440"/>
      <c r="C163" s="272"/>
      <c r="D163" s="440"/>
      <c r="E163" s="243"/>
      <c r="F163" s="243"/>
      <c r="G163" s="243"/>
    </row>
    <row r="164" spans="1:7">
      <c r="A164" s="440">
        <f t="shared" si="18"/>
        <v>159</v>
      </c>
      <c r="B164" s="440" t="str">
        <f>+$B$146</f>
        <v>58 (59)</v>
      </c>
      <c r="C164" s="272" t="s">
        <v>839</v>
      </c>
      <c r="D164" s="440" t="s">
        <v>808</v>
      </c>
      <c r="E164" s="243">
        <v>21.8</v>
      </c>
      <c r="F164" s="243">
        <f>+'(JAP4) LIGHT Sum'!G457</f>
        <v>22.03</v>
      </c>
      <c r="G164" s="243">
        <f t="shared" si="19"/>
        <v>0.23000000000000043</v>
      </c>
    </row>
    <row r="165" spans="1:7">
      <c r="A165" s="440">
        <f t="shared" si="18"/>
        <v>160</v>
      </c>
      <c r="B165" s="440" t="str">
        <f>+$B$146</f>
        <v>58 (59)</v>
      </c>
      <c r="C165" s="272" t="s">
        <v>839</v>
      </c>
      <c r="D165" s="440" t="s">
        <v>796</v>
      </c>
      <c r="E165" s="243">
        <v>28.12</v>
      </c>
      <c r="F165" s="243">
        <f>+'(JAP4) LIGHT Sum'!G458</f>
        <v>28.39</v>
      </c>
      <c r="G165" s="243">
        <f t="shared" si="19"/>
        <v>0.26999999999999957</v>
      </c>
    </row>
    <row r="166" spans="1:7">
      <c r="A166" s="440">
        <f t="shared" si="18"/>
        <v>161</v>
      </c>
      <c r="B166" s="440"/>
      <c r="C166" s="272"/>
      <c r="D166" s="440"/>
      <c r="E166" s="243"/>
      <c r="F166" s="243"/>
      <c r="G166" s="243"/>
    </row>
    <row r="167" spans="1:7">
      <c r="A167" s="440">
        <f t="shared" si="18"/>
        <v>162</v>
      </c>
      <c r="B167" s="440" t="str">
        <f t="shared" ref="B167:B181" si="20">+$B$146</f>
        <v>58 (59)</v>
      </c>
      <c r="C167" s="245" t="s">
        <v>840</v>
      </c>
      <c r="D167" s="246" t="s">
        <v>999</v>
      </c>
      <c r="E167" s="243">
        <v>12.31</v>
      </c>
      <c r="F167" s="243">
        <f>+'(JAP4) LIGHT Sum'!G460</f>
        <v>12.48</v>
      </c>
      <c r="G167" s="243">
        <f t="shared" si="19"/>
        <v>0.16999999999999993</v>
      </c>
    </row>
    <row r="168" spans="1:7">
      <c r="A168" s="440">
        <f t="shared" si="18"/>
        <v>163</v>
      </c>
      <c r="B168" s="440" t="str">
        <f t="shared" si="20"/>
        <v>58 (59)</v>
      </c>
      <c r="C168" s="245" t="s">
        <v>840</v>
      </c>
      <c r="D168" s="246" t="s">
        <v>1000</v>
      </c>
      <c r="E168" s="243">
        <v>13.42</v>
      </c>
      <c r="F168" s="243">
        <f>+'(JAP4) LIGHT Sum'!G463</f>
        <v>13.6</v>
      </c>
      <c r="G168" s="243">
        <f t="shared" si="19"/>
        <v>0.17999999999999972</v>
      </c>
    </row>
    <row r="169" spans="1:7">
      <c r="A169" s="440">
        <f t="shared" si="18"/>
        <v>164</v>
      </c>
      <c r="B169" s="440" t="str">
        <f t="shared" si="20"/>
        <v>58 (59)</v>
      </c>
      <c r="C169" s="245" t="s">
        <v>840</v>
      </c>
      <c r="D169" s="246" t="s">
        <v>1001</v>
      </c>
      <c r="E169" s="243">
        <v>14.54</v>
      </c>
      <c r="F169" s="243">
        <f>+'(JAP4) LIGHT Sum'!G469</f>
        <v>14.719999999999999</v>
      </c>
      <c r="G169" s="243">
        <f t="shared" si="19"/>
        <v>0.17999999999999972</v>
      </c>
    </row>
    <row r="170" spans="1:7">
      <c r="A170" s="440">
        <f t="shared" si="18"/>
        <v>165</v>
      </c>
      <c r="B170" s="440" t="str">
        <f t="shared" si="20"/>
        <v>58 (59)</v>
      </c>
      <c r="C170" s="245" t="s">
        <v>840</v>
      </c>
      <c r="D170" s="246" t="s">
        <v>824</v>
      </c>
      <c r="E170" s="243">
        <v>15.66</v>
      </c>
      <c r="F170" s="243">
        <f>+'(JAP4) LIGHT Sum'!G474</f>
        <v>15.85</v>
      </c>
      <c r="G170" s="243">
        <f t="shared" si="19"/>
        <v>0.1899999999999995</v>
      </c>
    </row>
    <row r="171" spans="1:7">
      <c r="A171" s="440">
        <f t="shared" si="18"/>
        <v>166</v>
      </c>
      <c r="B171" s="440" t="str">
        <f t="shared" si="20"/>
        <v>58 (59)</v>
      </c>
      <c r="C171" s="245" t="s">
        <v>840</v>
      </c>
      <c r="D171" s="246" t="s">
        <v>825</v>
      </c>
      <c r="E171" s="243">
        <v>16.77</v>
      </c>
      <c r="F171" s="243">
        <f>+'(JAP4) LIGHT Sum'!G477</f>
        <v>16.96</v>
      </c>
      <c r="G171" s="243">
        <f t="shared" si="19"/>
        <v>0.19000000000000128</v>
      </c>
    </row>
    <row r="172" spans="1:7">
      <c r="A172" s="440">
        <f t="shared" si="18"/>
        <v>167</v>
      </c>
      <c r="B172" s="440" t="str">
        <f t="shared" si="20"/>
        <v>58 (59)</v>
      </c>
      <c r="C172" s="245" t="s">
        <v>840</v>
      </c>
      <c r="D172" s="246" t="s">
        <v>826</v>
      </c>
      <c r="E172" s="243">
        <v>17.89</v>
      </c>
      <c r="F172" s="243">
        <f>+'(JAP4) LIGHT Sum'!G480</f>
        <v>18.09</v>
      </c>
      <c r="G172" s="243">
        <f t="shared" si="19"/>
        <v>0.19999999999999929</v>
      </c>
    </row>
    <row r="173" spans="1:7">
      <c r="A173" s="440">
        <f t="shared" si="18"/>
        <v>168</v>
      </c>
      <c r="B173" s="440" t="str">
        <f t="shared" si="20"/>
        <v>58 (59)</v>
      </c>
      <c r="C173" s="245" t="s">
        <v>840</v>
      </c>
      <c r="D173" s="246" t="s">
        <v>827</v>
      </c>
      <c r="E173" s="243">
        <v>19</v>
      </c>
      <c r="F173" s="243">
        <f>+'(JAP4) LIGHT Sum'!G485</f>
        <v>19.2</v>
      </c>
      <c r="G173" s="243">
        <f t="shared" si="19"/>
        <v>0.19999999999999929</v>
      </c>
    </row>
    <row r="174" spans="1:7">
      <c r="A174" s="440">
        <f t="shared" si="18"/>
        <v>169</v>
      </c>
      <c r="B174" s="440" t="str">
        <f t="shared" si="20"/>
        <v>58 (59)</v>
      </c>
      <c r="C174" s="245" t="s">
        <v>840</v>
      </c>
      <c r="D174" s="246" t="s">
        <v>828</v>
      </c>
      <c r="E174" s="243">
        <v>20.12</v>
      </c>
      <c r="F174" s="243">
        <f>+'(JAP4) LIGHT Sum'!G488</f>
        <v>20.330000000000002</v>
      </c>
      <c r="G174" s="243">
        <f t="shared" si="19"/>
        <v>0.21000000000000085</v>
      </c>
    </row>
    <row r="175" spans="1:7">
      <c r="A175" s="440">
        <f t="shared" si="18"/>
        <v>170</v>
      </c>
      <c r="B175" s="440" t="str">
        <f t="shared" si="20"/>
        <v>58 (59)</v>
      </c>
      <c r="C175" s="245" t="s">
        <v>840</v>
      </c>
      <c r="D175" s="246" t="s">
        <v>829</v>
      </c>
      <c r="E175" s="243">
        <v>21.24</v>
      </c>
      <c r="F175" s="243">
        <f>+'(JAP4) LIGHT Sum'!G494</f>
        <v>21.45</v>
      </c>
      <c r="G175" s="243">
        <f t="shared" si="19"/>
        <v>0.21000000000000085</v>
      </c>
    </row>
    <row r="176" spans="1:7">
      <c r="A176" s="440">
        <f t="shared" si="18"/>
        <v>171</v>
      </c>
      <c r="B176" s="440" t="str">
        <f t="shared" si="20"/>
        <v>58 (59)</v>
      </c>
      <c r="C176" s="245" t="s">
        <v>840</v>
      </c>
      <c r="D176" s="246" t="s">
        <v>1004</v>
      </c>
      <c r="E176" s="243">
        <v>23.66</v>
      </c>
      <c r="F176" s="243">
        <f>+'(JAP4) LIGHT Sum'!G495</f>
        <v>23.88</v>
      </c>
      <c r="G176" s="243">
        <f t="shared" ref="G176:G183" si="21">+F176-E176</f>
        <v>0.21999999999999886</v>
      </c>
    </row>
    <row r="177" spans="1:7">
      <c r="A177" s="440">
        <f t="shared" si="18"/>
        <v>172</v>
      </c>
      <c r="B177" s="440" t="str">
        <f t="shared" si="20"/>
        <v>58 (59)</v>
      </c>
      <c r="C177" s="245" t="s">
        <v>840</v>
      </c>
      <c r="D177" s="246" t="s">
        <v>841</v>
      </c>
      <c r="E177" s="243">
        <v>27.38</v>
      </c>
      <c r="F177" s="243">
        <f>+'(JAP4) LIGHT Sum'!G501</f>
        <v>27.619999999999997</v>
      </c>
      <c r="G177" s="243">
        <f t="shared" si="21"/>
        <v>0.23999999999999844</v>
      </c>
    </row>
    <row r="178" spans="1:7">
      <c r="A178" s="440">
        <f t="shared" si="18"/>
        <v>173</v>
      </c>
      <c r="B178" s="440" t="str">
        <f t="shared" si="20"/>
        <v>58 (59)</v>
      </c>
      <c r="C178" s="245" t="s">
        <v>840</v>
      </c>
      <c r="D178" s="246" t="s">
        <v>1003</v>
      </c>
      <c r="E178" s="243">
        <v>31.1</v>
      </c>
      <c r="F178" s="243">
        <f>+'(JAP4) LIGHT Sum'!G502</f>
        <v>31.360000000000003</v>
      </c>
      <c r="G178" s="243">
        <f t="shared" si="21"/>
        <v>0.26000000000000156</v>
      </c>
    </row>
    <row r="179" spans="1:7">
      <c r="A179" s="440">
        <f t="shared" si="18"/>
        <v>174</v>
      </c>
      <c r="B179" s="440" t="str">
        <f t="shared" si="20"/>
        <v>58 (59)</v>
      </c>
      <c r="C179" s="245" t="s">
        <v>840</v>
      </c>
      <c r="D179" s="246" t="s">
        <v>842</v>
      </c>
      <c r="E179" s="243">
        <v>34.82</v>
      </c>
      <c r="F179" s="243">
        <f>+'(JAP4) LIGHT Sum'!G509</f>
        <v>35.1</v>
      </c>
      <c r="G179" s="243">
        <f t="shared" si="21"/>
        <v>0.28000000000000114</v>
      </c>
    </row>
    <row r="180" spans="1:7">
      <c r="A180" s="440">
        <f t="shared" si="18"/>
        <v>175</v>
      </c>
      <c r="B180" s="440" t="str">
        <f t="shared" si="20"/>
        <v>58 (59)</v>
      </c>
      <c r="C180" s="245" t="s">
        <v>840</v>
      </c>
      <c r="D180" s="246" t="s">
        <v>843</v>
      </c>
      <c r="E180" s="243">
        <v>38.54</v>
      </c>
      <c r="F180" s="243">
        <f>+'(JAP4) LIGHT Sum'!G510</f>
        <v>38.83</v>
      </c>
      <c r="G180" s="243">
        <f t="shared" si="21"/>
        <v>0.28999999999999915</v>
      </c>
    </row>
    <row r="181" spans="1:7">
      <c r="A181" s="440">
        <f t="shared" si="18"/>
        <v>176</v>
      </c>
      <c r="B181" s="440" t="str">
        <f t="shared" si="20"/>
        <v>58 (59)</v>
      </c>
      <c r="C181" s="245" t="s">
        <v>840</v>
      </c>
      <c r="D181" s="246" t="s">
        <v>1002</v>
      </c>
      <c r="E181" s="243">
        <v>42.26</v>
      </c>
      <c r="F181" s="243">
        <f>+'(JAP4) LIGHT Sum'!G511</f>
        <v>42.57</v>
      </c>
      <c r="G181" s="243">
        <f t="shared" si="21"/>
        <v>0.31000000000000227</v>
      </c>
    </row>
    <row r="182" spans="1:7">
      <c r="A182" s="440">
        <f t="shared" si="18"/>
        <v>177</v>
      </c>
      <c r="B182" s="440"/>
      <c r="C182" s="272"/>
      <c r="D182" s="440"/>
      <c r="E182" s="243"/>
      <c r="F182" s="243"/>
      <c r="G182" s="243"/>
    </row>
    <row r="183" spans="1:7">
      <c r="A183" s="440">
        <f t="shared" si="18"/>
        <v>178</v>
      </c>
      <c r="B183" s="440" t="str">
        <f>+$B$146</f>
        <v>58 (59)</v>
      </c>
      <c r="C183" s="272" t="s">
        <v>844</v>
      </c>
      <c r="D183" s="440" t="s">
        <v>832</v>
      </c>
      <c r="E183" s="243">
        <v>9.75</v>
      </c>
      <c r="F183" s="243">
        <f>+'(JAP4) LIGHT Sum'!G524</f>
        <v>9.9</v>
      </c>
      <c r="G183" s="243">
        <f t="shared" si="21"/>
        <v>0.15000000000000036</v>
      </c>
    </row>
  </sheetData>
  <printOptions horizontalCentered="1"/>
  <pageMargins left="0.7" right="0.7" top="0.75" bottom="0.75" header="0.3" footer="0.3"/>
  <pageSetup scale="94" fitToHeight="0" orientation="portrait" r:id="rId1"/>
  <headerFooter alignWithMargins="0">
    <oddFooter>&amp;L&amp;F
&amp;A&amp;R2018 ERF Rate Design Workpapers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"/>
  <sheetViews>
    <sheetView workbookViewId="0">
      <selection activeCell="D153" sqref="D153:E171"/>
    </sheetView>
  </sheetViews>
  <sheetFormatPr defaultColWidth="8.75" defaultRowHeight="15.75"/>
  <cols>
    <col min="1" max="16384" width="8.75" style="47"/>
  </cols>
  <sheetData/>
  <printOptions horizontalCentered="1"/>
  <pageMargins left="0.7" right="0.7" top="0.75" bottom="0.75" header="0.3" footer="0.3"/>
  <pageSetup fitToHeight="0" orientation="landscape" r:id="rId1"/>
  <headerFooter alignWithMargins="0">
    <oddFooter>&amp;L&amp;F
&amp;A&amp;R2018 ERF Rate Design Workpapers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52"/>
  <sheetViews>
    <sheetView zoomScaleNormal="100" workbookViewId="0">
      <selection activeCell="F34" sqref="F34"/>
    </sheetView>
  </sheetViews>
  <sheetFormatPr defaultColWidth="8.75" defaultRowHeight="12"/>
  <cols>
    <col min="1" max="1" width="3.25" style="161" bestFit="1" customWidth="1"/>
    <col min="2" max="2" width="22.75" style="161" bestFit="1" customWidth="1"/>
    <col min="3" max="3" width="9.875" style="161" bestFit="1" customWidth="1"/>
    <col min="4" max="4" width="9.125" style="161" customWidth="1"/>
    <col min="5" max="5" width="10.25" style="161" customWidth="1"/>
    <col min="6" max="6" width="10.375" style="161" customWidth="1"/>
    <col min="7" max="7" width="8.125" style="161" bestFit="1" customWidth="1"/>
    <col min="8" max="8" width="6.875" style="161" bestFit="1" customWidth="1"/>
    <col min="9" max="9" width="8.5" style="161" bestFit="1" customWidth="1"/>
    <col min="10" max="10" width="7" style="161" bestFit="1" customWidth="1"/>
    <col min="11" max="11" width="8.75" style="161" customWidth="1"/>
    <col min="12" max="12" width="3.5" style="161" customWidth="1"/>
    <col min="13" max="13" width="8.625" style="161" bestFit="1" customWidth="1"/>
    <col min="14" max="14" width="1.75" style="161" customWidth="1"/>
    <col min="15" max="15" width="6.25" style="161" bestFit="1" customWidth="1"/>
    <col min="16" max="16384" width="8.75" style="161"/>
  </cols>
  <sheetData>
    <row r="1" spans="1:17">
      <c r="A1" s="489" t="s">
        <v>86</v>
      </c>
      <c r="B1" s="490" t="s">
        <v>206</v>
      </c>
      <c r="C1" s="490"/>
      <c r="D1" s="490"/>
      <c r="E1" s="490"/>
      <c r="F1" s="490"/>
      <c r="G1" s="490"/>
      <c r="H1" s="490"/>
      <c r="I1" s="490"/>
      <c r="J1" s="490"/>
      <c r="K1" s="490"/>
    </row>
    <row r="2" spans="1:17">
      <c r="A2" s="489" t="s">
        <v>893</v>
      </c>
      <c r="B2" s="490" t="s">
        <v>206</v>
      </c>
      <c r="C2" s="490"/>
      <c r="D2" s="490"/>
      <c r="E2" s="490"/>
      <c r="F2" s="490"/>
      <c r="G2" s="490"/>
      <c r="H2" s="490"/>
      <c r="I2" s="490"/>
      <c r="J2" s="490"/>
      <c r="K2" s="490"/>
    </row>
    <row r="3" spans="1:17">
      <c r="A3" s="489" t="s">
        <v>1021</v>
      </c>
      <c r="B3" s="490" t="s">
        <v>207</v>
      </c>
      <c r="C3" s="490"/>
      <c r="D3" s="490"/>
      <c r="E3" s="490"/>
      <c r="F3" s="490"/>
      <c r="G3" s="490"/>
      <c r="H3" s="490"/>
      <c r="I3" s="490"/>
      <c r="J3" s="490"/>
      <c r="K3" s="490"/>
    </row>
    <row r="4" spans="1:17"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7" ht="60">
      <c r="A5" s="163" t="s">
        <v>208</v>
      </c>
      <c r="B5" s="163" t="s">
        <v>209</v>
      </c>
      <c r="C5" s="163" t="s">
        <v>210</v>
      </c>
      <c r="D5" s="164" t="s">
        <v>243</v>
      </c>
      <c r="E5" s="164" t="s">
        <v>1026</v>
      </c>
      <c r="F5" s="164" t="s">
        <v>247</v>
      </c>
      <c r="G5" s="164" t="s">
        <v>244</v>
      </c>
      <c r="H5" s="164" t="s">
        <v>211</v>
      </c>
      <c r="I5" s="164" t="s">
        <v>212</v>
      </c>
      <c r="J5" s="164" t="s">
        <v>246</v>
      </c>
      <c r="K5" s="164" t="s">
        <v>245</v>
      </c>
      <c r="M5" s="164" t="s">
        <v>371</v>
      </c>
      <c r="O5" s="164" t="s">
        <v>1028</v>
      </c>
    </row>
    <row r="6" spans="1:17" ht="24">
      <c r="A6" s="165"/>
      <c r="B6" s="166"/>
      <c r="C6" s="167"/>
      <c r="D6" s="167" t="s">
        <v>213</v>
      </c>
      <c r="E6" s="167" t="s">
        <v>214</v>
      </c>
      <c r="F6" s="165" t="s">
        <v>215</v>
      </c>
      <c r="G6" s="167" t="s">
        <v>216</v>
      </c>
      <c r="H6" s="165" t="s">
        <v>217</v>
      </c>
      <c r="I6" s="165" t="s">
        <v>218</v>
      </c>
      <c r="J6" s="168" t="s">
        <v>219</v>
      </c>
      <c r="K6" s="168" t="s">
        <v>220</v>
      </c>
    </row>
    <row r="7" spans="1:17">
      <c r="A7" s="165"/>
      <c r="B7" s="166"/>
      <c r="C7" s="167"/>
      <c r="D7" s="167"/>
      <c r="E7" s="167"/>
      <c r="F7" s="165"/>
      <c r="G7" s="167"/>
      <c r="H7" s="165"/>
      <c r="I7" s="165"/>
      <c r="J7" s="165"/>
      <c r="K7" s="165"/>
    </row>
    <row r="8" spans="1:17">
      <c r="A8" s="169">
        <v>1</v>
      </c>
      <c r="B8" s="170" t="s">
        <v>221</v>
      </c>
      <c r="C8" s="443">
        <v>7</v>
      </c>
      <c r="D8" s="171">
        <f>+'(JAP4) Proposed ERF Rev'!J17</f>
        <v>10657340</v>
      </c>
      <c r="E8" s="172">
        <f>+'(JAP4) Proposed ERF Rev'!L17</f>
        <v>1109032.567</v>
      </c>
      <c r="G8" s="188">
        <f>E8/(E$34-E$22-E$32-$E$26)</f>
        <v>0.56049918208564198</v>
      </c>
      <c r="H8" s="173">
        <v>1</v>
      </c>
      <c r="I8" s="181">
        <f>+$I$40*H8</f>
        <v>1.0878288788169793E-2</v>
      </c>
      <c r="J8" s="172">
        <f>+E8*I8</f>
        <v>12064.376539311266</v>
      </c>
      <c r="K8" s="172">
        <f>+E8+J8</f>
        <v>1121096.9435393114</v>
      </c>
      <c r="M8" s="190">
        <f>+J8*1000</f>
        <v>12064376.539311266</v>
      </c>
      <c r="O8" s="479">
        <f>ROUND(J8/1000,1)</f>
        <v>12.1</v>
      </c>
      <c r="Q8" s="190"/>
    </row>
    <row r="9" spans="1:17">
      <c r="A9" s="169">
        <f>+A8+1</f>
        <v>2</v>
      </c>
      <c r="C9" s="443"/>
      <c r="D9" s="174"/>
      <c r="E9" s="175"/>
      <c r="G9" s="188"/>
      <c r="J9" s="175"/>
      <c r="K9" s="175"/>
      <c r="M9" s="190">
        <f t="shared" ref="M9:M34" si="0">+J9*1000</f>
        <v>0</v>
      </c>
      <c r="O9" s="479"/>
      <c r="Q9" s="190"/>
    </row>
    <row r="10" spans="1:17">
      <c r="A10" s="169">
        <f t="shared" ref="A10:A40" si="1">+A9+1</f>
        <v>3</v>
      </c>
      <c r="B10" s="161" t="s">
        <v>149</v>
      </c>
      <c r="C10" s="443"/>
      <c r="D10" s="174"/>
      <c r="E10" s="175"/>
      <c r="G10" s="188"/>
      <c r="J10" s="175"/>
      <c r="K10" s="175"/>
      <c r="M10" s="190">
        <f t="shared" si="0"/>
        <v>0</v>
      </c>
      <c r="O10" s="479"/>
      <c r="Q10" s="190"/>
    </row>
    <row r="11" spans="1:17">
      <c r="A11" s="169">
        <f t="shared" si="1"/>
        <v>4</v>
      </c>
      <c r="B11" s="176" t="s">
        <v>222</v>
      </c>
      <c r="C11" s="442" t="s">
        <v>223</v>
      </c>
      <c r="D11" s="178">
        <f>SUM('(JAP4) Proposed ERF Rev'!J21)</f>
        <v>2769974</v>
      </c>
      <c r="E11" s="175">
        <f>SUM('(JAP4) Proposed ERF Rev'!L21)</f>
        <v>269558.01400000002</v>
      </c>
      <c r="G11" s="188">
        <f>E11/(E$34-E$22-E$32-$E$26)</f>
        <v>0.13623319176309637</v>
      </c>
      <c r="H11" s="173">
        <v>0.75</v>
      </c>
      <c r="I11" s="181">
        <f>+$I$40*H11</f>
        <v>8.1587165911273449E-3</v>
      </c>
      <c r="J11" s="175">
        <f>+E11*I11</f>
        <v>2199.2474410931372</v>
      </c>
      <c r="K11" s="175">
        <f>+E11+J11</f>
        <v>271757.26144109317</v>
      </c>
      <c r="M11" s="190">
        <f t="shared" si="0"/>
        <v>2199247.441093137</v>
      </c>
      <c r="O11" s="479">
        <f t="shared" ref="O11:O13" si="2">ROUND(J11/1000,1)</f>
        <v>2.2000000000000002</v>
      </c>
      <c r="Q11" s="190"/>
    </row>
    <row r="12" spans="1:17">
      <c r="A12" s="169">
        <f t="shared" si="1"/>
        <v>5</v>
      </c>
      <c r="B12" s="176" t="s">
        <v>224</v>
      </c>
      <c r="C12" s="442" t="s">
        <v>225</v>
      </c>
      <c r="D12" s="178">
        <f>SUM('(JAP4) Proposed ERF Rev'!J22,'(JAP4) Proposed ERF Rev'!J24)</f>
        <v>2980908</v>
      </c>
      <c r="E12" s="175">
        <f>SUM('(JAP4) Proposed ERF Rev'!L22,'(JAP4) Proposed ERF Rev'!L24)</f>
        <v>268696.65600000002</v>
      </c>
      <c r="G12" s="188">
        <f>E12/(E$34-E$22-E$32-$E$26)</f>
        <v>0.13579786599463053</v>
      </c>
      <c r="H12" s="173">
        <v>0.65</v>
      </c>
      <c r="I12" s="181">
        <f>+$I$40*H12</f>
        <v>7.0708877123103657E-3</v>
      </c>
      <c r="J12" s="175">
        <f>+E12*I12</f>
        <v>1899.9238832492854</v>
      </c>
      <c r="K12" s="175">
        <f>+E12+J12</f>
        <v>270596.5798832493</v>
      </c>
      <c r="M12" s="190">
        <f t="shared" si="0"/>
        <v>1899923.8832492854</v>
      </c>
      <c r="O12" s="479">
        <f t="shared" si="2"/>
        <v>1.9</v>
      </c>
      <c r="Q12" s="190"/>
    </row>
    <row r="13" spans="1:17">
      <c r="A13" s="169">
        <f t="shared" si="1"/>
        <v>6</v>
      </c>
      <c r="B13" s="176" t="s">
        <v>226</v>
      </c>
      <c r="C13" s="442" t="s">
        <v>227</v>
      </c>
      <c r="D13" s="178">
        <f>SUM('(JAP4) Proposed ERF Rev'!J23)</f>
        <v>1872505.8629326143</v>
      </c>
      <c r="E13" s="175">
        <f>SUM('(JAP4) Proposed ERF Rev'!L23)</f>
        <v>155148.611</v>
      </c>
      <c r="G13" s="188">
        <f>E13/(E$34-E$22-E$32-$E$26)</f>
        <v>7.8411285795201929E-2</v>
      </c>
      <c r="H13" s="173">
        <v>0.65</v>
      </c>
      <c r="I13" s="181">
        <f>+$I$40*H13</f>
        <v>7.0708877123103657E-3</v>
      </c>
      <c r="J13" s="175">
        <f>+E13*I13</f>
        <v>1097.0384071019209</v>
      </c>
      <c r="K13" s="175">
        <f>+E13+J13</f>
        <v>156245.64940710191</v>
      </c>
      <c r="M13" s="190">
        <f t="shared" si="0"/>
        <v>1097038.407101921</v>
      </c>
      <c r="O13" s="479">
        <f t="shared" si="2"/>
        <v>1.1000000000000001</v>
      </c>
      <c r="Q13" s="190"/>
    </row>
    <row r="14" spans="1:17">
      <c r="A14" s="169">
        <f t="shared" si="1"/>
        <v>7</v>
      </c>
      <c r="B14" s="177" t="s">
        <v>228</v>
      </c>
      <c r="C14" s="443"/>
      <c r="D14" s="182">
        <f>SUM(D11:D13)</f>
        <v>7623387.8629326141</v>
      </c>
      <c r="E14" s="172">
        <f>SUM(E11:E13)</f>
        <v>693403.28100000008</v>
      </c>
      <c r="G14" s="188"/>
      <c r="J14" s="172">
        <f>SUM(J11:J13)</f>
        <v>5196.2097314443436</v>
      </c>
      <c r="K14" s="172">
        <f>SUM(K11:K13)</f>
        <v>698599.49073144433</v>
      </c>
      <c r="M14" s="190">
        <f t="shared" si="0"/>
        <v>5196209.7314443439</v>
      </c>
      <c r="O14" s="479"/>
      <c r="Q14" s="190"/>
    </row>
    <row r="15" spans="1:17">
      <c r="A15" s="169">
        <f t="shared" si="1"/>
        <v>8</v>
      </c>
      <c r="C15" s="443"/>
      <c r="D15" s="178"/>
      <c r="E15" s="175"/>
      <c r="G15" s="188"/>
      <c r="J15" s="175"/>
      <c r="K15" s="175"/>
      <c r="M15" s="190">
        <f t="shared" si="0"/>
        <v>0</v>
      </c>
      <c r="O15" s="479"/>
      <c r="Q15" s="190"/>
    </row>
    <row r="16" spans="1:17">
      <c r="A16" s="169">
        <f t="shared" si="1"/>
        <v>9</v>
      </c>
      <c r="B16" s="161" t="s">
        <v>145</v>
      </c>
      <c r="C16" s="443"/>
      <c r="D16" s="178"/>
      <c r="E16" s="175"/>
      <c r="G16" s="188"/>
      <c r="J16" s="175"/>
      <c r="K16" s="175"/>
      <c r="M16" s="190">
        <f t="shared" si="0"/>
        <v>0</v>
      </c>
      <c r="O16" s="479"/>
      <c r="Q16" s="190"/>
    </row>
    <row r="17" spans="1:17">
      <c r="A17" s="169">
        <f t="shared" si="1"/>
        <v>10</v>
      </c>
      <c r="B17" s="176" t="s">
        <v>360</v>
      </c>
      <c r="C17" s="442" t="s">
        <v>362</v>
      </c>
      <c r="D17" s="178">
        <f>SUM('(JAP4) Proposed ERF Rev'!J28)</f>
        <v>1321181.4175556169</v>
      </c>
      <c r="E17" s="175">
        <f>SUM('(JAP4) Proposed ERF Rev'!L28)</f>
        <v>107151.91499999999</v>
      </c>
      <c r="G17" s="188">
        <f>E17/(E$34-E$22-E$32-$E$26)</f>
        <v>5.4154009993477699E-2</v>
      </c>
      <c r="H17" s="173">
        <v>0.65</v>
      </c>
      <c r="I17" s="181">
        <f>+$I$40*H17</f>
        <v>7.0708877123103657E-3</v>
      </c>
      <c r="J17" s="175">
        <f>+E17*I17</f>
        <v>757.65915912402477</v>
      </c>
      <c r="K17" s="175">
        <f>+E17+J17</f>
        <v>107909.57415912402</v>
      </c>
      <c r="M17" s="190">
        <f t="shared" si="0"/>
        <v>757659.15912402479</v>
      </c>
      <c r="O17" s="479"/>
      <c r="Q17" s="190"/>
    </row>
    <row r="18" spans="1:17">
      <c r="A18" s="169">
        <f t="shared" si="1"/>
        <v>11</v>
      </c>
      <c r="B18" s="176" t="s">
        <v>361</v>
      </c>
      <c r="C18" s="442">
        <v>35</v>
      </c>
      <c r="D18" s="178">
        <f>SUM('(JAP4) Proposed ERF Rev'!J29)</f>
        <v>3789.48</v>
      </c>
      <c r="E18" s="175">
        <f>SUM('(JAP4) Proposed ERF Rev'!L29)</f>
        <v>226.02600000000001</v>
      </c>
      <c r="G18" s="188">
        <f>E18/(E$34-E$22-E$32-$E$26)</f>
        <v>1.1423234258375868E-4</v>
      </c>
      <c r="H18" s="173">
        <v>1.5</v>
      </c>
      <c r="I18" s="181">
        <f>+$I$40*H18</f>
        <v>1.631743318225469E-2</v>
      </c>
      <c r="J18" s="175">
        <f>+E18*I18</f>
        <v>3.6881641524522988</v>
      </c>
      <c r="K18" s="175">
        <f>+E18+J18</f>
        <v>229.7141641524523</v>
      </c>
      <c r="M18" s="190">
        <f>+J18*1000</f>
        <v>3688.1641524522988</v>
      </c>
      <c r="O18" s="479"/>
      <c r="Q18" s="190"/>
    </row>
    <row r="19" spans="1:17">
      <c r="A19" s="169">
        <f t="shared" si="1"/>
        <v>12</v>
      </c>
      <c r="B19" s="179" t="s">
        <v>229</v>
      </c>
      <c r="C19" s="443">
        <v>43</v>
      </c>
      <c r="D19" s="178">
        <f>SUM('(JAP4) Proposed ERF Rev'!J30)</f>
        <v>123046.16422024449</v>
      </c>
      <c r="E19" s="175">
        <f>SUM('(JAP4) Proposed ERF Rev'!L30)</f>
        <v>10794.427</v>
      </c>
      <c r="G19" s="188">
        <f>E19/(E$34-E$22-E$32-$E$26)</f>
        <v>5.4554462011422332E-3</v>
      </c>
      <c r="H19" s="173">
        <v>1</v>
      </c>
      <c r="I19" s="181">
        <f>+$I$40*H19</f>
        <v>1.0878288788169793E-2</v>
      </c>
      <c r="J19" s="175">
        <f>+E19*I19</f>
        <v>117.42489420881729</v>
      </c>
      <c r="K19" s="175">
        <f>+E19+J19</f>
        <v>10911.851894208818</v>
      </c>
      <c r="M19" s="190">
        <f t="shared" si="0"/>
        <v>117424.89420881729</v>
      </c>
      <c r="O19" s="479"/>
      <c r="Q19" s="190"/>
    </row>
    <row r="20" spans="1:17">
      <c r="A20" s="169">
        <f t="shared" si="1"/>
        <v>13</v>
      </c>
      <c r="B20" s="170" t="s">
        <v>230</v>
      </c>
      <c r="C20" s="443"/>
      <c r="D20" s="182">
        <f>SUM(D17:D19)</f>
        <v>1448017.0617758613</v>
      </c>
      <c r="E20" s="172">
        <f>SUM(E17:E19)</f>
        <v>118172.36799999999</v>
      </c>
      <c r="G20" s="188"/>
      <c r="J20" s="172">
        <f>SUM(J17:J19)</f>
        <v>878.77221748529428</v>
      </c>
      <c r="K20" s="172">
        <f>SUM(K17:K19)</f>
        <v>119051.14021748528</v>
      </c>
      <c r="M20" s="190">
        <f t="shared" si="0"/>
        <v>878772.21748529433</v>
      </c>
      <c r="O20" s="479">
        <f t="shared" ref="O20" si="3">ROUND(J20/1000,1)</f>
        <v>0.9</v>
      </c>
      <c r="Q20" s="190"/>
    </row>
    <row r="21" spans="1:17">
      <c r="A21" s="169">
        <f t="shared" si="1"/>
        <v>14</v>
      </c>
      <c r="C21" s="443"/>
      <c r="D21" s="180"/>
      <c r="E21" s="190"/>
      <c r="G21" s="181"/>
      <c r="M21" s="190">
        <f t="shared" si="0"/>
        <v>0</v>
      </c>
      <c r="O21" s="479"/>
      <c r="Q21" s="190"/>
    </row>
    <row r="22" spans="1:17">
      <c r="A22" s="169">
        <f t="shared" si="1"/>
        <v>15</v>
      </c>
      <c r="B22" s="170" t="s">
        <v>61</v>
      </c>
      <c r="C22" s="443">
        <v>40</v>
      </c>
      <c r="D22" s="182">
        <f>SUM('(JAP4) Proposed ERF Rev'!J33)</f>
        <v>534767.4366040678</v>
      </c>
      <c r="E22" s="172">
        <f>SUM('(JAP4) Proposed ERF Rev'!L33)</f>
        <v>39012.15</v>
      </c>
      <c r="G22" s="188"/>
      <c r="I22" s="181">
        <f>((J22)/E22)</f>
        <v>5.9552472755280894E-3</v>
      </c>
      <c r="J22" s="172">
        <v>232.32699999999318</v>
      </c>
      <c r="K22" s="172">
        <f>+E22+J22</f>
        <v>39244.476999999992</v>
      </c>
      <c r="M22" s="190">
        <f t="shared" si="0"/>
        <v>232326.99999999319</v>
      </c>
      <c r="O22" s="479">
        <f t="shared" ref="O22:O28" si="4">ROUND(J22/1000,1)</f>
        <v>0.2</v>
      </c>
      <c r="Q22" s="190"/>
    </row>
    <row r="23" spans="1:17">
      <c r="A23" s="169">
        <f t="shared" si="1"/>
        <v>16</v>
      </c>
      <c r="C23" s="443"/>
      <c r="D23" s="180"/>
      <c r="E23" s="190"/>
      <c r="G23" s="181"/>
      <c r="M23" s="190">
        <f t="shared" si="0"/>
        <v>0</v>
      </c>
      <c r="O23" s="479"/>
      <c r="Q23" s="190"/>
    </row>
    <row r="24" spans="1:17">
      <c r="A24" s="169">
        <f t="shared" si="1"/>
        <v>17</v>
      </c>
      <c r="B24" s="177" t="s">
        <v>231</v>
      </c>
      <c r="C24" s="443" t="s">
        <v>232</v>
      </c>
      <c r="D24" s="182">
        <f>SUM('(JAP4) Proposed ERF Rev'!J38)</f>
        <v>634643.13800000004</v>
      </c>
      <c r="E24" s="172">
        <f>SUM('(JAP4) Proposed ERF Rev'!L38)</f>
        <v>41454.387999999999</v>
      </c>
      <c r="G24" s="188">
        <f>E24/(E$34-E$22-E$32-$E$26)</f>
        <v>2.0950828009238118E-2</v>
      </c>
      <c r="H24" s="173">
        <v>0.65</v>
      </c>
      <c r="I24" s="181">
        <f>+$I$40*H24</f>
        <v>7.0708877123103657E-3</v>
      </c>
      <c r="J24" s="172">
        <f>+E24*I24</f>
        <v>293.11932273054629</v>
      </c>
      <c r="K24" s="172">
        <f>+E24+J24</f>
        <v>41747.507322730547</v>
      </c>
      <c r="M24" s="190">
        <f t="shared" si="0"/>
        <v>293119.32273054629</v>
      </c>
      <c r="O24" s="479">
        <f t="shared" si="4"/>
        <v>0.3</v>
      </c>
      <c r="Q24" s="190"/>
    </row>
    <row r="25" spans="1:17">
      <c r="A25" s="169">
        <f t="shared" si="1"/>
        <v>18</v>
      </c>
      <c r="C25" s="443"/>
      <c r="D25" s="180"/>
      <c r="E25" s="190"/>
      <c r="G25" s="181"/>
      <c r="J25" s="183"/>
      <c r="K25" s="183"/>
      <c r="M25" s="190">
        <f t="shared" si="0"/>
        <v>0</v>
      </c>
      <c r="O25" s="479"/>
      <c r="Q25" s="190"/>
    </row>
    <row r="26" spans="1:17">
      <c r="A26" s="169">
        <f t="shared" si="1"/>
        <v>19</v>
      </c>
      <c r="B26" s="170" t="s">
        <v>233</v>
      </c>
      <c r="C26" s="442" t="s">
        <v>234</v>
      </c>
      <c r="D26" s="182">
        <f>SUM('(JAP4) Proposed ERF Rev'!J40)</f>
        <v>1993600.694324</v>
      </c>
      <c r="E26" s="172">
        <f>SUM('(JAP4) Proposed ERF Rev'!L40)</f>
        <v>8376.0509999999995</v>
      </c>
      <c r="G26" s="188"/>
      <c r="H26" s="173"/>
      <c r="I26" s="181">
        <f>((J26)/E26)</f>
        <v>6.3132375865428711E-4</v>
      </c>
      <c r="J26" s="172">
        <f>(+'(JAP4) TRANSP RD'!I25-'(JAP4) TRANSP RD'!F25)/1000</f>
        <v>5.2880000000000003</v>
      </c>
      <c r="K26" s="172">
        <f>+E26+J26</f>
        <v>8381.3389999999999</v>
      </c>
      <c r="M26" s="190">
        <f t="shared" si="0"/>
        <v>5288</v>
      </c>
      <c r="O26" s="479">
        <f t="shared" si="4"/>
        <v>0</v>
      </c>
      <c r="Q26" s="190"/>
    </row>
    <row r="27" spans="1:17">
      <c r="A27" s="169">
        <f t="shared" si="1"/>
        <v>20</v>
      </c>
      <c r="C27" s="443"/>
      <c r="D27" s="180"/>
      <c r="E27" s="190"/>
      <c r="G27" s="181"/>
      <c r="M27" s="190">
        <f t="shared" si="0"/>
        <v>0</v>
      </c>
      <c r="O27" s="479"/>
      <c r="Q27" s="190"/>
    </row>
    <row r="28" spans="1:17">
      <c r="A28" s="169">
        <f t="shared" si="1"/>
        <v>21</v>
      </c>
      <c r="B28" s="161" t="s">
        <v>235</v>
      </c>
      <c r="C28" s="443" t="s">
        <v>78</v>
      </c>
      <c r="D28" s="182">
        <f>+'(JAP4) LIGHT Sum'!J22/1000</f>
        <v>70906.886296500015</v>
      </c>
      <c r="E28" s="172">
        <f>+'(JAP4) LIGHT Sum'!F22/1000</f>
        <v>16588.931</v>
      </c>
      <c r="G28" s="188">
        <f>E28/(E$34-E$22-E$32-$E$26)</f>
        <v>8.3839578149873667E-3</v>
      </c>
      <c r="H28" s="173">
        <v>1</v>
      </c>
      <c r="I28" s="181">
        <f>+$I$40*H28</f>
        <v>1.0878288788169793E-2</v>
      </c>
      <c r="J28" s="172">
        <f>+E28*I28</f>
        <v>180.45918210502231</v>
      </c>
      <c r="K28" s="172">
        <f>+E28+J28</f>
        <v>16769.390182105024</v>
      </c>
      <c r="M28" s="190">
        <f t="shared" si="0"/>
        <v>180459.18210502231</v>
      </c>
      <c r="N28" s="190"/>
      <c r="O28" s="479">
        <f t="shared" si="4"/>
        <v>0.2</v>
      </c>
      <c r="Q28" s="190"/>
    </row>
    <row r="29" spans="1:17">
      <c r="A29" s="169">
        <f t="shared" si="1"/>
        <v>22</v>
      </c>
      <c r="C29" s="443"/>
      <c r="D29" s="184"/>
      <c r="E29" s="190"/>
      <c r="G29" s="190"/>
      <c r="M29" s="190">
        <f t="shared" si="0"/>
        <v>0</v>
      </c>
      <c r="O29" s="479"/>
      <c r="Q29" s="190"/>
    </row>
    <row r="30" spans="1:17" ht="12.75" thickBot="1">
      <c r="A30" s="169">
        <f t="shared" si="1"/>
        <v>23</v>
      </c>
      <c r="B30" s="177" t="s">
        <v>236</v>
      </c>
      <c r="C30" s="443"/>
      <c r="D30" s="185">
        <f>SUM(D28,D26,D22,D24,D20,D14,D8)</f>
        <v>22962663.079933044</v>
      </c>
      <c r="E30" s="186">
        <f>SUM(E28,E26,E22,E24,E20,E14,E8)</f>
        <v>2026039.736</v>
      </c>
      <c r="I30" s="181">
        <f>((J30)/E30)</f>
        <v>9.3041373563052688E-3</v>
      </c>
      <c r="J30" s="186">
        <f>SUM(J28,J26,J22,J24,J20,J14,J8)</f>
        <v>18850.551993076464</v>
      </c>
      <c r="K30" s="186">
        <f>SUM(K28,K26,K22,K24,K20,K14,K8)</f>
        <v>2044890.2879930767</v>
      </c>
      <c r="M30" s="190">
        <f t="shared" si="0"/>
        <v>18850551.993076462</v>
      </c>
      <c r="O30" s="479"/>
      <c r="Q30" s="190"/>
    </row>
    <row r="31" spans="1:17" ht="12.75" thickTop="1">
      <c r="A31" s="169">
        <f t="shared" si="1"/>
        <v>24</v>
      </c>
      <c r="C31" s="443"/>
      <c r="D31" s="180"/>
      <c r="E31" s="190"/>
      <c r="G31" s="181"/>
      <c r="J31" s="183"/>
      <c r="K31" s="183"/>
      <c r="M31" s="190">
        <f t="shared" si="0"/>
        <v>0</v>
      </c>
      <c r="O31" s="479"/>
      <c r="Q31" s="190"/>
    </row>
    <row r="32" spans="1:17">
      <c r="A32" s="169">
        <f t="shared" si="1"/>
        <v>25</v>
      </c>
      <c r="B32" s="177" t="s">
        <v>237</v>
      </c>
      <c r="C32" s="442"/>
      <c r="D32" s="182">
        <f>SUM('(JAP4) Proposed ERF Rev'!J46)</f>
        <v>7237.6555782419</v>
      </c>
      <c r="E32" s="172">
        <f>SUM('(JAP4) Proposed ERF Rev'!L46)</f>
        <v>329.85399999999998</v>
      </c>
      <c r="G32" s="188"/>
      <c r="H32" s="181"/>
      <c r="I32" s="181">
        <f>((J32)/E32)</f>
        <v>9.3041373563052723E-3</v>
      </c>
      <c r="J32" s="172">
        <f>+'(JAP4) TRANSP RD'!I43/1000</f>
        <v>3.069006923526719</v>
      </c>
      <c r="K32" s="172">
        <f>+E32+J32</f>
        <v>332.92300692352671</v>
      </c>
      <c r="M32" s="190">
        <f t="shared" si="0"/>
        <v>3069.0069235267192</v>
      </c>
      <c r="O32" s="479">
        <f t="shared" ref="O32" si="5">ROUND(J32/1000,1)</f>
        <v>0</v>
      </c>
      <c r="Q32" s="190"/>
    </row>
    <row r="33" spans="1:17">
      <c r="A33" s="169">
        <f t="shared" si="1"/>
        <v>26</v>
      </c>
      <c r="C33" s="443"/>
      <c r="D33" s="184"/>
      <c r="E33" s="190"/>
      <c r="G33" s="190"/>
      <c r="M33" s="190">
        <f t="shared" si="0"/>
        <v>0</v>
      </c>
      <c r="O33" s="479"/>
      <c r="Q33" s="190"/>
    </row>
    <row r="34" spans="1:17" ht="12.75" thickBot="1">
      <c r="A34" s="169">
        <f t="shared" si="1"/>
        <v>27</v>
      </c>
      <c r="B34" s="161" t="s">
        <v>238</v>
      </c>
      <c r="C34" s="443"/>
      <c r="D34" s="185">
        <f>SUM(D32,D30)</f>
        <v>22969900.735511284</v>
      </c>
      <c r="E34" s="186">
        <f>SUM(E32,E30)</f>
        <v>2026369.59</v>
      </c>
      <c r="F34" s="186">
        <f>+[1]Deficiency!$C$22</f>
        <v>18853621</v>
      </c>
      <c r="G34" s="187">
        <f>SUM(G8:G32)</f>
        <v>1</v>
      </c>
      <c r="I34" s="187">
        <f>(+F34/1000)/E34</f>
        <v>9.3041373563052723E-3</v>
      </c>
      <c r="J34" s="186">
        <f>SUM(J32,J30)</f>
        <v>18853.620999999992</v>
      </c>
      <c r="K34" s="186">
        <f>SUM(K32,K30)</f>
        <v>2045223.2110000004</v>
      </c>
      <c r="M34" s="190">
        <f t="shared" si="0"/>
        <v>18853620.999999993</v>
      </c>
      <c r="O34" s="479">
        <f>SUM(O8:O32)</f>
        <v>18.899999999999999</v>
      </c>
    </row>
    <row r="35" spans="1:17" ht="12.75" thickTop="1">
      <c r="A35" s="169">
        <f t="shared" si="1"/>
        <v>28</v>
      </c>
      <c r="C35" s="443"/>
      <c r="D35" s="174"/>
      <c r="E35" s="175"/>
      <c r="F35" s="175"/>
      <c r="G35" s="188"/>
      <c r="H35" s="175"/>
      <c r="I35" s="188"/>
      <c r="J35" s="189"/>
      <c r="K35" s="175"/>
    </row>
    <row r="36" spans="1:17" ht="12.75" thickBot="1">
      <c r="A36" s="169">
        <f t="shared" si="1"/>
        <v>29</v>
      </c>
      <c r="C36" s="443"/>
      <c r="D36" s="443"/>
      <c r="J36" s="190"/>
      <c r="K36" s="190"/>
    </row>
    <row r="37" spans="1:17">
      <c r="A37" s="169">
        <f t="shared" si="1"/>
        <v>30</v>
      </c>
      <c r="B37" s="491" t="s">
        <v>239</v>
      </c>
      <c r="C37" s="492"/>
      <c r="D37" s="492"/>
      <c r="E37" s="492"/>
      <c r="F37" s="191">
        <v>1</v>
      </c>
      <c r="G37" s="192"/>
      <c r="H37" s="191"/>
      <c r="I37" s="235">
        <f>(F34)/(E34*1000)</f>
        <v>9.3041373563052723E-3</v>
      </c>
    </row>
    <row r="38" spans="1:17">
      <c r="A38" s="169">
        <f t="shared" si="1"/>
        <v>31</v>
      </c>
      <c r="B38" s="493" t="s">
        <v>240</v>
      </c>
      <c r="C38" s="494"/>
      <c r="D38" s="494"/>
      <c r="E38" s="494"/>
      <c r="F38" s="183"/>
      <c r="G38" s="183"/>
      <c r="H38" s="183"/>
      <c r="I38" s="236">
        <f>((F34/1000)-(J22)-(J26)-(J32))/(E34-E22-E26-E32)</f>
        <v>9.4068797177449814E-3</v>
      </c>
      <c r="K38" s="190"/>
    </row>
    <row r="39" spans="1:17">
      <c r="A39" s="169">
        <f t="shared" si="1"/>
        <v>32</v>
      </c>
      <c r="B39" s="495" t="s">
        <v>241</v>
      </c>
      <c r="C39" s="496"/>
      <c r="D39" s="496"/>
      <c r="E39" s="496"/>
      <c r="F39" s="183"/>
      <c r="G39" s="183"/>
      <c r="H39" s="183"/>
      <c r="I39" s="193">
        <f>1/SUMPRODUCT($H$8:$H$32,$G$8:$G$32)</f>
        <v>1.1564183995729391</v>
      </c>
      <c r="K39" s="190"/>
    </row>
    <row r="40" spans="1:17" ht="12.75" thickBot="1">
      <c r="A40" s="169">
        <f t="shared" si="1"/>
        <v>33</v>
      </c>
      <c r="B40" s="487" t="s">
        <v>242</v>
      </c>
      <c r="C40" s="488"/>
      <c r="D40" s="488"/>
      <c r="E40" s="488"/>
      <c r="F40" s="194"/>
      <c r="G40" s="194"/>
      <c r="H40" s="194"/>
      <c r="I40" s="237">
        <f>I39*I38</f>
        <v>1.0878288788169793E-2</v>
      </c>
      <c r="K40" s="190"/>
    </row>
    <row r="41" spans="1:17">
      <c r="B41" s="195"/>
      <c r="C41" s="195"/>
      <c r="D41" s="195"/>
      <c r="E41" s="195"/>
      <c r="F41" s="195"/>
      <c r="G41" s="195"/>
    </row>
    <row r="50" spans="6:6">
      <c r="F50" s="190"/>
    </row>
    <row r="51" spans="6:6">
      <c r="F51" s="190"/>
    </row>
    <row r="52" spans="6:6">
      <c r="F52" s="190"/>
    </row>
  </sheetData>
  <mergeCells count="7">
    <mergeCell ref="B40:E40"/>
    <mergeCell ref="A1:K1"/>
    <mergeCell ref="A3:K3"/>
    <mergeCell ref="B37:E37"/>
    <mergeCell ref="B38:E38"/>
    <mergeCell ref="B39:E39"/>
    <mergeCell ref="A2:K2"/>
  </mergeCells>
  <printOptions horizontalCentered="1"/>
  <pageMargins left="0.7" right="0.7" top="0.75" bottom="0.75" header="0.3" footer="0.3"/>
  <pageSetup scale="97" orientation="landscape" r:id="rId1"/>
  <headerFooter alignWithMargins="0">
    <oddFooter>&amp;L&amp;F
&amp;A&amp;R2018 ERF Rate Design Workpapers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D153" sqref="D153:E171"/>
    </sheetView>
  </sheetViews>
  <sheetFormatPr defaultColWidth="38.75" defaultRowHeight="15.75"/>
  <cols>
    <col min="1" max="1" width="6.875" style="47" bestFit="1" customWidth="1"/>
    <col min="2" max="2" width="24.625" style="47" bestFit="1" customWidth="1"/>
    <col min="3" max="3" width="6.75" style="47" bestFit="1" customWidth="1"/>
    <col min="4" max="4" width="16.25" style="47" bestFit="1" customWidth="1"/>
    <col min="5" max="5" width="36.5" style="47" bestFit="1" customWidth="1"/>
    <col min="6" max="6" width="16.875" style="47" bestFit="1" customWidth="1"/>
    <col min="7" max="7" width="24.75" style="47" bestFit="1" customWidth="1"/>
    <col min="8" max="8" width="13.875" style="47" bestFit="1" customWidth="1"/>
    <col min="9" max="16384" width="38.75" style="47"/>
  </cols>
  <sheetData>
    <row r="1" spans="1:8">
      <c r="A1" s="497" t="s">
        <v>86</v>
      </c>
      <c r="B1" s="497"/>
      <c r="C1" s="497"/>
      <c r="D1" s="497"/>
      <c r="E1" s="497"/>
      <c r="F1" s="497"/>
      <c r="G1" s="497"/>
      <c r="H1" s="497"/>
    </row>
    <row r="2" spans="1:8">
      <c r="A2" s="498" t="s">
        <v>1019</v>
      </c>
      <c r="B2" s="497"/>
      <c r="C2" s="497"/>
      <c r="D2" s="497"/>
      <c r="E2" s="497"/>
      <c r="F2" s="497"/>
      <c r="G2" s="497"/>
      <c r="H2" s="497"/>
    </row>
    <row r="3" spans="1:8">
      <c r="A3" s="498"/>
      <c r="B3" s="497"/>
      <c r="C3" s="497"/>
      <c r="D3" s="497"/>
      <c r="E3" s="497"/>
      <c r="F3" s="497"/>
      <c r="G3" s="497"/>
      <c r="H3" s="497"/>
    </row>
    <row r="4" spans="1:8" ht="16.5" thickBot="1">
      <c r="A4" s="272"/>
      <c r="B4" s="272"/>
      <c r="C4" s="272"/>
      <c r="D4" s="272"/>
      <c r="E4" s="272"/>
      <c r="F4" s="272"/>
      <c r="G4" s="272"/>
      <c r="H4" s="272"/>
    </row>
    <row r="5" spans="1:8" ht="16.5" thickBot="1">
      <c r="A5" s="273" t="s">
        <v>208</v>
      </c>
      <c r="B5" s="274" t="s">
        <v>330</v>
      </c>
      <c r="C5" s="274" t="s">
        <v>331</v>
      </c>
      <c r="D5" s="274" t="s">
        <v>42</v>
      </c>
      <c r="E5" s="274" t="s">
        <v>193</v>
      </c>
      <c r="F5" s="274" t="s">
        <v>154</v>
      </c>
      <c r="G5" s="274" t="s">
        <v>89</v>
      </c>
      <c r="H5" s="275" t="s">
        <v>332</v>
      </c>
    </row>
    <row r="6" spans="1:8" ht="25.5">
      <c r="A6" s="276">
        <v>1</v>
      </c>
      <c r="B6" s="277" t="s">
        <v>221</v>
      </c>
      <c r="C6" s="278">
        <v>7</v>
      </c>
      <c r="D6" s="288" t="s">
        <v>364</v>
      </c>
      <c r="E6" s="278" t="s">
        <v>334</v>
      </c>
      <c r="F6" s="278" t="s">
        <v>334</v>
      </c>
      <c r="G6" s="280" t="s">
        <v>335</v>
      </c>
      <c r="H6" s="281" t="s">
        <v>334</v>
      </c>
    </row>
    <row r="7" spans="1:8" ht="25.5">
      <c r="A7" s="282">
        <f>+A6+1</f>
        <v>2</v>
      </c>
      <c r="B7" s="283" t="s">
        <v>336</v>
      </c>
      <c r="C7" s="279">
        <v>24</v>
      </c>
      <c r="D7" s="279" t="s">
        <v>333</v>
      </c>
      <c r="E7" s="279" t="s">
        <v>334</v>
      </c>
      <c r="F7" s="279" t="s">
        <v>334</v>
      </c>
      <c r="G7" s="280" t="s">
        <v>337</v>
      </c>
      <c r="H7" s="284" t="s">
        <v>334</v>
      </c>
    </row>
    <row r="8" spans="1:8" ht="38.25">
      <c r="A8" s="282">
        <f t="shared" ref="A8:A19" si="0">+A7+1</f>
        <v>3</v>
      </c>
      <c r="B8" s="283" t="s">
        <v>338</v>
      </c>
      <c r="C8" s="279">
        <v>25</v>
      </c>
      <c r="D8" s="279" t="s">
        <v>333</v>
      </c>
      <c r="E8" s="285" t="s">
        <v>866</v>
      </c>
      <c r="F8" s="285" t="s">
        <v>866</v>
      </c>
      <c r="G8" s="285" t="s">
        <v>865</v>
      </c>
      <c r="H8" s="284" t="s">
        <v>334</v>
      </c>
    </row>
    <row r="9" spans="1:8">
      <c r="A9" s="282">
        <f t="shared" si="0"/>
        <v>4</v>
      </c>
      <c r="B9" s="283" t="s">
        <v>340</v>
      </c>
      <c r="C9" s="279">
        <v>26</v>
      </c>
      <c r="D9" s="279" t="s">
        <v>333</v>
      </c>
      <c r="E9" s="285" t="s">
        <v>341</v>
      </c>
      <c r="F9" s="279" t="s">
        <v>339</v>
      </c>
      <c r="G9" s="285" t="s">
        <v>341</v>
      </c>
      <c r="H9" s="284" t="s">
        <v>334</v>
      </c>
    </row>
    <row r="10" spans="1:8">
      <c r="A10" s="282">
        <f t="shared" si="0"/>
        <v>5</v>
      </c>
      <c r="B10" s="283" t="s">
        <v>342</v>
      </c>
      <c r="C10" s="279">
        <v>29</v>
      </c>
      <c r="D10" s="279" t="s">
        <v>333</v>
      </c>
      <c r="E10" s="279" t="s">
        <v>333</v>
      </c>
      <c r="F10" s="279" t="s">
        <v>339</v>
      </c>
      <c r="G10" s="285" t="s">
        <v>357</v>
      </c>
      <c r="H10" s="284" t="s">
        <v>334</v>
      </c>
    </row>
    <row r="11" spans="1:8" ht="25.5">
      <c r="A11" s="282">
        <f t="shared" si="0"/>
        <v>6</v>
      </c>
      <c r="B11" s="286" t="s">
        <v>343</v>
      </c>
      <c r="C11" s="279">
        <v>31</v>
      </c>
      <c r="D11" s="279" t="s">
        <v>333</v>
      </c>
      <c r="E11" s="279" t="s">
        <v>333</v>
      </c>
      <c r="F11" s="279" t="s">
        <v>339</v>
      </c>
      <c r="G11" s="287" t="s">
        <v>344</v>
      </c>
      <c r="H11" s="284" t="s">
        <v>334</v>
      </c>
    </row>
    <row r="12" spans="1:8">
      <c r="A12" s="282">
        <f t="shared" si="0"/>
        <v>7</v>
      </c>
      <c r="B12" s="283" t="s">
        <v>345</v>
      </c>
      <c r="C12" s="279">
        <v>35</v>
      </c>
      <c r="D12" s="288" t="s">
        <v>346</v>
      </c>
      <c r="E12" s="279" t="s">
        <v>333</v>
      </c>
      <c r="F12" s="279" t="s">
        <v>339</v>
      </c>
      <c r="G12" s="279" t="s">
        <v>347</v>
      </c>
      <c r="H12" s="284" t="s">
        <v>334</v>
      </c>
    </row>
    <row r="13" spans="1:8">
      <c r="A13" s="282">
        <f t="shared" si="0"/>
        <v>8</v>
      </c>
      <c r="B13" s="283" t="s">
        <v>348</v>
      </c>
      <c r="C13" s="279">
        <v>43</v>
      </c>
      <c r="D13" s="288" t="s">
        <v>346</v>
      </c>
      <c r="E13" s="279" t="s">
        <v>333</v>
      </c>
      <c r="F13" s="279" t="s">
        <v>339</v>
      </c>
      <c r="G13" s="279" t="s">
        <v>347</v>
      </c>
      <c r="H13" s="284" t="s">
        <v>334</v>
      </c>
    </row>
    <row r="14" spans="1:8">
      <c r="A14" s="282">
        <f t="shared" si="0"/>
        <v>9</v>
      </c>
      <c r="B14" s="283" t="s">
        <v>61</v>
      </c>
      <c r="C14" s="279">
        <v>40</v>
      </c>
      <c r="D14" s="285" t="s">
        <v>349</v>
      </c>
      <c r="E14" s="285" t="s">
        <v>350</v>
      </c>
      <c r="F14" s="285" t="s">
        <v>351</v>
      </c>
      <c r="G14" s="279" t="s">
        <v>352</v>
      </c>
      <c r="H14" s="284" t="s">
        <v>334</v>
      </c>
    </row>
    <row r="15" spans="1:8">
      <c r="A15" s="282">
        <f t="shared" si="0"/>
        <v>10</v>
      </c>
      <c r="B15" s="286" t="s">
        <v>353</v>
      </c>
      <c r="C15" s="279">
        <v>46</v>
      </c>
      <c r="D15" s="279" t="s">
        <v>334</v>
      </c>
      <c r="E15" s="279" t="s">
        <v>788</v>
      </c>
      <c r="F15" s="279" t="s">
        <v>334</v>
      </c>
      <c r="G15" s="279" t="s">
        <v>354</v>
      </c>
      <c r="H15" s="284" t="s">
        <v>334</v>
      </c>
    </row>
    <row r="16" spans="1:8" ht="25.5">
      <c r="A16" s="282">
        <f t="shared" si="0"/>
        <v>11</v>
      </c>
      <c r="B16" s="283" t="s">
        <v>355</v>
      </c>
      <c r="C16" s="279">
        <v>49</v>
      </c>
      <c r="D16" s="279" t="s">
        <v>334</v>
      </c>
      <c r="E16" s="279" t="s">
        <v>333</v>
      </c>
      <c r="F16" s="279" t="s">
        <v>334</v>
      </c>
      <c r="G16" s="279" t="s">
        <v>788</v>
      </c>
      <c r="H16" s="284" t="s">
        <v>334</v>
      </c>
    </row>
    <row r="17" spans="1:8" ht="38.25">
      <c r="A17" s="282">
        <f t="shared" si="0"/>
        <v>12</v>
      </c>
      <c r="B17" s="286" t="s">
        <v>235</v>
      </c>
      <c r="C17" s="279" t="s">
        <v>78</v>
      </c>
      <c r="D17" s="279" t="s">
        <v>334</v>
      </c>
      <c r="E17" s="279" t="s">
        <v>334</v>
      </c>
      <c r="F17" s="279" t="s">
        <v>334</v>
      </c>
      <c r="G17" s="279" t="s">
        <v>334</v>
      </c>
      <c r="H17" s="435" t="s">
        <v>1005</v>
      </c>
    </row>
    <row r="18" spans="1:8">
      <c r="A18" s="282">
        <f t="shared" si="0"/>
        <v>13</v>
      </c>
      <c r="B18" s="286" t="s">
        <v>233</v>
      </c>
      <c r="C18" s="279" t="s">
        <v>356</v>
      </c>
      <c r="D18" s="288" t="s">
        <v>85</v>
      </c>
      <c r="E18" s="279" t="s">
        <v>334</v>
      </c>
      <c r="F18" s="279" t="s">
        <v>334</v>
      </c>
      <c r="G18" s="279" t="s">
        <v>334</v>
      </c>
      <c r="H18" s="284" t="s">
        <v>334</v>
      </c>
    </row>
    <row r="19" spans="1:8">
      <c r="A19" s="282">
        <f t="shared" si="0"/>
        <v>14</v>
      </c>
      <c r="B19" s="286" t="s">
        <v>237</v>
      </c>
      <c r="C19" s="279">
        <v>5</v>
      </c>
      <c r="D19" s="279" t="s">
        <v>334</v>
      </c>
      <c r="E19" s="279" t="s">
        <v>334</v>
      </c>
      <c r="F19" s="279" t="s">
        <v>334</v>
      </c>
      <c r="G19" s="279" t="s">
        <v>334</v>
      </c>
      <c r="H19" s="284" t="s">
        <v>334</v>
      </c>
    </row>
  </sheetData>
  <mergeCells count="3">
    <mergeCell ref="A1:H1"/>
    <mergeCell ref="A2:H2"/>
    <mergeCell ref="A3:H3"/>
  </mergeCells>
  <printOptions horizontalCentered="1"/>
  <pageMargins left="0.7" right="0.7" top="0.75" bottom="0.75" header="0.3" footer="0.3"/>
  <pageSetup scale="78" fitToHeight="0" orientation="landscape" r:id="rId1"/>
  <headerFooter alignWithMargins="0">
    <oddFooter>&amp;L&amp;F
&amp;A&amp;R2018 ERF Rate Design Workpapers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B1:Y59"/>
  <sheetViews>
    <sheetView zoomScale="80" zoomScaleNormal="80" zoomScaleSheetLayoutView="70" workbookViewId="0">
      <pane xSplit="7" ySplit="14" topLeftCell="H33" activePane="bottomRight" state="frozen"/>
      <selection activeCell="D153" sqref="D153:E171"/>
      <selection pane="topRight" activeCell="D153" sqref="D153:E171"/>
      <selection pane="bottomLeft" activeCell="D153" sqref="D153:E171"/>
      <selection pane="bottomRight" activeCell="P48" sqref="P48"/>
    </sheetView>
  </sheetViews>
  <sheetFormatPr defaultColWidth="4.75" defaultRowHeight="15.75"/>
  <cols>
    <col min="1" max="1" width="4.75" style="338"/>
    <col min="2" max="2" width="4.375" style="338" bestFit="1" customWidth="1"/>
    <col min="3" max="3" width="4.75" style="338"/>
    <col min="4" max="4" width="34.75" style="3" bestFit="1" customWidth="1"/>
    <col min="5" max="5" width="4.75" style="3"/>
    <col min="6" max="6" width="10.375" style="3" bestFit="1" customWidth="1"/>
    <col min="7" max="7" width="4.75" style="3"/>
    <col min="8" max="8" width="9.75" style="338" bestFit="1" customWidth="1"/>
    <col min="9" max="9" width="4.75" style="338"/>
    <col min="10" max="10" width="10.75" style="338" bestFit="1" customWidth="1"/>
    <col min="11" max="11" width="4.75" style="338"/>
    <col min="12" max="12" width="10.125" style="338" bestFit="1" customWidth="1"/>
    <col min="13" max="13" width="4.75" style="338"/>
    <col min="14" max="14" width="10.125" style="338" bestFit="1" customWidth="1"/>
    <col min="15" max="15" width="4.75" style="338"/>
    <col min="16" max="16" width="7.75" style="338" bestFit="1" customWidth="1"/>
    <col min="17" max="17" width="6.375" style="338" bestFit="1" customWidth="1"/>
    <col min="18" max="18" width="4.75" style="338"/>
    <col min="19" max="19" width="11.125" style="338" bestFit="1" customWidth="1"/>
    <col min="20" max="20" width="4.75" style="338"/>
    <col min="21" max="21" width="9.875" style="338" customWidth="1"/>
    <col min="22" max="22" width="9.5" style="338" bestFit="1" customWidth="1"/>
    <col min="23" max="24" width="4.75" style="338"/>
    <col min="25" max="25" width="6.375" style="338" bestFit="1" customWidth="1"/>
    <col min="26" max="16384" width="4.75" style="338"/>
  </cols>
  <sheetData>
    <row r="1" spans="2:22" ht="18.75">
      <c r="C1" s="1"/>
      <c r="D1" s="2"/>
      <c r="N1" s="338" t="s">
        <v>0</v>
      </c>
    </row>
    <row r="2" spans="2:22">
      <c r="B2" s="509" t="s">
        <v>1</v>
      </c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4"/>
    </row>
    <row r="3" spans="2:22">
      <c r="B3" s="510" t="s">
        <v>53</v>
      </c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"/>
      <c r="T3" s="5"/>
    </row>
    <row r="4" spans="2:22">
      <c r="B4" s="509" t="s">
        <v>895</v>
      </c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"/>
      <c r="T4" s="5"/>
    </row>
    <row r="5" spans="2:22">
      <c r="B5" s="509" t="s">
        <v>95</v>
      </c>
      <c r="C5" s="510"/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510"/>
      <c r="S5" s="5"/>
      <c r="T5" s="5"/>
    </row>
    <row r="6" spans="2:22">
      <c r="B6" s="509" t="s">
        <v>894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P6" s="509"/>
      <c r="Q6" s="509"/>
      <c r="R6" s="509"/>
      <c r="S6" s="5"/>
      <c r="T6" s="5"/>
    </row>
    <row r="7" spans="2:22">
      <c r="B7" s="509"/>
      <c r="C7" s="509"/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4"/>
      <c r="T7" s="4"/>
    </row>
    <row r="8" spans="2:22"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"/>
      <c r="S8" s="4"/>
      <c r="T8" s="4"/>
    </row>
    <row r="9" spans="2:22">
      <c r="K9" s="197"/>
      <c r="L9" s="6"/>
      <c r="M9" s="7"/>
      <c r="N9" s="499" t="s">
        <v>1024</v>
      </c>
      <c r="O9" s="500"/>
      <c r="P9" s="500"/>
      <c r="Q9" s="501"/>
      <c r="R9" s="7"/>
      <c r="S9" s="8"/>
      <c r="T9" s="7"/>
    </row>
    <row r="10" spans="2:22">
      <c r="L10" s="13" t="s">
        <v>2</v>
      </c>
      <c r="M10" s="9"/>
      <c r="N10" s="502" t="s">
        <v>3</v>
      </c>
      <c r="O10" s="503"/>
      <c r="P10" s="503"/>
      <c r="Q10" s="504"/>
      <c r="R10" s="9"/>
      <c r="S10" s="15"/>
      <c r="T10" s="9"/>
    </row>
    <row r="11" spans="2:22" ht="15.6" customHeight="1">
      <c r="F11" s="24" t="s">
        <v>190</v>
      </c>
      <c r="G11" s="10"/>
      <c r="L11" s="15" t="s">
        <v>4</v>
      </c>
      <c r="M11" s="11"/>
      <c r="N11" s="15" t="s">
        <v>4</v>
      </c>
      <c r="O11" s="15"/>
      <c r="P11" s="12" t="s">
        <v>0</v>
      </c>
      <c r="Q11" s="12"/>
      <c r="R11" s="12"/>
      <c r="S11" s="15" t="s">
        <v>3</v>
      </c>
      <c r="T11" s="13"/>
      <c r="U11" s="507" t="s">
        <v>248</v>
      </c>
      <c r="V11" s="508" t="s">
        <v>38</v>
      </c>
    </row>
    <row r="12" spans="2:22">
      <c r="B12" s="13" t="s">
        <v>5</v>
      </c>
      <c r="F12" s="10" t="s">
        <v>6</v>
      </c>
      <c r="G12" s="10"/>
      <c r="H12" s="13" t="s">
        <v>7</v>
      </c>
      <c r="L12" s="13" t="s">
        <v>8</v>
      </c>
      <c r="M12" s="13"/>
      <c r="N12" s="460" t="s">
        <v>8</v>
      </c>
      <c r="O12" s="13"/>
      <c r="P12" s="14" t="s">
        <v>9</v>
      </c>
      <c r="Q12" s="13" t="s">
        <v>4</v>
      </c>
      <c r="R12" s="13"/>
      <c r="S12" s="13" t="s">
        <v>10</v>
      </c>
      <c r="T12" s="15"/>
      <c r="U12" s="507"/>
      <c r="V12" s="508"/>
    </row>
    <row r="13" spans="2:22">
      <c r="B13" s="16" t="s">
        <v>11</v>
      </c>
      <c r="D13" s="17" t="s">
        <v>12</v>
      </c>
      <c r="F13" s="17" t="s">
        <v>11</v>
      </c>
      <c r="G13" s="18"/>
      <c r="H13" s="444" t="s">
        <v>13</v>
      </c>
      <c r="J13" s="444" t="s">
        <v>14</v>
      </c>
      <c r="L13" s="19" t="s">
        <v>15</v>
      </c>
      <c r="M13" s="15"/>
      <c r="N13" s="461" t="s">
        <v>15</v>
      </c>
      <c r="O13" s="20"/>
      <c r="P13" s="21" t="s">
        <v>15</v>
      </c>
      <c r="Q13" s="444" t="s">
        <v>16</v>
      </c>
      <c r="R13" s="15"/>
      <c r="S13" s="19" t="s">
        <v>17</v>
      </c>
      <c r="T13" s="15"/>
      <c r="U13" s="461" t="s">
        <v>15</v>
      </c>
      <c r="V13" s="461" t="s">
        <v>15</v>
      </c>
    </row>
    <row r="14" spans="2:22">
      <c r="B14" s="22"/>
      <c r="D14" s="14" t="s">
        <v>18</v>
      </c>
      <c r="F14" s="14" t="s">
        <v>19</v>
      </c>
      <c r="G14" s="10"/>
      <c r="H14" s="14" t="s">
        <v>20</v>
      </c>
      <c r="J14" s="14" t="s">
        <v>21</v>
      </c>
      <c r="L14" s="14" t="s">
        <v>22</v>
      </c>
      <c r="M14" s="14"/>
      <c r="N14" s="14" t="s">
        <v>23</v>
      </c>
      <c r="O14" s="14"/>
      <c r="P14" s="14" t="s">
        <v>24</v>
      </c>
      <c r="Q14" s="14" t="s">
        <v>25</v>
      </c>
      <c r="R14" s="14"/>
      <c r="S14" s="14" t="s">
        <v>26</v>
      </c>
      <c r="T14" s="11"/>
    </row>
    <row r="15" spans="2:22">
      <c r="M15" s="14"/>
      <c r="N15" s="14" t="s">
        <v>0</v>
      </c>
      <c r="P15" s="14" t="s">
        <v>74</v>
      </c>
      <c r="Q15" s="14" t="s">
        <v>27</v>
      </c>
      <c r="S15" s="14" t="s">
        <v>28</v>
      </c>
      <c r="T15" s="197"/>
    </row>
    <row r="16" spans="2:22">
      <c r="D16" s="114" t="s">
        <v>29</v>
      </c>
      <c r="T16" s="197"/>
    </row>
    <row r="17" spans="2:22">
      <c r="B17" s="13">
        <v>1</v>
      </c>
      <c r="D17" s="3" t="s">
        <v>29</v>
      </c>
      <c r="F17" s="24">
        <v>7</v>
      </c>
      <c r="G17" s="24"/>
      <c r="H17" s="204">
        <f>ROUND('(JAP4) Res RD'!C16/12,0)</f>
        <v>1023208</v>
      </c>
      <c r="J17" s="204">
        <f>ROUND('(JAP4) Res RD'!C23/1000,0)</f>
        <v>10657340</v>
      </c>
      <c r="L17" s="156">
        <f>'(JAP4) Res RD'!F23/1000</f>
        <v>1109032.567</v>
      </c>
      <c r="M17" s="156"/>
      <c r="N17" s="156">
        <f>ROUND('(JAP4) Res RD'!I23/1000,0)</f>
        <v>1121093</v>
      </c>
      <c r="O17" s="156"/>
      <c r="P17" s="156">
        <f>N17-L17</f>
        <v>12060.432999999961</v>
      </c>
      <c r="Q17" s="298">
        <f>P17/L17</f>
        <v>1.0874732950921505E-2</v>
      </c>
      <c r="R17" s="25"/>
      <c r="S17" s="26">
        <f>N17/J17*100</f>
        <v>10.51944481455973</v>
      </c>
      <c r="T17" s="27"/>
      <c r="U17" s="156"/>
      <c r="V17" s="156"/>
    </row>
    <row r="18" spans="2:22">
      <c r="B18" s="29">
        <f>MAX(B$14:B17)+1</f>
        <v>2</v>
      </c>
      <c r="D18" s="112" t="s">
        <v>71</v>
      </c>
      <c r="H18" s="219">
        <f>SUM(H17:H17)</f>
        <v>1023208</v>
      </c>
      <c r="J18" s="219">
        <f>SUM(J17:J17)</f>
        <v>10657340</v>
      </c>
      <c r="L18" s="157">
        <f>SUM(L17:L17)</f>
        <v>1109032.567</v>
      </c>
      <c r="M18" s="156"/>
      <c r="N18" s="157">
        <f>SUM(N17:N17)</f>
        <v>1121093</v>
      </c>
      <c r="O18" s="156"/>
      <c r="P18" s="157">
        <f>SUM(P17)</f>
        <v>12060.432999999961</v>
      </c>
      <c r="Q18" s="299">
        <f>P18/L18</f>
        <v>1.0874732950921505E-2</v>
      </c>
      <c r="R18" s="25"/>
      <c r="S18" s="111">
        <f>N18/J18*100</f>
        <v>10.51944481455973</v>
      </c>
      <c r="T18" s="27"/>
      <c r="U18" s="301">
        <f>'(JAP4) Rate Spread'!J8</f>
        <v>12064.376539311266</v>
      </c>
      <c r="V18" s="301">
        <f>P18-U18</f>
        <v>-3.9435393113053578</v>
      </c>
    </row>
    <row r="19" spans="2:22">
      <c r="J19" s="338" t="s">
        <v>0</v>
      </c>
      <c r="L19" s="158"/>
      <c r="M19" s="158"/>
      <c r="N19" s="158"/>
      <c r="O19" s="158"/>
      <c r="P19" s="158"/>
      <c r="Q19" s="43"/>
      <c r="T19" s="197"/>
      <c r="U19" s="326"/>
      <c r="V19" s="326"/>
    </row>
    <row r="20" spans="2:22">
      <c r="D20" s="23" t="s">
        <v>64</v>
      </c>
      <c r="H20" s="354"/>
      <c r="L20" s="158"/>
      <c r="M20" s="158"/>
      <c r="N20" s="158"/>
      <c r="O20" s="158"/>
      <c r="P20" s="158"/>
      <c r="Q20" s="43"/>
      <c r="T20" s="197"/>
      <c r="U20" s="326"/>
      <c r="V20" s="326"/>
    </row>
    <row r="21" spans="2:22">
      <c r="B21" s="29">
        <f>MAX(B$14:B20)+1</f>
        <v>3</v>
      </c>
      <c r="D21" s="110" t="s">
        <v>55</v>
      </c>
      <c r="F21" s="24" t="s">
        <v>67</v>
      </c>
      <c r="G21" s="10"/>
      <c r="H21" s="204">
        <f>'(JAP4) SecVolt RD'!C17/12</f>
        <v>129785.16666666667</v>
      </c>
      <c r="J21" s="204">
        <f>ROUND('(JAP4) SecVolt RD'!C25/1000,0)</f>
        <v>2769974</v>
      </c>
      <c r="L21" s="156">
        <f>'(JAP4) SecVolt RD'!F25/1000</f>
        <v>269558.01400000002</v>
      </c>
      <c r="M21" s="156"/>
      <c r="N21" s="156">
        <f>ROUND('(JAP4) SecVolt RD'!I25/1000,0)</f>
        <v>271757</v>
      </c>
      <c r="O21" s="156"/>
      <c r="P21" s="156">
        <f>N21-L21</f>
        <v>2198.9859999999753</v>
      </c>
      <c r="Q21" s="298">
        <f>P21/L21</f>
        <v>8.1577467030899513E-3</v>
      </c>
      <c r="R21" s="25"/>
      <c r="S21" s="26">
        <f>N21/J21*100</f>
        <v>9.810814108724486</v>
      </c>
      <c r="T21" s="27"/>
      <c r="U21" s="373"/>
      <c r="V21" s="373"/>
    </row>
    <row r="22" spans="2:22">
      <c r="B22" s="29">
        <f>MAX(B$14:B21)+1</f>
        <v>4</v>
      </c>
      <c r="D22" s="110" t="s">
        <v>54</v>
      </c>
      <c r="E22" s="30"/>
      <c r="F22" s="24" t="s">
        <v>68</v>
      </c>
      <c r="G22" s="10"/>
      <c r="H22" s="204">
        <f>'(JAP4) SecVolt RD'!C31/12</f>
        <v>7557.75</v>
      </c>
      <c r="J22" s="204">
        <f>ROUND('(JAP4) SecVolt RD'!C39/1000,0)</f>
        <v>2962665</v>
      </c>
      <c r="L22" s="156">
        <f>'(JAP4) SecVolt RD'!F47/1000</f>
        <v>267247.141</v>
      </c>
      <c r="M22" s="156"/>
      <c r="N22" s="156">
        <f>ROUND('(JAP4) SecVolt RD'!I47/1000,0)</f>
        <v>269138</v>
      </c>
      <c r="O22" s="156"/>
      <c r="P22" s="156">
        <f>N22-L22</f>
        <v>1890.8589999999967</v>
      </c>
      <c r="Q22" s="298">
        <f>P22/L22</f>
        <v>7.0753198441138674E-3</v>
      </c>
      <c r="R22" s="25"/>
      <c r="S22" s="26">
        <f>N22/J22*100</f>
        <v>9.0843210420347908</v>
      </c>
      <c r="T22" s="27"/>
      <c r="U22" s="373"/>
      <c r="V22" s="373"/>
    </row>
    <row r="23" spans="2:22">
      <c r="B23" s="29">
        <f>MAX(B$14:B22)+1</f>
        <v>5</v>
      </c>
      <c r="D23" s="110" t="s">
        <v>56</v>
      </c>
      <c r="F23" s="24" t="s">
        <v>69</v>
      </c>
      <c r="G23" s="10"/>
      <c r="H23" s="204">
        <f>SUM('(JAP4) SecVolt RD'!C65,'(JAP4) SecVolt RD'!C85)</f>
        <v>9920</v>
      </c>
      <c r="J23" s="204">
        <f>SUM('(JAP4) SecVolt RD'!C71,'(JAP4) SecVolt RD'!C94)/1000</f>
        <v>1872505.8629326143</v>
      </c>
      <c r="L23" s="156">
        <f>SUM('(JAP4) SecVolt RD'!F79,'(JAP4) SecVolt RD'!F105)/1000</f>
        <v>155148.611</v>
      </c>
      <c r="M23" s="156"/>
      <c r="N23" s="156">
        <f>SUM('(JAP4) SecVolt RD'!I79,'(JAP4) SecVolt RD'!I105)/1000</f>
        <v>156245.54399999999</v>
      </c>
      <c r="O23" s="156"/>
      <c r="P23" s="156">
        <f>N23-L23</f>
        <v>1096.93299999999</v>
      </c>
      <c r="Q23" s="298">
        <f t="shared" ref="Q23:Q31" si="0">P23/L23</f>
        <v>7.0702083178816851E-3</v>
      </c>
      <c r="R23" s="25"/>
      <c r="S23" s="26">
        <f>N23/J23*100</f>
        <v>8.3441951821340066</v>
      </c>
      <c r="T23" s="27"/>
      <c r="U23" s="373"/>
      <c r="V23" s="373"/>
    </row>
    <row r="24" spans="2:22">
      <c r="B24" s="29">
        <f>MAX(B$14:B23)+1</f>
        <v>6</v>
      </c>
      <c r="D24" s="110" t="s">
        <v>58</v>
      </c>
      <c r="F24" s="10">
        <v>29</v>
      </c>
      <c r="G24" s="10"/>
      <c r="H24" s="204">
        <f>'(JAP4) SecVolt RD'!C118/12</f>
        <v>649.66666666666663</v>
      </c>
      <c r="J24" s="204">
        <f>ROUND('(JAP4) SecVolt RD'!C128/1000,0)</f>
        <v>18243</v>
      </c>
      <c r="L24" s="156">
        <f>SUM('(JAP4) SecVolt RD'!F136/1000)</f>
        <v>1449.5150000000001</v>
      </c>
      <c r="M24" s="156"/>
      <c r="N24" s="156">
        <f>SUM('(JAP4) SecVolt RD'!I136/1000)</f>
        <v>1459.731</v>
      </c>
      <c r="O24" s="156"/>
      <c r="P24" s="156">
        <f>N24-L24</f>
        <v>10.215999999999894</v>
      </c>
      <c r="Q24" s="298">
        <f t="shared" si="0"/>
        <v>7.0478746339292069E-3</v>
      </c>
      <c r="R24" s="25"/>
      <c r="S24" s="26">
        <f>N24/J24*100</f>
        <v>8.001595132379542</v>
      </c>
      <c r="T24" s="27"/>
      <c r="U24" s="373"/>
      <c r="V24" s="373"/>
    </row>
    <row r="25" spans="2:22">
      <c r="B25" s="29">
        <f>MAX(B$14:B24)+1</f>
        <v>7</v>
      </c>
      <c r="D25" s="112" t="s">
        <v>72</v>
      </c>
      <c r="F25" s="10"/>
      <c r="G25" s="10"/>
      <c r="H25" s="219">
        <f>SUM(H21:H24)</f>
        <v>147912.58333333334</v>
      </c>
      <c r="J25" s="219">
        <f>SUM(J21:J24)</f>
        <v>7623387.8629326141</v>
      </c>
      <c r="L25" s="157">
        <f>SUM(L21:L24)</f>
        <v>693403.28100000008</v>
      </c>
      <c r="M25" s="156"/>
      <c r="N25" s="157">
        <f>SUM(N21:N24)</f>
        <v>698600.27500000002</v>
      </c>
      <c r="O25" s="156"/>
      <c r="P25" s="157">
        <f>SUM(P21:P24)</f>
        <v>5196.9939999999624</v>
      </c>
      <c r="Q25" s="299">
        <f>P25/L25</f>
        <v>7.4949082913265911E-3</v>
      </c>
      <c r="R25" s="25"/>
      <c r="S25" s="111">
        <f>N25/J25*100</f>
        <v>9.1639083247596691</v>
      </c>
      <c r="T25" s="27"/>
      <c r="U25" s="301">
        <f>'(JAP4) Rate Spread'!J14</f>
        <v>5196.2097314443436</v>
      </c>
      <c r="V25" s="301">
        <f>P25-U25</f>
        <v>0.78426855561883713</v>
      </c>
    </row>
    <row r="26" spans="2:22">
      <c r="B26" s="29"/>
      <c r="D26" s="110"/>
      <c r="F26" s="10"/>
      <c r="G26" s="10"/>
      <c r="H26" s="204"/>
      <c r="J26" s="204"/>
      <c r="L26" s="156"/>
      <c r="M26" s="156"/>
      <c r="N26" s="156"/>
      <c r="O26" s="156"/>
      <c r="P26" s="156"/>
      <c r="Q26" s="298"/>
      <c r="R26" s="25"/>
      <c r="S26" s="26"/>
      <c r="T26" s="27"/>
      <c r="U26" s="373"/>
      <c r="V26" s="373"/>
    </row>
    <row r="27" spans="2:22">
      <c r="B27" s="29"/>
      <c r="D27" s="23" t="s">
        <v>65</v>
      </c>
      <c r="F27" s="10"/>
      <c r="G27" s="10"/>
      <c r="H27" s="204"/>
      <c r="J27" s="204"/>
      <c r="L27" s="156"/>
      <c r="M27" s="156"/>
      <c r="N27" s="156"/>
      <c r="O27" s="156"/>
      <c r="P27" s="156"/>
      <c r="Q27" s="298"/>
      <c r="R27" s="25"/>
      <c r="S27" s="26"/>
      <c r="T27" s="27"/>
      <c r="U27" s="373"/>
      <c r="V27" s="373"/>
    </row>
    <row r="28" spans="2:22">
      <c r="B28" s="29">
        <f>MAX(B$14:B26)+1</f>
        <v>8</v>
      </c>
      <c r="D28" s="110" t="s">
        <v>57</v>
      </c>
      <c r="F28" s="24" t="s">
        <v>70</v>
      </c>
      <c r="G28" s="10"/>
      <c r="H28" s="204">
        <f>'(JAP4) PriVolt RD'!C15/12</f>
        <v>489.66666666666669</v>
      </c>
      <c r="J28" s="204">
        <f>'(JAP4) PriVolt RD'!C21/1000</f>
        <v>1321181.4175556169</v>
      </c>
      <c r="L28" s="156">
        <f>'(JAP4) PriVolt RD'!F29/1000</f>
        <v>107151.91499999999</v>
      </c>
      <c r="M28" s="156"/>
      <c r="N28" s="156">
        <f>'(JAP4) PriVolt RD'!I29/1000</f>
        <v>107909.338</v>
      </c>
      <c r="O28" s="156"/>
      <c r="P28" s="156">
        <f>N28-L28</f>
        <v>757.42300000000978</v>
      </c>
      <c r="Q28" s="298">
        <f t="shared" si="0"/>
        <v>7.0686837468094694E-3</v>
      </c>
      <c r="R28" s="25"/>
      <c r="S28" s="26">
        <f>N28/J28*100</f>
        <v>8.1676397023240312</v>
      </c>
      <c r="T28" s="27"/>
      <c r="U28" s="373"/>
      <c r="V28" s="373"/>
    </row>
    <row r="29" spans="2:22">
      <c r="B29" s="29">
        <f>MAX(B$14:B28)+1</f>
        <v>9</v>
      </c>
      <c r="D29" s="110" t="s">
        <v>59</v>
      </c>
      <c r="F29" s="10">
        <v>35</v>
      </c>
      <c r="G29" s="10"/>
      <c r="H29" s="204">
        <f>'(JAP4) PriVolt RD'!C37/12</f>
        <v>2.75</v>
      </c>
      <c r="J29" s="204">
        <f>'(JAP4) PriVolt RD'!C43/1000</f>
        <v>3789.48</v>
      </c>
      <c r="L29" s="156">
        <f>'(JAP4) PriVolt RD'!F51/1000</f>
        <v>226.02600000000001</v>
      </c>
      <c r="M29" s="156"/>
      <c r="N29" s="156">
        <f>'(JAP4) PriVolt RD'!I51/1000</f>
        <v>229.71600000000001</v>
      </c>
      <c r="O29" s="156"/>
      <c r="P29" s="156">
        <f>N29-L29</f>
        <v>3.6899999999999977</v>
      </c>
      <c r="Q29" s="298">
        <f t="shared" si="0"/>
        <v>1.6325555467070148E-2</v>
      </c>
      <c r="R29" s="25"/>
      <c r="S29" s="26">
        <f>N29/J29*100</f>
        <v>6.0619398967668392</v>
      </c>
      <c r="T29" s="27"/>
      <c r="U29" s="373"/>
      <c r="V29" s="373"/>
    </row>
    <row r="30" spans="2:22">
      <c r="B30" s="29">
        <f>MAX(B$14:B29)+1</f>
        <v>10</v>
      </c>
      <c r="D30" s="3" t="s">
        <v>60</v>
      </c>
      <c r="F30" s="24">
        <v>43</v>
      </c>
      <c r="G30" s="10"/>
      <c r="H30" s="204">
        <f>'(JAP4) PriVolt RD'!C60/12</f>
        <v>157.41666666666666</v>
      </c>
      <c r="J30" s="204">
        <f>'(JAP4) PriVolt RD'!C66/1000</f>
        <v>123046.16422024449</v>
      </c>
      <c r="L30" s="156">
        <f>'(JAP4) PriVolt RD'!F75/1000</f>
        <v>10794.427</v>
      </c>
      <c r="M30" s="156"/>
      <c r="N30" s="156">
        <f>'(JAP4) PriVolt RD'!I75/1000</f>
        <v>10911.865</v>
      </c>
      <c r="O30" s="156"/>
      <c r="P30" s="156">
        <f>N30-L30</f>
        <v>117.4380000000001</v>
      </c>
      <c r="Q30" s="298">
        <f t="shared" si="0"/>
        <v>1.087950291386473E-2</v>
      </c>
      <c r="R30" s="25"/>
      <c r="S30" s="26">
        <f>N30/J30*100</f>
        <v>8.8681065916597639</v>
      </c>
      <c r="T30" s="27"/>
      <c r="U30" s="373"/>
      <c r="V30" s="373"/>
    </row>
    <row r="31" spans="2:22">
      <c r="B31" s="29">
        <f>MAX(B$14:B30)+1</f>
        <v>11</v>
      </c>
      <c r="D31" s="112" t="s">
        <v>73</v>
      </c>
      <c r="F31" s="10"/>
      <c r="G31" s="10"/>
      <c r="H31" s="219">
        <f>SUM(H28:H30)</f>
        <v>649.83333333333337</v>
      </c>
      <c r="J31" s="219">
        <f>SUM(J28:J30)</f>
        <v>1448017.0617758613</v>
      </c>
      <c r="L31" s="157">
        <f>SUM(L28:L30)</f>
        <v>118172.36799999999</v>
      </c>
      <c r="M31" s="156"/>
      <c r="N31" s="157">
        <f>SUM(N28:N30)</f>
        <v>119050.91900000001</v>
      </c>
      <c r="O31" s="156"/>
      <c r="P31" s="157">
        <f>SUM(P28:P30)</f>
        <v>878.55100000000994</v>
      </c>
      <c r="Q31" s="299">
        <f t="shared" si="0"/>
        <v>7.4344875614239195E-3</v>
      </c>
      <c r="R31" s="25"/>
      <c r="S31" s="111">
        <f>N31/J31*100</f>
        <v>8.2216516740482923</v>
      </c>
      <c r="T31" s="27"/>
      <c r="U31" s="301">
        <f>'(JAP4) Rate Spread'!J20</f>
        <v>878.77221748529428</v>
      </c>
      <c r="V31" s="301">
        <f>P31-U31</f>
        <v>-0.22121748528434182</v>
      </c>
    </row>
    <row r="32" spans="2:22">
      <c r="B32" s="29"/>
      <c r="F32" s="24"/>
      <c r="G32" s="10"/>
      <c r="H32" s="204"/>
      <c r="J32" s="204"/>
      <c r="L32" s="156"/>
      <c r="M32" s="156"/>
      <c r="N32" s="156"/>
      <c r="O32" s="156"/>
      <c r="P32" s="156"/>
      <c r="Q32" s="298"/>
      <c r="R32" s="25"/>
      <c r="S32" s="26"/>
      <c r="T32" s="27"/>
      <c r="U32" s="373"/>
      <c r="V32" s="373"/>
    </row>
    <row r="33" spans="2:22">
      <c r="B33" s="29">
        <f>MAX(B$14:B32)+1</f>
        <v>12</v>
      </c>
      <c r="D33" s="3" t="s">
        <v>61</v>
      </c>
      <c r="F33" s="24">
        <v>40</v>
      </c>
      <c r="G33" s="10"/>
      <c r="H33" s="219">
        <f>'(JAP4) CAMP RD'!C18/12</f>
        <v>135.25</v>
      </c>
      <c r="J33" s="219">
        <f>'(JAP4) CAMP RD'!C26/1000</f>
        <v>534767.4366040678</v>
      </c>
      <c r="L33" s="157">
        <f>'(JAP4) CAMP RD'!G40/1000</f>
        <v>39012.15</v>
      </c>
      <c r="M33" s="156"/>
      <c r="N33" s="157">
        <f>'(JAP4) CAMP RD'!J40/1000</f>
        <v>39244.476999999999</v>
      </c>
      <c r="O33" s="156"/>
      <c r="P33" s="157">
        <f>N33-L33</f>
        <v>232.3269999999975</v>
      </c>
      <c r="Q33" s="299">
        <f>P33/L33</f>
        <v>5.9552472755282004E-3</v>
      </c>
      <c r="R33" s="25"/>
      <c r="S33" s="111">
        <f>N33/J33*100</f>
        <v>7.338606338713161</v>
      </c>
      <c r="T33" s="27"/>
      <c r="U33" s="301">
        <f>'(JAP4) Rate Spread'!J22</f>
        <v>232.32699999999318</v>
      </c>
      <c r="V33" s="301">
        <f>P33-U33</f>
        <v>4.3200998334214091E-12</v>
      </c>
    </row>
    <row r="34" spans="2:22">
      <c r="B34" s="29"/>
      <c r="F34" s="24"/>
      <c r="G34" s="10"/>
      <c r="H34" s="204"/>
      <c r="J34" s="204"/>
      <c r="L34" s="156"/>
      <c r="M34" s="156"/>
      <c r="N34" s="156"/>
      <c r="O34" s="156"/>
      <c r="P34" s="156"/>
      <c r="Q34" s="298"/>
      <c r="R34" s="25"/>
      <c r="S34" s="26"/>
      <c r="T34" s="27"/>
      <c r="U34" s="373"/>
      <c r="V34" s="373"/>
    </row>
    <row r="35" spans="2:22">
      <c r="B35" s="29"/>
      <c r="D35" s="23" t="s">
        <v>66</v>
      </c>
      <c r="F35" s="24"/>
      <c r="G35" s="10"/>
      <c r="H35" s="204"/>
      <c r="J35" s="204"/>
      <c r="L35" s="156"/>
      <c r="M35" s="156"/>
      <c r="N35" s="156"/>
      <c r="O35" s="156"/>
      <c r="P35" s="156"/>
      <c r="Q35" s="298"/>
      <c r="R35" s="25"/>
      <c r="S35" s="26"/>
      <c r="T35" s="27"/>
      <c r="U35" s="373"/>
      <c r="V35" s="373"/>
    </row>
    <row r="36" spans="2:22">
      <c r="B36" s="29">
        <f>MAX(B$14:B34)+1</f>
        <v>13</v>
      </c>
      <c r="D36" s="110" t="s">
        <v>62</v>
      </c>
      <c r="F36" s="24">
        <v>46</v>
      </c>
      <c r="G36" s="10"/>
      <c r="H36" s="204">
        <f>'(JAP4) HighVolt RD'!C14/12</f>
        <v>5</v>
      </c>
      <c r="J36" s="204">
        <f>'(JAP4) HighVolt RD'!C18/1000</f>
        <v>81153.842000000004</v>
      </c>
      <c r="L36" s="156">
        <f>'(JAP4) HighVolt RD'!F22/1000</f>
        <v>5401.9690000000001</v>
      </c>
      <c r="M36" s="156"/>
      <c r="N36" s="156">
        <f>'(JAP4) HighVolt RD'!I22/1000</f>
        <v>5439.616</v>
      </c>
      <c r="O36" s="156"/>
      <c r="P36" s="156">
        <f>N36-L36</f>
        <v>37.646999999999935</v>
      </c>
      <c r="Q36" s="298">
        <f>P36/L36</f>
        <v>6.9691255170105442E-3</v>
      </c>
      <c r="R36" s="25"/>
      <c r="S36" s="26">
        <f>N36/J36*100</f>
        <v>6.7028447032735681</v>
      </c>
      <c r="T36" s="27"/>
      <c r="U36" s="373"/>
      <c r="V36" s="373"/>
    </row>
    <row r="37" spans="2:22">
      <c r="B37" s="29">
        <f>MAX(B$14:B36)+1</f>
        <v>14</v>
      </c>
      <c r="D37" s="3" t="s">
        <v>63</v>
      </c>
      <c r="F37" s="24">
        <v>49</v>
      </c>
      <c r="G37" s="10"/>
      <c r="H37" s="204">
        <f>'(JAP4) HighVolt RD'!C29/12</f>
        <v>20</v>
      </c>
      <c r="J37" s="204">
        <f>'(JAP4) HighVolt RD'!C33/1000</f>
        <v>553489.29599999997</v>
      </c>
      <c r="L37" s="156">
        <f>'(JAP4) HighVolt RD'!F37/1000</f>
        <v>36052.419000000002</v>
      </c>
      <c r="M37" s="156"/>
      <c r="N37" s="156">
        <f>'(JAP4) HighVolt RD'!I37/1000</f>
        <v>36307.620999999999</v>
      </c>
      <c r="O37" s="156"/>
      <c r="P37" s="156">
        <f>N37-L37</f>
        <v>255.2019999999975</v>
      </c>
      <c r="Q37" s="298">
        <f>P37/L37</f>
        <v>7.0786373585638588E-3</v>
      </c>
      <c r="R37" s="25"/>
      <c r="S37" s="26">
        <f>N37/J37*100</f>
        <v>6.5597693148522973</v>
      </c>
      <c r="T37" s="27"/>
      <c r="U37" s="373"/>
      <c r="V37" s="373"/>
    </row>
    <row r="38" spans="2:22">
      <c r="B38" s="29">
        <f>MAX(B$14:B37)+1</f>
        <v>15</v>
      </c>
      <c r="D38" s="112" t="s">
        <v>66</v>
      </c>
      <c r="F38" s="10"/>
      <c r="G38" s="10"/>
      <c r="H38" s="219">
        <f>SUM(H36:H37)</f>
        <v>25</v>
      </c>
      <c r="J38" s="219">
        <f>SUM(J36:J37)</f>
        <v>634643.13800000004</v>
      </c>
      <c r="L38" s="157">
        <f>SUM(L36:L37)</f>
        <v>41454.387999999999</v>
      </c>
      <c r="M38" s="156"/>
      <c r="N38" s="157">
        <f>SUM(N36:N37)</f>
        <v>41747.237000000001</v>
      </c>
      <c r="O38" s="156"/>
      <c r="P38" s="157">
        <f>SUM(P36:P37)</f>
        <v>292.84899999999743</v>
      </c>
      <c r="Q38" s="299">
        <f>P38/L38</f>
        <v>7.0643667444806428E-3</v>
      </c>
      <c r="R38" s="25"/>
      <c r="S38" s="111">
        <f>N38/J38*100</f>
        <v>6.5780648210522363</v>
      </c>
      <c r="T38" s="27"/>
      <c r="U38" s="301">
        <f>'(JAP4) Rate Spread'!J24</f>
        <v>293.11932273054629</v>
      </c>
      <c r="V38" s="301">
        <f>P38-U38</f>
        <v>-0.27032273054885536</v>
      </c>
    </row>
    <row r="39" spans="2:22">
      <c r="B39" s="29"/>
      <c r="F39" s="24"/>
      <c r="G39" s="10"/>
      <c r="H39" s="204"/>
      <c r="J39" s="204"/>
      <c r="L39" s="156"/>
      <c r="M39" s="156"/>
      <c r="N39" s="156"/>
      <c r="O39" s="156"/>
      <c r="P39" s="156"/>
      <c r="Q39" s="298"/>
      <c r="R39" s="25"/>
      <c r="S39" s="26"/>
      <c r="T39" s="27"/>
      <c r="U39" s="373"/>
      <c r="V39" s="373"/>
    </row>
    <row r="40" spans="2:22">
      <c r="B40" s="29">
        <f>MAX(B$14:B39)+1</f>
        <v>16</v>
      </c>
      <c r="D40" s="3" t="s">
        <v>75</v>
      </c>
      <c r="F40" s="24" t="s">
        <v>76</v>
      </c>
      <c r="G40" s="10"/>
      <c r="H40" s="219">
        <f>'(JAP4) TRANSP RD'!C14/12</f>
        <v>20</v>
      </c>
      <c r="J40" s="219">
        <f>'(JAP4) TRANSP RD'!C19/1000</f>
        <v>1993600.694324</v>
      </c>
      <c r="L40" s="157">
        <f>'(JAP4) TRANSP RD'!F25/1000</f>
        <v>8376.0509999999995</v>
      </c>
      <c r="M40" s="156"/>
      <c r="N40" s="157">
        <f>'(JAP4) TRANSP RD'!I25/1000</f>
        <v>8381.3389999999999</v>
      </c>
      <c r="O40" s="156"/>
      <c r="P40" s="157">
        <f>N40-L40</f>
        <v>5.2880000000004657</v>
      </c>
      <c r="Q40" s="299">
        <f>P40/L40</f>
        <v>6.3132375865434273E-4</v>
      </c>
      <c r="R40" s="25"/>
      <c r="S40" s="111">
        <f>N40/J40*100</f>
        <v>0.42041212284198093</v>
      </c>
      <c r="T40" s="27"/>
      <c r="U40" s="301">
        <f>'(JAP4) Rate Spread'!J26</f>
        <v>5.2880000000000003</v>
      </c>
      <c r="V40" s="301">
        <f>P40-U40</f>
        <v>4.6540549192286562E-13</v>
      </c>
    </row>
    <row r="41" spans="2:22">
      <c r="B41" s="29"/>
      <c r="F41" s="24"/>
      <c r="G41" s="10"/>
      <c r="H41" s="204"/>
      <c r="J41" s="204"/>
      <c r="L41" s="156"/>
      <c r="M41" s="156"/>
      <c r="N41" s="156"/>
      <c r="O41" s="156"/>
      <c r="P41" s="156"/>
      <c r="Q41" s="298"/>
      <c r="R41" s="25"/>
      <c r="S41" s="26"/>
      <c r="T41" s="27"/>
      <c r="U41" s="373"/>
      <c r="V41" s="373"/>
    </row>
    <row r="42" spans="2:22">
      <c r="B42" s="29">
        <f>MAX(B$14:B41)+1</f>
        <v>17</v>
      </c>
      <c r="D42" s="3" t="s">
        <v>77</v>
      </c>
      <c r="F42" s="24" t="s">
        <v>78</v>
      </c>
      <c r="G42" s="10"/>
      <c r="H42" s="219">
        <f>'(JAP4) LIGHT Sum'!C22/12</f>
        <v>7697.083333333333</v>
      </c>
      <c r="J42" s="219">
        <f>'(JAP4) LIGHT Sum'!J22/1000</f>
        <v>70906.886296500015</v>
      </c>
      <c r="L42" s="157">
        <f>'(JAP4) LIGHT Sum'!F22/1000</f>
        <v>16588.931</v>
      </c>
      <c r="M42" s="156"/>
      <c r="N42" s="157">
        <f>'(JAP4) LIGHT Sum'!H22/1000</f>
        <v>16772.664000000001</v>
      </c>
      <c r="O42" s="156"/>
      <c r="P42" s="157">
        <f>N42-L42</f>
        <v>183.73300000000017</v>
      </c>
      <c r="Q42" s="299">
        <f>P42/L42</f>
        <v>1.1075638327750001E-2</v>
      </c>
      <c r="R42" s="25"/>
      <c r="S42" s="111">
        <f>N42/J42*100</f>
        <v>23.654492357575013</v>
      </c>
      <c r="T42" s="27"/>
      <c r="U42" s="301">
        <f>'(JAP4) Rate Spread'!J28</f>
        <v>180.45918210502231</v>
      </c>
      <c r="V42" s="301">
        <f>P42-U42</f>
        <v>3.2738178949778671</v>
      </c>
    </row>
    <row r="43" spans="2:22">
      <c r="B43" s="29"/>
      <c r="F43" s="24"/>
      <c r="G43" s="10"/>
      <c r="H43" s="204"/>
      <c r="J43" s="204"/>
      <c r="L43" s="156"/>
      <c r="M43" s="156"/>
      <c r="N43" s="156"/>
      <c r="O43" s="156"/>
      <c r="P43" s="156"/>
      <c r="Q43" s="298"/>
      <c r="R43" s="25"/>
      <c r="S43" s="26"/>
      <c r="T43" s="27"/>
      <c r="U43" s="373"/>
      <c r="V43" s="373"/>
    </row>
    <row r="44" spans="2:22">
      <c r="B44" s="29">
        <f>MAX(B$14:B43)+1</f>
        <v>18</v>
      </c>
      <c r="D44" s="112" t="s">
        <v>79</v>
      </c>
      <c r="H44" s="219">
        <f>SUM(H42,H40,H38,H33,H31,H25,H18)</f>
        <v>1179647.75</v>
      </c>
      <c r="J44" s="219">
        <f>SUM(J42,J40,J38,J33,J31,J25,J18)</f>
        <v>22962663.079933044</v>
      </c>
      <c r="L44" s="157">
        <f>SUM(L42,L40,L38,L33,L31,L25,L18)</f>
        <v>2026039.736</v>
      </c>
      <c r="M44" s="156"/>
      <c r="N44" s="157">
        <f>SUM(N42,N40,N38,N33,N31,N25,N18)</f>
        <v>2044889.9110000001</v>
      </c>
      <c r="O44" s="156"/>
      <c r="P44" s="157">
        <f>SUM(P42,P40,P38,P33,P31,P25,P18)</f>
        <v>18850.17499999993</v>
      </c>
      <c r="Q44" s="299">
        <f>P44/L44</f>
        <v>9.3039512824243682E-3</v>
      </c>
      <c r="R44" s="25"/>
      <c r="S44" s="111">
        <f>N44/J44*100</f>
        <v>8.9052820392902028</v>
      </c>
      <c r="T44" s="27"/>
      <c r="U44" s="301">
        <f>SUM(U42,U40,U38,U33,U31,U25,U18)</f>
        <v>18850.551993076464</v>
      </c>
      <c r="V44" s="301">
        <f>SUM(V42,V40,V38,V33,V31,V25,V18)</f>
        <v>-0.37699307653706526</v>
      </c>
    </row>
    <row r="45" spans="2:22">
      <c r="B45" s="13"/>
      <c r="L45" s="158"/>
      <c r="M45" s="158"/>
      <c r="N45" s="158"/>
      <c r="O45" s="158"/>
      <c r="P45" s="158"/>
      <c r="Q45" s="43"/>
      <c r="T45" s="197"/>
      <c r="U45" s="326"/>
      <c r="V45" s="326"/>
    </row>
    <row r="46" spans="2:22">
      <c r="B46" s="29">
        <f>MAX(B$14:B45)+1</f>
        <v>19</v>
      </c>
      <c r="D46" s="3" t="s">
        <v>80</v>
      </c>
      <c r="F46" s="24" t="s">
        <v>78</v>
      </c>
      <c r="G46" s="10"/>
      <c r="H46" s="219">
        <f>'(JAP4) TRANSP RD'!C32/12</f>
        <v>8</v>
      </c>
      <c r="J46" s="219">
        <f>'(JAP4) TRANSP RD'!C37/1000</f>
        <v>7237.6555782419</v>
      </c>
      <c r="L46" s="157">
        <f>'(JAP4) TRANSP RD'!F45/1000</f>
        <v>329.85399999999998</v>
      </c>
      <c r="M46" s="158"/>
      <c r="N46" s="157">
        <f>'(JAP4) TRANSP RD'!I45/1000</f>
        <v>332.92300692352671</v>
      </c>
      <c r="O46" s="156"/>
      <c r="P46" s="157">
        <f>N46-L46</f>
        <v>3.0690069235267288</v>
      </c>
      <c r="Q46" s="299">
        <f>P46/L46</f>
        <v>9.3041373563053018E-3</v>
      </c>
      <c r="R46" s="25"/>
      <c r="S46" s="111">
        <f>N46/J46*100</f>
        <v>4.5998735823292254</v>
      </c>
      <c r="T46" s="197"/>
      <c r="U46" s="301">
        <f>'(JAP4) Rate Spread'!J32</f>
        <v>3.069006923526719</v>
      </c>
      <c r="V46" s="301">
        <f>P46-U46</f>
        <v>9.7699626167013776E-15</v>
      </c>
    </row>
    <row r="47" spans="2:22">
      <c r="B47" s="13"/>
      <c r="L47" s="158"/>
      <c r="M47" s="158"/>
      <c r="N47" s="158"/>
      <c r="O47" s="158"/>
      <c r="P47" s="158"/>
      <c r="Q47" s="43"/>
      <c r="T47" s="197"/>
      <c r="U47" s="326"/>
      <c r="V47" s="326"/>
    </row>
    <row r="48" spans="2:22" ht="16.5" thickBot="1">
      <c r="B48" s="29">
        <f>MAX(B$14:B47)+1</f>
        <v>20</v>
      </c>
      <c r="D48" s="113" t="s">
        <v>81</v>
      </c>
      <c r="H48" s="31">
        <f>H46+H44</f>
        <v>1179655.75</v>
      </c>
      <c r="J48" s="31">
        <f>J46+J44</f>
        <v>22969900.735511284</v>
      </c>
      <c r="L48" s="151">
        <f>L46+L44</f>
        <v>2026369.59</v>
      </c>
      <c r="M48" s="159"/>
      <c r="N48" s="151">
        <f>N46+N44</f>
        <v>2045222.8340069237</v>
      </c>
      <c r="O48" s="160"/>
      <c r="P48" s="151">
        <f>P46+P44</f>
        <v>18853.244006923458</v>
      </c>
      <c r="Q48" s="300">
        <f>P48/L48</f>
        <v>9.3039513127136184E-3</v>
      </c>
      <c r="R48" s="27"/>
      <c r="S48" s="32">
        <f>N48/J48*100</f>
        <v>8.9039254351022308</v>
      </c>
      <c r="T48" s="27"/>
      <c r="U48" s="374">
        <f>U46+U44</f>
        <v>18853.620999999992</v>
      </c>
      <c r="V48" s="374">
        <f>V46+V44</f>
        <v>-0.37699307653705549</v>
      </c>
    </row>
    <row r="49" spans="2:25" ht="16.5" thickTop="1">
      <c r="B49" s="505" t="s">
        <v>0</v>
      </c>
      <c r="C49" s="506"/>
      <c r="D49" s="506"/>
      <c r="H49" s="33"/>
      <c r="J49" s="33"/>
      <c r="L49" s="34"/>
      <c r="M49" s="27"/>
      <c r="N49" s="34"/>
      <c r="O49" s="34"/>
      <c r="P49" s="34"/>
      <c r="Q49" s="205"/>
      <c r="R49" s="27"/>
      <c r="S49" s="27"/>
      <c r="T49" s="27"/>
      <c r="Y49" s="158"/>
    </row>
    <row r="50" spans="2:25" ht="16.5" thickBot="1">
      <c r="D50" s="3" t="s">
        <v>322</v>
      </c>
      <c r="J50" s="31">
        <f>'[2]Average Costs'!$D$37/1000</f>
        <v>22969900.99589039</v>
      </c>
      <c r="L50" s="151">
        <f>'[2]Average Costs'!$E$37/1000</f>
        <v>2026369.6145011608</v>
      </c>
      <c r="P50" s="34" t="s">
        <v>0</v>
      </c>
      <c r="Q50" s="35" t="s">
        <v>0</v>
      </c>
      <c r="Y50" s="158"/>
    </row>
    <row r="51" spans="2:25" ht="17.25" thickTop="1" thickBot="1">
      <c r="D51" s="3" t="s">
        <v>322</v>
      </c>
      <c r="J51" s="31">
        <f>J50-J48</f>
        <v>0.26037910580635071</v>
      </c>
      <c r="L51" s="151">
        <f>L50-L48</f>
        <v>2.4501160718500614E-2</v>
      </c>
      <c r="M51" s="197"/>
      <c r="N51" s="154"/>
      <c r="P51" s="154"/>
      <c r="Q51" s="340"/>
      <c r="R51" s="197"/>
      <c r="S51" s="197"/>
      <c r="T51" s="197"/>
      <c r="Y51" s="158"/>
    </row>
    <row r="52" spans="2:25" ht="16.5" thickTop="1">
      <c r="J52" s="354"/>
      <c r="L52" s="326"/>
      <c r="M52" s="197"/>
      <c r="N52" s="326"/>
      <c r="P52" s="326"/>
      <c r="R52" s="197"/>
      <c r="S52" s="34"/>
      <c r="T52" s="197"/>
    </row>
    <row r="53" spans="2:25">
      <c r="N53" s="197"/>
      <c r="P53" s="36"/>
      <c r="Q53" s="37"/>
    </row>
    <row r="54" spans="2:25">
      <c r="N54" s="197"/>
      <c r="P54" s="38"/>
      <c r="Q54" s="39"/>
    </row>
    <row r="55" spans="2:25">
      <c r="N55" s="22"/>
      <c r="P55" s="40"/>
      <c r="Q55" s="41"/>
    </row>
    <row r="56" spans="2:25">
      <c r="N56" s="42"/>
      <c r="Q56" s="43"/>
    </row>
    <row r="57" spans="2:25">
      <c r="Q57" s="44"/>
    </row>
    <row r="59" spans="2:25">
      <c r="N59" s="22"/>
    </row>
  </sheetData>
  <mergeCells count="11">
    <mergeCell ref="B7:R7"/>
    <mergeCell ref="B2:R2"/>
    <mergeCell ref="B3:R3"/>
    <mergeCell ref="B4:R4"/>
    <mergeCell ref="B5:R5"/>
    <mergeCell ref="B6:R6"/>
    <mergeCell ref="N9:Q9"/>
    <mergeCell ref="N10:Q10"/>
    <mergeCell ref="B49:D49"/>
    <mergeCell ref="U11:U12"/>
    <mergeCell ref="V11:V12"/>
  </mergeCells>
  <printOptions horizontalCentered="1"/>
  <pageMargins left="0.7" right="0.7" top="0.75" bottom="0.75" header="0.3" footer="0.3"/>
  <pageSetup scale="64" orientation="landscape" r:id="rId1"/>
  <headerFooter alignWithMargins="0">
    <oddFooter>&amp;L&amp;F
&amp;A&amp;R2018 ERF Rate Design Workpapers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activeCell="D153" sqref="D153:E171"/>
      <selection pane="bottomLeft" activeCell="G9" sqref="G9:I9"/>
    </sheetView>
  </sheetViews>
  <sheetFormatPr defaultColWidth="10.25" defaultRowHeight="15.75"/>
  <cols>
    <col min="1" max="1" width="22.125" style="47" bestFit="1" customWidth="1"/>
    <col min="2" max="2" width="1.375" style="47" bestFit="1" customWidth="1"/>
    <col min="3" max="3" width="14.25" style="47" bestFit="1" customWidth="1"/>
    <col min="4" max="4" width="10.75" style="47" bestFit="1" customWidth="1"/>
    <col min="5" max="5" width="2" style="47" bestFit="1" customWidth="1"/>
    <col min="6" max="6" width="14.25" style="47" bestFit="1" customWidth="1"/>
    <col min="7" max="7" width="10.75" style="47" bestFit="1" customWidth="1"/>
    <col min="8" max="8" width="2" style="47" bestFit="1" customWidth="1"/>
    <col min="9" max="9" width="14.25" style="47" bestFit="1" customWidth="1"/>
    <col min="10" max="10" width="1.625" style="47" customWidth="1"/>
    <col min="11" max="11" width="12.5" style="47" bestFit="1" customWidth="1"/>
    <col min="12" max="12" width="13.5" style="53" bestFit="1" customWidth="1"/>
    <col min="13" max="13" width="6.125" style="53" bestFit="1" customWidth="1"/>
    <col min="14" max="14" width="21" style="53" customWidth="1"/>
    <col min="15" max="17" width="1.375" style="47" bestFit="1" customWidth="1"/>
    <col min="18" max="18" width="14.125" style="47" bestFit="1" customWidth="1"/>
    <col min="19" max="19" width="1.375" style="47" bestFit="1" customWidth="1"/>
    <col min="20" max="20" width="13.25" style="47" bestFit="1" customWidth="1"/>
    <col min="21" max="21" width="13" style="47" bestFit="1" customWidth="1"/>
    <col min="22" max="22" width="12.25" style="47" bestFit="1" customWidth="1"/>
    <col min="23" max="23" width="5.5" style="47" bestFit="1" customWidth="1"/>
    <col min="24" max="24" width="1.375" style="47" bestFit="1" customWidth="1"/>
    <col min="25" max="25" width="10.25" style="47" customWidth="1"/>
    <col min="26" max="26" width="12.125" style="47" customWidth="1"/>
    <col min="27" max="16384" width="10.25" style="47"/>
  </cols>
  <sheetData>
    <row r="1" spans="1:31" ht="18">
      <c r="A1" s="513" t="s">
        <v>53</v>
      </c>
      <c r="B1" s="513"/>
      <c r="C1" s="513"/>
      <c r="D1" s="513"/>
      <c r="E1" s="513"/>
      <c r="F1" s="513"/>
      <c r="G1" s="513"/>
      <c r="H1" s="513"/>
      <c r="I1" s="513"/>
      <c r="J1" s="513"/>
      <c r="K1" s="28"/>
      <c r="L1" s="46"/>
      <c r="M1" s="46"/>
      <c r="N1" s="4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18">
      <c r="A2" s="513" t="s">
        <v>30</v>
      </c>
      <c r="B2" s="513"/>
      <c r="C2" s="513"/>
      <c r="D2" s="513"/>
      <c r="E2" s="513"/>
      <c r="F2" s="513"/>
      <c r="G2" s="513"/>
      <c r="H2" s="513"/>
      <c r="I2" s="513"/>
      <c r="J2" s="45"/>
      <c r="K2" s="28"/>
      <c r="L2" s="46"/>
      <c r="M2" s="46"/>
      <c r="N2" s="46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48"/>
      <c r="K3" s="28"/>
      <c r="L3" s="46"/>
      <c r="M3" s="46"/>
      <c r="N3" s="46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49"/>
      <c r="K4" s="28"/>
      <c r="L4" s="46"/>
      <c r="M4" s="46"/>
      <c r="N4" s="46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1">
      <c r="A5" s="50" t="s">
        <v>103</v>
      </c>
      <c r="B5" s="51"/>
      <c r="C5" s="51"/>
      <c r="D5" s="52"/>
      <c r="E5" s="52"/>
      <c r="F5" s="51"/>
      <c r="G5" s="52"/>
      <c r="H5" s="51"/>
      <c r="I5" s="51"/>
      <c r="J5" s="51"/>
      <c r="K5" s="28"/>
      <c r="L5" s="46"/>
      <c r="M5" s="46"/>
      <c r="N5" s="46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>
      <c r="A6" s="50"/>
      <c r="B6" s="51"/>
      <c r="C6" s="51"/>
      <c r="D6" s="52"/>
      <c r="E6" s="52"/>
      <c r="F6" s="51"/>
      <c r="G6" s="52"/>
      <c r="H6" s="51"/>
      <c r="I6" s="51"/>
      <c r="J6" s="51"/>
      <c r="K6" s="28"/>
      <c r="L6" s="46"/>
      <c r="M6" s="46"/>
      <c r="N6" s="46"/>
      <c r="O6" s="46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>
      <c r="A7" s="51"/>
      <c r="B7" s="51"/>
      <c r="C7" s="51"/>
      <c r="D7" s="52"/>
      <c r="E7" s="52"/>
      <c r="F7" s="51"/>
      <c r="G7" s="52"/>
      <c r="H7" s="51"/>
      <c r="I7" s="51"/>
      <c r="J7" s="51"/>
      <c r="K7" s="28"/>
      <c r="L7" s="46"/>
      <c r="M7" s="46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>
      <c r="A8" s="54"/>
      <c r="B8" s="54"/>
      <c r="C8" s="55"/>
      <c r="D8" s="56"/>
      <c r="E8" s="56"/>
      <c r="G8" s="56"/>
      <c r="H8" s="57"/>
      <c r="I8" s="57"/>
      <c r="J8" s="57"/>
      <c r="K8" s="28"/>
      <c r="L8" s="46"/>
      <c r="M8" s="46"/>
      <c r="N8" s="46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ht="58.9" customHeight="1">
      <c r="A9" s="54"/>
      <c r="B9" s="54"/>
      <c r="C9" s="477" t="s">
        <v>1022</v>
      </c>
      <c r="D9" s="516" t="s">
        <v>897</v>
      </c>
      <c r="E9" s="517"/>
      <c r="F9" s="518"/>
      <c r="G9" s="516" t="s">
        <v>1029</v>
      </c>
      <c r="H9" s="517"/>
      <c r="I9" s="518"/>
      <c r="J9" s="57"/>
      <c r="K9" s="28"/>
      <c r="L9" s="46"/>
      <c r="M9" s="46"/>
      <c r="N9" s="46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>
      <c r="A10" s="54"/>
      <c r="B10" s="54"/>
      <c r="C10" s="58" t="s">
        <v>32</v>
      </c>
      <c r="D10" s="59" t="s">
        <v>33</v>
      </c>
      <c r="E10" s="59"/>
      <c r="F10" s="59" t="s">
        <v>34</v>
      </c>
      <c r="G10" s="59" t="s">
        <v>33</v>
      </c>
      <c r="H10" s="59"/>
      <c r="I10" s="59" t="s">
        <v>34</v>
      </c>
      <c r="J10" s="59"/>
      <c r="K10" s="28"/>
      <c r="L10" s="46"/>
      <c r="M10" s="46"/>
      <c r="N10" s="46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>
      <c r="A11" s="115" t="s">
        <v>328</v>
      </c>
      <c r="B11" s="72"/>
      <c r="C11" s="72"/>
      <c r="D11" s="78"/>
      <c r="E11" s="72"/>
      <c r="F11" s="72"/>
      <c r="G11" s="78"/>
      <c r="H11" s="72"/>
      <c r="I11" s="72"/>
      <c r="J11" s="72"/>
      <c r="K11" s="28"/>
      <c r="L11" s="46"/>
      <c r="M11" s="46"/>
    </row>
    <row r="12" spans="1:31">
      <c r="A12" s="116" t="s">
        <v>29</v>
      </c>
      <c r="B12" s="72"/>
      <c r="C12" s="72"/>
      <c r="D12" s="78"/>
      <c r="E12" s="72"/>
      <c r="F12" s="72"/>
      <c r="G12" s="78"/>
      <c r="H12" s="72"/>
      <c r="I12" s="72"/>
      <c r="J12" s="72"/>
      <c r="K12" s="79"/>
      <c r="L12" s="46"/>
      <c r="M12" s="46"/>
    </row>
    <row r="13" spans="1:31">
      <c r="A13" s="72" t="s">
        <v>42</v>
      </c>
      <c r="B13" s="72"/>
      <c r="C13" s="72"/>
      <c r="D13" s="78"/>
      <c r="E13" s="72"/>
      <c r="F13" s="72"/>
      <c r="G13" s="78"/>
      <c r="H13" s="72"/>
      <c r="I13" s="72"/>
      <c r="J13" s="72"/>
      <c r="K13" s="28"/>
      <c r="L13" s="46"/>
      <c r="M13" s="80"/>
    </row>
    <row r="14" spans="1:31">
      <c r="A14" s="72" t="s">
        <v>40</v>
      </c>
      <c r="B14" s="72"/>
      <c r="C14" s="78">
        <f>'[2]Sch 7 Res'!$C$6</f>
        <v>12273719</v>
      </c>
      <c r="D14" s="120">
        <f>'(JAP4)-Tariff Summary'!$D$8</f>
        <v>7.49</v>
      </c>
      <c r="E14" s="72"/>
      <c r="F14" s="341">
        <f>ROUND(D14*$C14,0)</f>
        <v>91930155</v>
      </c>
      <c r="G14" s="120">
        <f>D14</f>
        <v>7.49</v>
      </c>
      <c r="H14" s="72"/>
      <c r="I14" s="341">
        <f>ROUND(G14*$C14,0)</f>
        <v>91930155</v>
      </c>
      <c r="J14" s="341"/>
      <c r="K14" s="512" t="s">
        <v>867</v>
      </c>
      <c r="L14" s="512"/>
      <c r="M14" s="512"/>
    </row>
    <row r="15" spans="1:31">
      <c r="A15" s="72" t="s">
        <v>41</v>
      </c>
      <c r="B15" s="72"/>
      <c r="C15" s="78">
        <f>'[2]Sch 7 Res'!$C$7</f>
        <v>4775</v>
      </c>
      <c r="D15" s="120">
        <f>'(JAP4)-Tariff Summary'!$D$9</f>
        <v>17.989999999999998</v>
      </c>
      <c r="E15" s="72"/>
      <c r="F15" s="341">
        <f>ROUND(D15*$C15,0)</f>
        <v>85902</v>
      </c>
      <c r="G15" s="120">
        <f>D15</f>
        <v>17.989999999999998</v>
      </c>
      <c r="H15" s="72"/>
      <c r="I15" s="341">
        <f>ROUND(G15*$C15,0)</f>
        <v>85902</v>
      </c>
      <c r="J15" s="341"/>
      <c r="K15" s="512" t="s">
        <v>867</v>
      </c>
      <c r="L15" s="512"/>
      <c r="M15" s="512"/>
    </row>
    <row r="16" spans="1:31">
      <c r="A16" s="119" t="s">
        <v>35</v>
      </c>
      <c r="B16" s="72"/>
      <c r="C16" s="122">
        <f>SUM(C14:C15)</f>
        <v>12278494</v>
      </c>
      <c r="D16" s="81"/>
      <c r="E16" s="72"/>
      <c r="F16" s="109">
        <f>SUM(F14:F15)</f>
        <v>92016057</v>
      </c>
      <c r="G16" s="81"/>
      <c r="H16" s="72"/>
      <c r="I16" s="109">
        <f>SUM(I14:I15)</f>
        <v>92016057</v>
      </c>
      <c r="J16" s="341"/>
      <c r="K16" s="512"/>
      <c r="L16" s="512"/>
      <c r="M16" s="512"/>
    </row>
    <row r="17" spans="1:33">
      <c r="A17" s="72" t="s">
        <v>89</v>
      </c>
      <c r="B17" s="72"/>
      <c r="C17" s="105"/>
      <c r="D17" s="81"/>
      <c r="E17" s="72"/>
      <c r="F17" s="64"/>
      <c r="G17" s="81"/>
      <c r="H17" s="72"/>
      <c r="I17" s="64"/>
      <c r="J17" s="341"/>
      <c r="K17" s="447"/>
      <c r="L17" s="447"/>
      <c r="M17" s="447"/>
    </row>
    <row r="18" spans="1:33">
      <c r="A18" s="118" t="s">
        <v>83</v>
      </c>
      <c r="B18" s="72"/>
      <c r="C18" s="78">
        <f>SUM('[2]Sch 7 Res'!$C$10:$C$12)</f>
        <v>6102617931</v>
      </c>
      <c r="D18" s="121">
        <f>'(JAP4)-Tariff Summary'!$D$11</f>
        <v>8.7335999999999997E-2</v>
      </c>
      <c r="E18" s="72"/>
      <c r="F18" s="341">
        <f>ROUND(D18*$C18,0)</f>
        <v>532978240</v>
      </c>
      <c r="G18" s="270">
        <v>8.8372000000000006E-2</v>
      </c>
      <c r="H18" s="72"/>
      <c r="I18" s="341">
        <f>ROUND(G18*$C18,0)</f>
        <v>539300552</v>
      </c>
      <c r="J18" s="341"/>
      <c r="K18" s="512" t="s">
        <v>359</v>
      </c>
      <c r="L18" s="512"/>
      <c r="M18" s="512"/>
    </row>
    <row r="19" spans="1:33">
      <c r="A19" s="118" t="s">
        <v>249</v>
      </c>
      <c r="B19" s="72"/>
      <c r="C19" s="78">
        <f>SUM('[2]Sch 7 Res'!$C$13:$C$15)</f>
        <v>4510515385</v>
      </c>
      <c r="D19" s="121">
        <f>'(JAP4)-Tariff Summary'!$D$12</f>
        <v>0.106297</v>
      </c>
      <c r="E19" s="72"/>
      <c r="F19" s="341">
        <f>ROUND(D19*$C19,0)</f>
        <v>479454254</v>
      </c>
      <c r="G19" s="121">
        <f>ROUND(I18/F18*F19/C19,6)</f>
        <v>0.107558</v>
      </c>
      <c r="H19" s="72"/>
      <c r="I19" s="341">
        <f>ROUND(G19*$C19,0)</f>
        <v>485142014</v>
      </c>
      <c r="J19" s="341"/>
      <c r="K19" s="505" t="s">
        <v>329</v>
      </c>
      <c r="L19" s="505"/>
      <c r="M19" s="505"/>
      <c r="N19" s="289"/>
    </row>
    <row r="20" spans="1:33">
      <c r="A20" s="119" t="s">
        <v>35</v>
      </c>
      <c r="B20" s="84"/>
      <c r="C20" s="122">
        <f>SUM(C18:C19)</f>
        <v>10613133316</v>
      </c>
      <c r="D20" s="83"/>
      <c r="E20" s="341"/>
      <c r="F20" s="109">
        <f>SUM(F18:F19)</f>
        <v>1012432494</v>
      </c>
      <c r="G20" s="341"/>
      <c r="H20" s="341"/>
      <c r="I20" s="109">
        <f>SUM(I18:I19)</f>
        <v>1024442566</v>
      </c>
      <c r="J20" s="341"/>
      <c r="K20" s="512"/>
      <c r="L20" s="512"/>
      <c r="M20" s="512"/>
    </row>
    <row r="21" spans="1:33">
      <c r="A21" s="117" t="s">
        <v>82</v>
      </c>
      <c r="B21" s="72"/>
      <c r="C21" s="78">
        <f>'[2]Temperature Adjustment'!$B$22</f>
        <v>-855.29145687073469</v>
      </c>
      <c r="D21" s="121">
        <f>D19</f>
        <v>0.106297</v>
      </c>
      <c r="E21" s="72"/>
      <c r="F21" s="341">
        <f>ROUND(D21*$C21,0)</f>
        <v>-91</v>
      </c>
      <c r="G21" s="121">
        <f>G19</f>
        <v>0.107558</v>
      </c>
      <c r="H21" s="72"/>
      <c r="I21" s="341">
        <f>ROUND(G21*$C21,0)</f>
        <v>-92</v>
      </c>
      <c r="J21" s="341"/>
      <c r="K21" s="511" t="s">
        <v>363</v>
      </c>
      <c r="L21" s="512"/>
      <c r="M21" s="512"/>
    </row>
    <row r="22" spans="1:33">
      <c r="A22" s="117" t="s">
        <v>84</v>
      </c>
      <c r="B22" s="84"/>
      <c r="C22" s="78">
        <f>'[2]Sch 7 Res'!$C$34</f>
        <v>44207598.940063655</v>
      </c>
      <c r="D22" s="121">
        <f>F22/C22</f>
        <v>0.10369500063134167</v>
      </c>
      <c r="E22" s="65"/>
      <c r="F22" s="341">
        <f>'[2]Sch 7 Res'!$C$36</f>
        <v>4584107</v>
      </c>
      <c r="G22" s="121">
        <f>D22*(1+M23)</f>
        <v>0.10482302479409887</v>
      </c>
      <c r="H22" s="65"/>
      <c r="I22" s="341">
        <f>ROUND(G22*$C22,0)</f>
        <v>4633974</v>
      </c>
      <c r="J22" s="64"/>
      <c r="K22" s="512" t="s">
        <v>85</v>
      </c>
      <c r="L22" s="512"/>
      <c r="M22" s="512"/>
    </row>
    <row r="23" spans="1:33" ht="16.5" thickBot="1">
      <c r="A23" s="72" t="s">
        <v>36</v>
      </c>
      <c r="B23" s="72"/>
      <c r="C23" s="123">
        <f>SUM(C20:C22)</f>
        <v>10657340059.648607</v>
      </c>
      <c r="D23" s="121"/>
      <c r="E23" s="65"/>
      <c r="F23" s="108">
        <f>SUM(F20:F22,F16)</f>
        <v>1109032567</v>
      </c>
      <c r="G23" s="65"/>
      <c r="H23" s="65"/>
      <c r="I23" s="108">
        <f>SUM(I20:I22,I16)</f>
        <v>1121092505</v>
      </c>
      <c r="J23" s="66"/>
      <c r="K23" s="67" t="s">
        <v>37</v>
      </c>
      <c r="L23" s="152">
        <f>'(JAP4) Rate Spread'!K8*1000</f>
        <v>1121096943.5393114</v>
      </c>
      <c r="M23" s="69">
        <f>L23/F23-1</f>
        <v>1.0878288788169987E-2</v>
      </c>
    </row>
    <row r="24" spans="1:33" ht="16.5" thickTop="1">
      <c r="A24" s="72"/>
      <c r="B24" s="72"/>
      <c r="C24" s="70"/>
      <c r="D24" s="64"/>
      <c r="E24" s="64"/>
      <c r="F24" s="64"/>
      <c r="G24" s="64"/>
      <c r="H24" s="64"/>
      <c r="I24" s="64"/>
      <c r="J24" s="64"/>
      <c r="K24" s="73" t="s">
        <v>38</v>
      </c>
      <c r="L24" s="196">
        <f>I23-L23</f>
        <v>-4438.5393114089966</v>
      </c>
      <c r="M24" s="75"/>
    </row>
    <row r="25" spans="1:33">
      <c r="C25" s="71"/>
      <c r="D25" s="65"/>
      <c r="E25" s="71"/>
      <c r="F25" s="61">
        <f>'[2]Average Costs'!$E$8</f>
        <v>1109032566.5011609</v>
      </c>
      <c r="G25" s="72" t="s">
        <v>0</v>
      </c>
      <c r="H25" s="71"/>
      <c r="I25" s="341" t="s">
        <v>0</v>
      </c>
      <c r="J25" s="341"/>
      <c r="K25" s="455"/>
      <c r="L25" s="244"/>
      <c r="M25" s="244"/>
      <c r="N25" s="46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G25" s="63"/>
    </row>
    <row r="26" spans="1:33">
      <c r="A26" s="72"/>
      <c r="B26" s="72"/>
      <c r="C26" s="70"/>
      <c r="D26" s="121"/>
      <c r="E26" s="64"/>
      <c r="F26" s="61">
        <f>F25-F23</f>
        <v>-0.49883913993835449</v>
      </c>
      <c r="G26" s="64"/>
      <c r="H26" s="64"/>
      <c r="I26" s="64"/>
      <c r="J26" s="64"/>
      <c r="K26" s="28"/>
      <c r="L26" s="270"/>
      <c r="M26" s="46"/>
      <c r="N26" s="297"/>
      <c r="O26" s="338"/>
      <c r="P26" s="338"/>
      <c r="Z26" s="28"/>
      <c r="AA26" s="28"/>
      <c r="AB26" s="28"/>
      <c r="AC26" s="28"/>
      <c r="AD26" s="28"/>
      <c r="AE26" s="28"/>
      <c r="AG26" s="63"/>
    </row>
    <row r="27" spans="1:33">
      <c r="A27" s="72"/>
      <c r="B27" s="85"/>
      <c r="C27" s="78"/>
      <c r="D27" s="72"/>
      <c r="E27" s="72"/>
      <c r="F27" s="61"/>
      <c r="G27" s="72" t="s">
        <v>0</v>
      </c>
      <c r="H27" s="72"/>
      <c r="I27" s="341" t="s">
        <v>0</v>
      </c>
      <c r="J27" s="341"/>
      <c r="K27" s="28"/>
      <c r="L27" s="436"/>
      <c r="M27" s="46"/>
      <c r="N27" s="46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G27" s="63"/>
    </row>
    <row r="28" spans="1:33">
      <c r="F28" s="61"/>
    </row>
    <row r="29" spans="1:33">
      <c r="C29" s="71"/>
      <c r="D29" s="65"/>
      <c r="E29" s="71"/>
      <c r="F29" s="61"/>
      <c r="G29" s="72" t="s">
        <v>0</v>
      </c>
      <c r="H29" s="71"/>
      <c r="I29" s="341" t="s">
        <v>0</v>
      </c>
      <c r="J29" s="341"/>
      <c r="K29" s="28"/>
      <c r="L29" s="46"/>
      <c r="M29" s="46"/>
    </row>
    <row r="30" spans="1:33">
      <c r="F30" s="61"/>
    </row>
    <row r="31" spans="1:33">
      <c r="F31" s="61"/>
    </row>
    <row r="32" spans="1:33">
      <c r="F32" s="61"/>
    </row>
    <row r="33" spans="7:11">
      <c r="G33" s="139"/>
      <c r="K33" s="449"/>
    </row>
    <row r="34" spans="7:11">
      <c r="G34" s="139"/>
      <c r="K34" s="449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75" header="0.3" footer="0.3"/>
  <pageSetup scale="91" fitToHeight="0" orientation="landscape" r:id="rId1"/>
  <headerFooter alignWithMargins="0">
    <oddFooter>&amp;L&amp;F
&amp;A&amp;R2018 ERF Rate Design Workpapers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pageSetUpPr fitToPage="1"/>
  </sheetPr>
  <dimension ref="A1:AM143"/>
  <sheetViews>
    <sheetView zoomScale="80" zoomScaleNormal="80" zoomScaleSheetLayoutView="80" workbookViewId="0">
      <pane ySplit="10" topLeftCell="A32" activePane="bottomLeft" state="frozen"/>
      <selection activeCell="D153" sqref="D153:E171"/>
      <selection pane="bottomLeft" activeCell="K30" sqref="K30"/>
    </sheetView>
  </sheetViews>
  <sheetFormatPr defaultColWidth="10.25" defaultRowHeight="15.75"/>
  <cols>
    <col min="1" max="1" width="42.125" style="338" bestFit="1" customWidth="1"/>
    <col min="2" max="2" width="1.375" style="338" bestFit="1" customWidth="1"/>
    <col min="3" max="3" width="13.25" style="338" bestFit="1" customWidth="1"/>
    <col min="4" max="4" width="11.5" style="338" bestFit="1" customWidth="1"/>
    <col min="5" max="5" width="2" style="338" bestFit="1" customWidth="1"/>
    <col min="6" max="6" width="12.625" style="338" bestFit="1" customWidth="1"/>
    <col min="7" max="7" width="12.25" style="338" bestFit="1" customWidth="1"/>
    <col min="8" max="8" width="2" style="338" bestFit="1" customWidth="1"/>
    <col min="9" max="9" width="12.625" style="338" bestFit="1" customWidth="1"/>
    <col min="10" max="10" width="1.625" style="338" customWidth="1"/>
    <col min="11" max="11" width="50.75" style="338" bestFit="1" customWidth="1"/>
    <col min="12" max="12" width="12.625" style="203" bestFit="1" customWidth="1"/>
    <col min="13" max="13" width="10.25" style="203" bestFit="1" customWidth="1"/>
    <col min="14" max="14" width="12.375" style="203" customWidth="1"/>
    <col min="15" max="15" width="1.375" style="338" bestFit="1" customWidth="1"/>
    <col min="16" max="16" width="12.25" style="338" bestFit="1" customWidth="1"/>
    <col min="17" max="17" width="14.125" style="338" bestFit="1" customWidth="1"/>
    <col min="18" max="18" width="1.375" style="338" bestFit="1" customWidth="1"/>
    <col min="19" max="19" width="13.25" style="338" bestFit="1" customWidth="1"/>
    <col min="20" max="20" width="13" style="338" bestFit="1" customWidth="1"/>
    <col min="21" max="21" width="12.25" style="338" bestFit="1" customWidth="1"/>
    <col min="22" max="22" width="5.5" style="338" bestFit="1" customWidth="1"/>
    <col min="23" max="23" width="1.375" style="338" bestFit="1" customWidth="1"/>
    <col min="24" max="24" width="10.25" style="338" customWidth="1"/>
    <col min="25" max="25" width="12.125" style="338" customWidth="1"/>
    <col min="26" max="16384" width="10.25" style="338"/>
  </cols>
  <sheetData>
    <row r="1" spans="1:39" ht="18.75">
      <c r="A1" s="524" t="s">
        <v>53</v>
      </c>
      <c r="B1" s="524"/>
      <c r="C1" s="524"/>
      <c r="D1" s="524"/>
      <c r="E1" s="524"/>
      <c r="F1" s="524"/>
      <c r="G1" s="524"/>
      <c r="H1" s="524"/>
      <c r="I1" s="524"/>
      <c r="J1" s="524"/>
      <c r="K1" s="197"/>
      <c r="L1" s="198"/>
      <c r="M1" s="198"/>
      <c r="N1" s="198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</row>
    <row r="2" spans="1:39" ht="18.75">
      <c r="A2" s="524" t="s">
        <v>30</v>
      </c>
      <c r="B2" s="524"/>
      <c r="C2" s="524"/>
      <c r="D2" s="524"/>
      <c r="E2" s="524"/>
      <c r="F2" s="524"/>
      <c r="G2" s="524"/>
      <c r="H2" s="524"/>
      <c r="I2" s="524"/>
      <c r="J2" s="199"/>
      <c r="K2" s="197"/>
      <c r="L2" s="198"/>
      <c r="M2" s="198"/>
      <c r="N2" s="198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</row>
    <row r="3" spans="1:39">
      <c r="A3" s="514" t="str">
        <f>'(JAP4) Proposed ERF Rev'!$B$6</f>
        <v>12 MONTHS ENDED JUNE 2018</v>
      </c>
      <c r="B3" s="514"/>
      <c r="C3" s="514"/>
      <c r="D3" s="514"/>
      <c r="E3" s="514"/>
      <c r="F3" s="514"/>
      <c r="G3" s="514"/>
      <c r="H3" s="514"/>
      <c r="I3" s="514"/>
      <c r="J3" s="200"/>
      <c r="K3" s="197"/>
      <c r="L3" s="198"/>
      <c r="M3" s="198"/>
      <c r="N3" s="198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</row>
    <row r="4" spans="1:39">
      <c r="A4" s="515" t="s">
        <v>31</v>
      </c>
      <c r="B4" s="515"/>
      <c r="C4" s="515"/>
      <c r="D4" s="515"/>
      <c r="E4" s="515"/>
      <c r="F4" s="515"/>
      <c r="G4" s="515"/>
      <c r="H4" s="515"/>
      <c r="I4" s="515"/>
      <c r="J4" s="49"/>
      <c r="K4" s="197"/>
      <c r="L4" s="198"/>
      <c r="M4" s="198"/>
      <c r="N4" s="198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</row>
    <row r="5" spans="1:39">
      <c r="A5" s="50" t="s">
        <v>104</v>
      </c>
      <c r="B5" s="201"/>
      <c r="C5" s="201"/>
      <c r="D5" s="202"/>
      <c r="E5" s="202"/>
      <c r="F5" s="201"/>
      <c r="G5" s="202"/>
      <c r="H5" s="201"/>
      <c r="I5" s="201"/>
      <c r="J5" s="201"/>
      <c r="K5" s="197"/>
      <c r="L5" s="198"/>
      <c r="M5" s="198"/>
      <c r="N5" s="198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</row>
    <row r="6" spans="1:39">
      <c r="A6" s="50"/>
      <c r="B6" s="201"/>
      <c r="C6" s="201"/>
      <c r="D6" s="202"/>
      <c r="E6" s="202"/>
      <c r="F6" s="201"/>
      <c r="G6" s="202"/>
      <c r="H6" s="201"/>
      <c r="I6" s="201"/>
      <c r="J6" s="201"/>
      <c r="K6" s="197"/>
      <c r="L6" s="198"/>
      <c r="M6" s="198"/>
      <c r="N6" s="198"/>
      <c r="O6" s="198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</row>
    <row r="7" spans="1:39">
      <c r="A7" s="201"/>
      <c r="B7" s="201"/>
      <c r="C7" s="201"/>
      <c r="D7" s="202"/>
      <c r="E7" s="202"/>
      <c r="F7" s="201"/>
      <c r="G7" s="202"/>
      <c r="H7" s="201"/>
      <c r="I7" s="201"/>
      <c r="J7" s="201"/>
      <c r="K7" s="197"/>
      <c r="L7" s="198"/>
      <c r="M7" s="198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</row>
    <row r="8" spans="1:39">
      <c r="A8" s="56"/>
      <c r="B8" s="56"/>
      <c r="C8" s="55"/>
      <c r="D8" s="56"/>
      <c r="E8" s="56"/>
      <c r="G8" s="56"/>
      <c r="H8" s="57"/>
      <c r="I8" s="57"/>
      <c r="J8" s="57"/>
      <c r="K8" s="197"/>
      <c r="L8" s="198"/>
      <c r="M8" s="198"/>
      <c r="N8" s="198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</row>
    <row r="9" spans="1:39" ht="54" customHeight="1">
      <c r="A9" s="56"/>
      <c r="B9" s="56"/>
      <c r="C9" s="477" t="s">
        <v>1022</v>
      </c>
      <c r="D9" s="516" t="str">
        <f>'(JAP4) Res RD'!$D$9</f>
        <v>Present Base
Effective May 1, 2018</v>
      </c>
      <c r="E9" s="517"/>
      <c r="F9" s="518"/>
      <c r="G9" s="516" t="str">
        <f>'(JAP4) Res RD'!$G$9</f>
        <v>Proposed Base 
+ ERF (Schedule 141)
Effective March 2019</v>
      </c>
      <c r="H9" s="517"/>
      <c r="I9" s="518"/>
      <c r="J9" s="57"/>
      <c r="K9" s="197"/>
      <c r="L9" s="198"/>
      <c r="M9" s="198"/>
      <c r="N9" s="198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</row>
    <row r="10" spans="1:39">
      <c r="A10" s="56"/>
      <c r="B10" s="56"/>
      <c r="C10" s="58" t="s">
        <v>32</v>
      </c>
      <c r="D10" s="59" t="s">
        <v>33</v>
      </c>
      <c r="E10" s="59"/>
      <c r="F10" s="59" t="s">
        <v>34</v>
      </c>
      <c r="G10" s="59" t="s">
        <v>33</v>
      </c>
      <c r="H10" s="59"/>
      <c r="I10" s="59" t="s">
        <v>34</v>
      </c>
      <c r="J10" s="59"/>
      <c r="K10" s="197"/>
      <c r="L10" s="198"/>
      <c r="M10" s="198"/>
      <c r="N10" s="198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</row>
    <row r="11" spans="1:39">
      <c r="A11" s="72"/>
      <c r="B11" s="85"/>
      <c r="C11" s="78"/>
      <c r="D11" s="72" t="s">
        <v>0</v>
      </c>
      <c r="E11" s="72"/>
      <c r="G11" s="72" t="s">
        <v>0</v>
      </c>
      <c r="H11" s="72"/>
      <c r="I11" s="341" t="s">
        <v>0</v>
      </c>
      <c r="J11" s="341"/>
      <c r="K11" s="197"/>
      <c r="L11" s="198"/>
      <c r="M11" s="198"/>
      <c r="N11" s="198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F11" s="343"/>
    </row>
    <row r="12" spans="1:39">
      <c r="A12" s="115" t="s">
        <v>112</v>
      </c>
      <c r="B12" s="72"/>
      <c r="C12" s="72" t="s">
        <v>0</v>
      </c>
      <c r="D12" s="341"/>
      <c r="E12" s="72"/>
      <c r="F12" s="72"/>
      <c r="G12" s="341"/>
      <c r="H12" s="72"/>
      <c r="I12" s="72"/>
      <c r="J12" s="72"/>
      <c r="K12" s="197"/>
      <c r="L12" s="198"/>
      <c r="M12" s="198"/>
      <c r="N12" s="198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F12" s="343"/>
    </row>
    <row r="13" spans="1:39">
      <c r="A13" s="116" t="s">
        <v>94</v>
      </c>
      <c r="B13" s="72"/>
      <c r="C13" s="72"/>
      <c r="D13" s="341"/>
      <c r="E13" s="72"/>
      <c r="F13" s="72"/>
      <c r="G13" s="341"/>
      <c r="H13" s="72"/>
      <c r="I13" s="72"/>
      <c r="J13" s="72"/>
      <c r="K13" s="197"/>
      <c r="L13" s="198"/>
      <c r="M13" s="198"/>
      <c r="N13" s="198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F13" s="343"/>
    </row>
    <row r="14" spans="1:39">
      <c r="A14" s="72" t="s">
        <v>42</v>
      </c>
      <c r="B14" s="72"/>
      <c r="C14" s="204"/>
      <c r="D14" s="341"/>
      <c r="E14" s="72"/>
      <c r="F14" s="72"/>
      <c r="G14" s="341"/>
      <c r="H14" s="72"/>
      <c r="I14" s="72"/>
      <c r="J14" s="72"/>
      <c r="M14" s="205"/>
      <c r="N14" s="205"/>
      <c r="Q14" s="343"/>
      <c r="R14" s="208"/>
      <c r="S14" s="343"/>
      <c r="T14" s="343"/>
      <c r="U14" s="208"/>
      <c r="V14" s="205"/>
      <c r="W14" s="343"/>
      <c r="X14" s="343"/>
      <c r="AF14" s="197"/>
      <c r="AG14" s="197"/>
      <c r="AH14" s="197"/>
      <c r="AI14" s="197"/>
      <c r="AJ14" s="197"/>
      <c r="AK14" s="197"/>
      <c r="AM14" s="343"/>
    </row>
    <row r="15" spans="1:39">
      <c r="A15" s="72" t="s">
        <v>40</v>
      </c>
      <c r="B15" s="72"/>
      <c r="C15" s="204">
        <f>SUM('[2]Sch 24 Sm Sec'!$C$6:$C$8)</f>
        <v>1092556</v>
      </c>
      <c r="D15" s="120">
        <f>'(JAP4)-Tariff Summary'!D15</f>
        <v>9.8000000000000007</v>
      </c>
      <c r="E15" s="206"/>
      <c r="F15" s="341">
        <f>ROUND(D15*$C15,0)</f>
        <v>10707049</v>
      </c>
      <c r="G15" s="120">
        <f>ROUND(D15*(1+$M$25),2)</f>
        <v>9.8800000000000008</v>
      </c>
      <c r="H15" s="206"/>
      <c r="I15" s="341">
        <f>ROUND(G15*$C15,0)</f>
        <v>10794453</v>
      </c>
      <c r="J15" s="207"/>
      <c r="K15" s="505" t="s">
        <v>92</v>
      </c>
      <c r="L15" s="505"/>
      <c r="M15" s="505"/>
      <c r="N15" s="43"/>
      <c r="P15" s="343"/>
      <c r="Q15" s="343"/>
      <c r="R15" s="208"/>
      <c r="S15" s="343"/>
      <c r="T15" s="343"/>
      <c r="U15" s="208"/>
      <c r="V15" s="205"/>
      <c r="W15" s="343"/>
      <c r="X15" s="343"/>
      <c r="AF15" s="197"/>
      <c r="AG15" s="197"/>
      <c r="AH15" s="197"/>
      <c r="AI15" s="197"/>
      <c r="AJ15" s="197"/>
      <c r="AK15" s="197"/>
      <c r="AM15" s="343"/>
    </row>
    <row r="16" spans="1:39">
      <c r="A16" s="72" t="s">
        <v>41</v>
      </c>
      <c r="B16" s="72"/>
      <c r="C16" s="204">
        <f>SUM('[2]Sch 24 Sm Sec'!$C$9:$C$11)</f>
        <v>464866</v>
      </c>
      <c r="D16" s="120">
        <f>'(JAP4)-Tariff Summary'!D16</f>
        <v>24.9</v>
      </c>
      <c r="E16" s="91"/>
      <c r="F16" s="341">
        <f>ROUND(D16*$C16,0)</f>
        <v>11575163</v>
      </c>
      <c r="G16" s="120">
        <f>ROUND(D16*(1+$M$25),2)</f>
        <v>25.1</v>
      </c>
      <c r="H16" s="91"/>
      <c r="I16" s="341">
        <f>ROUND(G16*$C16,0)</f>
        <v>11668137</v>
      </c>
      <c r="J16" s="207"/>
      <c r="K16" s="505" t="s">
        <v>92</v>
      </c>
      <c r="L16" s="505"/>
      <c r="M16" s="505"/>
      <c r="N16" s="43"/>
      <c r="O16" s="203"/>
      <c r="P16" s="343"/>
      <c r="Q16" s="343"/>
      <c r="R16" s="208"/>
      <c r="S16" s="343"/>
      <c r="T16" s="343"/>
      <c r="U16" s="208"/>
      <c r="W16" s="197"/>
      <c r="X16" s="197"/>
      <c r="Y16" s="197"/>
      <c r="Z16" s="197"/>
      <c r="AA16" s="197"/>
      <c r="AB16" s="197"/>
      <c r="AC16" s="197"/>
      <c r="AD16" s="197"/>
      <c r="AF16" s="343"/>
    </row>
    <row r="17" spans="1:32">
      <c r="A17" s="119" t="s">
        <v>35</v>
      </c>
      <c r="B17" s="72"/>
      <c r="C17" s="122">
        <f>SUM(C15:C16)</f>
        <v>1557422</v>
      </c>
      <c r="D17" s="81"/>
      <c r="E17" s="206"/>
      <c r="F17" s="109">
        <f>SUM(F15:F16)</f>
        <v>22282212</v>
      </c>
      <c r="G17" s="81"/>
      <c r="H17" s="206"/>
      <c r="I17" s="109">
        <f>SUM(I15:I16)</f>
        <v>22462590</v>
      </c>
      <c r="J17" s="207"/>
      <c r="K17" s="445"/>
      <c r="M17" s="205"/>
      <c r="N17" s="205"/>
      <c r="O17" s="203"/>
      <c r="W17" s="197"/>
      <c r="X17" s="197"/>
      <c r="Y17" s="197"/>
      <c r="Z17" s="197"/>
      <c r="AA17" s="197"/>
      <c r="AB17" s="197"/>
      <c r="AC17" s="197"/>
      <c r="AD17" s="197"/>
      <c r="AF17" s="343"/>
    </row>
    <row r="18" spans="1:32">
      <c r="A18" s="72" t="s">
        <v>89</v>
      </c>
      <c r="B18" s="72"/>
      <c r="C18" s="204"/>
      <c r="D18" s="81"/>
      <c r="E18" s="206"/>
      <c r="F18" s="64"/>
      <c r="G18" s="81"/>
      <c r="H18" s="206"/>
      <c r="I18" s="64"/>
      <c r="J18" s="207"/>
      <c r="K18" s="445"/>
      <c r="M18" s="205"/>
      <c r="N18" s="205"/>
      <c r="O18" s="203"/>
      <c r="W18" s="197"/>
      <c r="X18" s="197"/>
      <c r="Y18" s="197"/>
      <c r="Z18" s="197"/>
      <c r="AA18" s="197"/>
      <c r="AB18" s="197"/>
      <c r="AC18" s="197"/>
      <c r="AD18" s="197"/>
      <c r="AF18" s="343"/>
    </row>
    <row r="19" spans="1:32">
      <c r="A19" s="118" t="s">
        <v>87</v>
      </c>
      <c r="B19" s="72"/>
      <c r="C19" s="204">
        <f>SUM('[2]Sch 24 Sm Sec'!$C$14:$C$16)</f>
        <v>1471254520</v>
      </c>
      <c r="D19" s="121">
        <f>'(JAP4)-Tariff Summary'!D18</f>
        <v>9.071499999999999E-2</v>
      </c>
      <c r="E19" s="206"/>
      <c r="F19" s="341">
        <f>ROUND(D19*$C19,0)</f>
        <v>133464854</v>
      </c>
      <c r="G19" s="270">
        <f>ROUND(D19*(1+$M$25),6)+L27</f>
        <v>9.1444999999999999E-2</v>
      </c>
      <c r="H19" s="206"/>
      <c r="I19" s="341">
        <f>ROUND(G19*$C19,0)</f>
        <v>134538870</v>
      </c>
      <c r="J19" s="207"/>
      <c r="K19" s="505" t="s">
        <v>93</v>
      </c>
      <c r="L19" s="505"/>
      <c r="M19" s="505"/>
      <c r="N19" s="43"/>
      <c r="O19" s="203"/>
      <c r="P19" s="340"/>
      <c r="Q19" s="340"/>
      <c r="R19" s="340"/>
      <c r="S19" s="340"/>
      <c r="T19" s="340"/>
      <c r="W19" s="197"/>
      <c r="X19" s="197"/>
      <c r="Y19" s="197"/>
      <c r="Z19" s="197"/>
      <c r="AA19" s="197"/>
      <c r="AB19" s="197"/>
      <c r="AC19" s="197"/>
      <c r="AD19" s="197"/>
      <c r="AF19" s="343"/>
    </row>
    <row r="20" spans="1:32">
      <c r="A20" s="117" t="s">
        <v>88</v>
      </c>
      <c r="B20" s="72"/>
      <c r="C20" s="204">
        <f>SUM('[2]Sch 24 Sm Sec'!$C$17:$C$20)</f>
        <v>1296304402</v>
      </c>
      <c r="D20" s="121">
        <f>'(JAP4)-Tariff Summary'!D19</f>
        <v>8.7578000000000003E-2</v>
      </c>
      <c r="E20" s="206"/>
      <c r="F20" s="341">
        <f>ROUND(D20*$C20,0)</f>
        <v>113527747</v>
      </c>
      <c r="G20" s="121">
        <f>ROUND(D20*(1+$M$25),6)</f>
        <v>8.8292999999999996E-2</v>
      </c>
      <c r="H20" s="206"/>
      <c r="I20" s="341">
        <f>ROUND(G20*$C20,0)</f>
        <v>114454605</v>
      </c>
      <c r="J20" s="207"/>
      <c r="K20" s="505" t="s">
        <v>92</v>
      </c>
      <c r="L20" s="505"/>
      <c r="M20" s="505"/>
      <c r="N20" s="43"/>
      <c r="O20" s="203"/>
      <c r="W20" s="197"/>
      <c r="X20" s="197"/>
      <c r="Y20" s="197"/>
      <c r="Z20" s="197"/>
      <c r="AA20" s="197"/>
      <c r="AB20" s="197"/>
      <c r="AC20" s="197"/>
      <c r="AD20" s="197"/>
      <c r="AF20" s="343"/>
    </row>
    <row r="21" spans="1:32">
      <c r="A21" s="119" t="s">
        <v>35</v>
      </c>
      <c r="B21" s="354"/>
      <c r="C21" s="122">
        <f>SUM(C19:C20)</f>
        <v>2767558922</v>
      </c>
      <c r="D21" s="92"/>
      <c r="E21" s="206"/>
      <c r="F21" s="109">
        <f>SUM(F19:F20)</f>
        <v>246992601</v>
      </c>
      <c r="G21" s="92"/>
      <c r="H21" s="206"/>
      <c r="I21" s="109">
        <f>SUM(I19:I20)</f>
        <v>248993475</v>
      </c>
      <c r="J21" s="207"/>
      <c r="K21" s="445"/>
      <c r="W21" s="197"/>
      <c r="X21" s="197"/>
      <c r="Y21" s="197"/>
      <c r="Z21" s="197"/>
      <c r="AA21" s="197"/>
      <c r="AB21" s="197"/>
      <c r="AC21" s="197"/>
      <c r="AD21" s="197"/>
      <c r="AF21" s="343"/>
    </row>
    <row r="22" spans="1:32">
      <c r="A22" s="118" t="s">
        <v>90</v>
      </c>
      <c r="B22" s="354"/>
      <c r="C22" s="204">
        <f>SUM('[2]Temperature Adjustment'!$C$23:$E$23,'[2]Temperature Adjustment'!$L$23:$N$23)</f>
        <v>3183295.9384826398</v>
      </c>
      <c r="D22" s="121">
        <f>D19</f>
        <v>9.071499999999999E-2</v>
      </c>
      <c r="E22" s="206"/>
      <c r="F22" s="341">
        <f>ROUND(D22*$C22,0)</f>
        <v>288773</v>
      </c>
      <c r="G22" s="121">
        <f>G19</f>
        <v>9.1444999999999999E-2</v>
      </c>
      <c r="H22" s="206"/>
      <c r="I22" s="341">
        <f>ROUND(G22*$C22,0)</f>
        <v>291096</v>
      </c>
      <c r="J22" s="207"/>
      <c r="K22" s="505" t="s">
        <v>92</v>
      </c>
      <c r="L22" s="505"/>
      <c r="M22" s="505"/>
      <c r="W22" s="197"/>
      <c r="X22" s="197"/>
      <c r="Y22" s="197"/>
      <c r="Z22" s="197"/>
      <c r="AA22" s="197"/>
      <c r="AB22" s="197"/>
      <c r="AC22" s="197"/>
      <c r="AD22" s="197"/>
      <c r="AF22" s="343"/>
    </row>
    <row r="23" spans="1:32">
      <c r="A23" s="118" t="s">
        <v>91</v>
      </c>
      <c r="B23" s="354"/>
      <c r="C23" s="204">
        <f>SUM('[2]Temperature Adjustment'!$F$23:$K$23)</f>
        <v>-8633143.8988303673</v>
      </c>
      <c r="D23" s="121">
        <f>D20</f>
        <v>8.7578000000000003E-2</v>
      </c>
      <c r="E23" s="121"/>
      <c r="F23" s="341">
        <f>ROUND(D23*$C23,0)</f>
        <v>-756073</v>
      </c>
      <c r="G23" s="121">
        <f>G20</f>
        <v>8.8292999999999996E-2</v>
      </c>
      <c r="H23" s="206"/>
      <c r="I23" s="341">
        <f>ROUND(G23*$C23,0)</f>
        <v>-762246</v>
      </c>
      <c r="J23" s="207"/>
      <c r="K23" s="505" t="s">
        <v>92</v>
      </c>
      <c r="L23" s="505"/>
      <c r="M23" s="505"/>
      <c r="W23" s="197"/>
      <c r="X23" s="197"/>
      <c r="Y23" s="197"/>
      <c r="Z23" s="197"/>
      <c r="AA23" s="197"/>
      <c r="AB23" s="197"/>
      <c r="AC23" s="197"/>
      <c r="AD23" s="197"/>
      <c r="AF23" s="343"/>
    </row>
    <row r="24" spans="1:32">
      <c r="A24" s="117" t="s">
        <v>84</v>
      </c>
      <c r="B24" s="86"/>
      <c r="C24" s="209">
        <f>'[2]Sch 24 Sm Sec'!$C$45</f>
        <v>7865209.3577168956</v>
      </c>
      <c r="D24" s="121">
        <f>ROUND(F24/C24,6)</f>
        <v>9.5420000000000005E-2</v>
      </c>
      <c r="E24" s="206"/>
      <c r="F24" s="341">
        <f>'[2]Sch 24 Sm Sec'!$C$47</f>
        <v>750501</v>
      </c>
      <c r="G24" s="121">
        <f>ROUND(SUM(I17,I21:I23)/SUM(C21:C23),6)</f>
        <v>9.8108000000000001E-2</v>
      </c>
      <c r="H24" s="206"/>
      <c r="I24" s="341">
        <f>ROUND(G24*$C24,0)</f>
        <v>771640</v>
      </c>
      <c r="J24" s="64"/>
      <c r="K24" s="505" t="s">
        <v>92</v>
      </c>
      <c r="L24" s="505"/>
      <c r="M24" s="505"/>
      <c r="N24" s="205"/>
      <c r="W24" s="197"/>
      <c r="X24" s="197"/>
      <c r="Y24" s="197"/>
      <c r="Z24" s="197"/>
      <c r="AA24" s="197"/>
      <c r="AB24" s="197"/>
      <c r="AC24" s="197"/>
      <c r="AD24" s="197"/>
      <c r="AF24" s="343"/>
    </row>
    <row r="25" spans="1:32" ht="16.5" thickBot="1">
      <c r="A25" s="72" t="s">
        <v>39</v>
      </c>
      <c r="B25" s="72"/>
      <c r="C25" s="210">
        <f>SUM(C21:C24)</f>
        <v>2769974283.3973694</v>
      </c>
      <c r="D25" s="211"/>
      <c r="E25" s="99"/>
      <c r="F25" s="108">
        <f>SUM(F21:F24,F17)</f>
        <v>269558014</v>
      </c>
      <c r="G25" s="211"/>
      <c r="H25" s="99"/>
      <c r="I25" s="108">
        <f>SUM(I21:I24,I17)</f>
        <v>271756555</v>
      </c>
      <c r="J25" s="212"/>
      <c r="K25" s="213" t="s">
        <v>43</v>
      </c>
      <c r="L25" s="214">
        <f>'(JAP4) Rate Spread'!K11*1000</f>
        <v>271757261.44109315</v>
      </c>
      <c r="M25" s="215">
        <f>L25/F25-1</f>
        <v>8.1587165911274351E-3</v>
      </c>
      <c r="N25" s="97"/>
      <c r="O25" s="43" t="s">
        <v>0</v>
      </c>
      <c r="W25" s="197"/>
      <c r="X25" s="197"/>
      <c r="Y25" s="197"/>
      <c r="Z25" s="197"/>
      <c r="AA25" s="197"/>
      <c r="AB25" s="197"/>
      <c r="AC25" s="197"/>
      <c r="AD25" s="197"/>
      <c r="AF25" s="343"/>
    </row>
    <row r="26" spans="1:32" ht="16.5" thickTop="1">
      <c r="A26" s="72"/>
      <c r="B26" s="72"/>
      <c r="C26" s="216"/>
      <c r="D26" s="211"/>
      <c r="E26" s="99"/>
      <c r="F26" s="207"/>
      <c r="G26" s="211"/>
      <c r="H26" s="99"/>
      <c r="I26" s="207"/>
      <c r="J26" s="207"/>
      <c r="K26" s="217" t="s">
        <v>38</v>
      </c>
      <c r="L26" s="218">
        <f>I25-L25</f>
        <v>-706.44109314680099</v>
      </c>
      <c r="M26" s="100"/>
      <c r="N26" s="97"/>
      <c r="O26" s="43"/>
      <c r="W26" s="197"/>
      <c r="X26" s="197"/>
      <c r="Y26" s="197"/>
      <c r="Z26" s="197"/>
      <c r="AA26" s="197"/>
      <c r="AB26" s="197"/>
      <c r="AC26" s="197"/>
      <c r="AD26" s="197"/>
      <c r="AF26" s="343"/>
    </row>
    <row r="27" spans="1:32">
      <c r="A27" s="72"/>
      <c r="B27" s="72"/>
      <c r="C27" s="78"/>
      <c r="D27" s="364">
        <f>ROUND(SUM(F21:F24)/SUM(C25),6)</f>
        <v>8.9270000000000002E-2</v>
      </c>
      <c r="E27" s="72"/>
      <c r="F27" s="341">
        <f>'[2]Average Costs'!$E$12</f>
        <v>269558012</v>
      </c>
      <c r="G27" s="364">
        <f>ROUND(SUM(I21:I24)/SUM(C25),6)</f>
        <v>8.9998999999999996E-2</v>
      </c>
      <c r="H27" s="72"/>
      <c r="I27" s="341" t="s">
        <v>0</v>
      </c>
      <c r="J27" s="341"/>
      <c r="K27" s="455" t="s">
        <v>397</v>
      </c>
      <c r="L27" s="244">
        <v>-1.0000000000000001E-5</v>
      </c>
      <c r="M27" s="244">
        <f>L26/C19</f>
        <v>-4.8016239443519328E-7</v>
      </c>
      <c r="N27" s="198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</row>
    <row r="28" spans="1:32">
      <c r="A28" s="115" t="s">
        <v>114</v>
      </c>
      <c r="B28" s="72"/>
      <c r="C28" s="102"/>
      <c r="D28" s="341"/>
      <c r="E28" s="72"/>
      <c r="F28" s="341">
        <f>F25-F27</f>
        <v>2</v>
      </c>
      <c r="G28" s="341"/>
      <c r="H28" s="72"/>
      <c r="I28" s="341" t="s">
        <v>0</v>
      </c>
      <c r="J28" s="341"/>
      <c r="K28" s="197"/>
      <c r="L28" s="198"/>
      <c r="M28" s="198"/>
      <c r="N28" s="198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</row>
    <row r="29" spans="1:32">
      <c r="A29" s="116" t="s">
        <v>96</v>
      </c>
      <c r="B29" s="72"/>
      <c r="C29" s="72" t="s">
        <v>0</v>
      </c>
      <c r="D29" s="341"/>
      <c r="E29" s="72"/>
      <c r="F29" s="72"/>
      <c r="G29" s="341"/>
      <c r="H29" s="72"/>
      <c r="I29" s="72"/>
      <c r="J29" s="72"/>
      <c r="K29" s="197"/>
      <c r="L29" s="198"/>
      <c r="M29" s="198"/>
      <c r="N29" s="198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</row>
    <row r="30" spans="1:32">
      <c r="A30" s="206"/>
      <c r="B30" s="72"/>
      <c r="C30" s="72"/>
      <c r="D30" s="341"/>
      <c r="E30" s="72"/>
      <c r="F30" s="72"/>
      <c r="G30" s="341"/>
      <c r="H30" s="72"/>
      <c r="I30" s="72"/>
      <c r="J30" s="72"/>
      <c r="K30" s="197"/>
      <c r="L30" s="198"/>
      <c r="M30" s="198"/>
      <c r="N30" s="198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</row>
    <row r="31" spans="1:32">
      <c r="A31" s="206" t="s">
        <v>42</v>
      </c>
      <c r="B31" s="72"/>
      <c r="C31" s="204">
        <f>'[2]Sch 25 Med Sec'!$C$9+'[2]Sch 7A Master Met'!$C$9</f>
        <v>90693</v>
      </c>
      <c r="D31" s="124">
        <f>'(JAP4)-Tariff Summary'!D22</f>
        <v>52.3</v>
      </c>
      <c r="E31" s="206"/>
      <c r="F31" s="342">
        <f>ROUND(D31*$C31,0)</f>
        <v>4743244</v>
      </c>
      <c r="G31" s="124">
        <f>ROUND(D31*(1+$M$47),2)</f>
        <v>52.67</v>
      </c>
      <c r="H31" s="206"/>
      <c r="I31" s="342">
        <f>ROUND(G31*$C31,0)</f>
        <v>4776800</v>
      </c>
      <c r="J31" s="342"/>
      <c r="K31" s="505" t="s">
        <v>92</v>
      </c>
      <c r="L31" s="505"/>
      <c r="M31" s="505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</row>
    <row r="32" spans="1:32">
      <c r="A32" s="206" t="s">
        <v>45</v>
      </c>
      <c r="B32" s="72"/>
      <c r="C32" s="204"/>
      <c r="D32" s="103"/>
      <c r="E32" s="342"/>
      <c r="F32" s="342"/>
      <c r="G32" s="124"/>
      <c r="H32" s="342"/>
      <c r="I32" s="342"/>
      <c r="J32" s="342"/>
      <c r="K32" s="197"/>
      <c r="L32" s="198"/>
      <c r="M32" s="198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</row>
    <row r="33" spans="1:30">
      <c r="A33" s="118" t="s">
        <v>98</v>
      </c>
      <c r="B33" s="72"/>
      <c r="C33" s="204">
        <f>SUM('[2]Sch 7A Master Met'!$C$11:$C$12,'[2]Sch 25 Med Sec'!$C$11:$C$13)</f>
        <v>751591891</v>
      </c>
      <c r="D33" s="313">
        <f>'(JAP4)-Tariff Summary'!D24</f>
        <v>9.0753E-2</v>
      </c>
      <c r="E33" s="342"/>
      <c r="F33" s="342">
        <f>ROUND($C33*D33,0)</f>
        <v>68209219</v>
      </c>
      <c r="G33" s="302">
        <f>ROUND(G35+(1+$L$57)*(D33-D35),6)+L49</f>
        <v>9.1434000000000001E-2</v>
      </c>
      <c r="H33" s="342"/>
      <c r="I33" s="342">
        <f>ROUND($C33*G33,0)</f>
        <v>68721053</v>
      </c>
      <c r="J33" s="342"/>
      <c r="K33" s="523" t="s">
        <v>365</v>
      </c>
      <c r="L33" s="522"/>
      <c r="M33" s="522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</row>
    <row r="34" spans="1:30">
      <c r="A34" s="118" t="s">
        <v>97</v>
      </c>
      <c r="B34" s="72"/>
      <c r="C34" s="204">
        <f>SUM('[2]Sch 7A Master Met'!$C$13:$C$15,'[2]Sch 25 Med Sec'!$C$14:$C$17)</f>
        <v>734356614</v>
      </c>
      <c r="D34" s="313">
        <f>'(JAP4)-Tariff Summary'!D25</f>
        <v>8.2225999999999994E-2</v>
      </c>
      <c r="E34" s="342"/>
      <c r="F34" s="342">
        <f>ROUND($C34*D34,0)</f>
        <v>60383207</v>
      </c>
      <c r="G34" s="302">
        <f>ROUND(G35+(1+$L$57)*(D34-D35),6)+L49</f>
        <v>8.269E-2</v>
      </c>
      <c r="H34" s="342"/>
      <c r="I34" s="342">
        <f>ROUND($C34*G34,0)</f>
        <v>60723948</v>
      </c>
      <c r="J34" s="342"/>
      <c r="K34" s="523" t="s">
        <v>365</v>
      </c>
      <c r="L34" s="522"/>
      <c r="M34" s="522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</row>
    <row r="35" spans="1:30">
      <c r="A35" s="118" t="s">
        <v>99</v>
      </c>
      <c r="B35" s="72"/>
      <c r="C35" s="204">
        <f>SUM('[2]Sch 25 Med Sec'!$C$18:$C$19,'[2]Sch 7A Master Met'!$C$16:$C$18)</f>
        <v>1462660349</v>
      </c>
      <c r="D35" s="313">
        <f>'(JAP4)-Tariff Summary'!D26</f>
        <v>6.4072000000000004E-2</v>
      </c>
      <c r="E35" s="342"/>
      <c r="F35" s="342">
        <f>ROUND($C35*D35,0)</f>
        <v>93715574</v>
      </c>
      <c r="G35" s="313">
        <f>D35</f>
        <v>6.4072000000000004E-2</v>
      </c>
      <c r="H35" s="342"/>
      <c r="I35" s="342">
        <f>ROUND($C35*G35,0)</f>
        <v>93715574</v>
      </c>
      <c r="J35" s="342"/>
      <c r="K35" s="522" t="s">
        <v>364</v>
      </c>
      <c r="L35" s="522"/>
      <c r="M35" s="522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</row>
    <row r="36" spans="1:30">
      <c r="A36" s="119" t="s">
        <v>35</v>
      </c>
      <c r="B36" s="72"/>
      <c r="C36" s="219">
        <f>SUM(C33:C35)</f>
        <v>2948608854</v>
      </c>
      <c r="D36" s="92"/>
      <c r="E36" s="206"/>
      <c r="F36" s="109">
        <f>SUM(F33:F35)</f>
        <v>222308000</v>
      </c>
      <c r="G36" s="92"/>
      <c r="H36" s="206"/>
      <c r="I36" s="109">
        <f>SUM(I33:I35)</f>
        <v>223160575</v>
      </c>
      <c r="J36" s="341"/>
      <c r="K36" s="197"/>
      <c r="L36" s="198"/>
      <c r="M36" s="198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</row>
    <row r="37" spans="1:30">
      <c r="A37" s="118" t="s">
        <v>82</v>
      </c>
      <c r="B37" s="72"/>
      <c r="C37" s="204">
        <f>'[2]Temperature Adjustment'!$B$24</f>
        <v>-7162081.5665613404</v>
      </c>
      <c r="D37" s="313">
        <f>D35</f>
        <v>6.4072000000000004E-2</v>
      </c>
      <c r="E37" s="206"/>
      <c r="F37" s="342">
        <f>ROUND($C37*D37,0)</f>
        <v>-458889</v>
      </c>
      <c r="G37" s="313">
        <f>G35</f>
        <v>6.4072000000000004E-2</v>
      </c>
      <c r="H37" s="206"/>
      <c r="I37" s="342">
        <f>ROUND($C37*G37,0)</f>
        <v>-458889</v>
      </c>
      <c r="J37" s="341"/>
      <c r="K37" s="522" t="s">
        <v>364</v>
      </c>
      <c r="L37" s="522"/>
      <c r="M37" s="522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</row>
    <row r="38" spans="1:30">
      <c r="A38" s="117" t="s">
        <v>84</v>
      </c>
      <c r="B38" s="72"/>
      <c r="C38" s="204">
        <f>SUM('[2]Sch 7A Master Met'!$C$64,'[2]Sch 25 Med Sec'!$C$65)</f>
        <v>21218018.786511723</v>
      </c>
      <c r="D38" s="313">
        <f>ROUND(F38/C38,6)</f>
        <v>8.7484999999999993E-2</v>
      </c>
      <c r="E38" s="206"/>
      <c r="F38" s="342">
        <f>SUM('[2]Sch 7A Master Met'!$C$66,'[2]Sch 25 Med Sec'!$C$67)</f>
        <v>1856261</v>
      </c>
      <c r="G38" s="313">
        <f>ROUND(D38*(1+$M$47),6)</f>
        <v>8.8104000000000002E-2</v>
      </c>
      <c r="H38" s="206"/>
      <c r="I38" s="342">
        <f>ROUND($C38*G38,0)</f>
        <v>1869392</v>
      </c>
      <c r="J38" s="64"/>
      <c r="K38" s="505" t="s">
        <v>92</v>
      </c>
      <c r="L38" s="505"/>
      <c r="M38" s="505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</row>
    <row r="39" spans="1:30">
      <c r="A39" s="119" t="s">
        <v>35</v>
      </c>
      <c r="B39" s="72"/>
      <c r="C39" s="219">
        <f>SUM(C36:C38)</f>
        <v>2962664791.2199507</v>
      </c>
      <c r="D39" s="206"/>
      <c r="E39" s="206"/>
      <c r="F39" s="109">
        <f>SUM(F36:F38)</f>
        <v>223705372</v>
      </c>
      <c r="G39" s="206"/>
      <c r="H39" s="206"/>
      <c r="I39" s="109">
        <f>SUM(I36:I38)</f>
        <v>224571078</v>
      </c>
      <c r="J39" s="64"/>
      <c r="K39" s="221"/>
      <c r="L39" s="222"/>
      <c r="M39" s="198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</row>
    <row r="40" spans="1:30">
      <c r="A40" s="206" t="s">
        <v>44</v>
      </c>
      <c r="B40" s="72"/>
      <c r="C40" s="204"/>
      <c r="D40" s="82"/>
      <c r="E40" s="206"/>
      <c r="F40" s="342"/>
      <c r="G40" s="82"/>
      <c r="H40" s="206"/>
      <c r="I40" s="342"/>
      <c r="J40" s="342"/>
      <c r="K40" s="197"/>
      <c r="L40" s="198"/>
      <c r="M40" s="198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</row>
    <row r="41" spans="1:30">
      <c r="A41" s="118" t="s">
        <v>100</v>
      </c>
      <c r="B41" s="72"/>
      <c r="C41" s="204">
        <f>SUM('[2]Sch 7A Master Met'!$C$21:$C$22,'[2]Sch 25 Med Sec'!$C$22:$C$23)</f>
        <v>2375711</v>
      </c>
      <c r="D41" s="124">
        <f>'(JAP4)-Tariff Summary'!D29</f>
        <v>9.42</v>
      </c>
      <c r="E41" s="206"/>
      <c r="F41" s="342">
        <f>ROUND(D41*$C41,0)</f>
        <v>22379198</v>
      </c>
      <c r="G41" s="124">
        <f>ROUND(D41*(1+$L$57),2)</f>
        <v>9.66</v>
      </c>
      <c r="H41" s="206"/>
      <c r="I41" s="342">
        <f>ROUND(G41*$C41,0)</f>
        <v>22949368</v>
      </c>
      <c r="J41" s="342"/>
      <c r="K41" s="522" t="s">
        <v>368</v>
      </c>
      <c r="L41" s="522"/>
      <c r="M41" s="522"/>
      <c r="P41" s="308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</row>
    <row r="42" spans="1:30">
      <c r="A42" s="118" t="s">
        <v>101</v>
      </c>
      <c r="B42" s="72"/>
      <c r="C42" s="204">
        <f>SUM('[2]Sch 7A Master Met'!$C$23:$C$25,'[2]Sch 25 Med Sec'!$C$24:$C$26)</f>
        <v>2276532</v>
      </c>
      <c r="D42" s="124">
        <f>'(JAP4)-Tariff Summary'!D30</f>
        <v>6.29</v>
      </c>
      <c r="E42" s="206"/>
      <c r="F42" s="342">
        <f>ROUND(D42*$C42,0)</f>
        <v>14319386</v>
      </c>
      <c r="G42" s="124">
        <f>ROUND(D42*(1+$L$57),2)</f>
        <v>6.45</v>
      </c>
      <c r="H42" s="206"/>
      <c r="I42" s="342">
        <f>ROUND(G42*$C42,0)</f>
        <v>14683631</v>
      </c>
      <c r="J42" s="342"/>
      <c r="K42" s="522" t="s">
        <v>368</v>
      </c>
      <c r="L42" s="522"/>
      <c r="M42" s="522"/>
      <c r="P42" s="308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</row>
    <row r="43" spans="1:30">
      <c r="A43" s="119" t="s">
        <v>35</v>
      </c>
      <c r="B43" s="72"/>
      <c r="C43" s="219">
        <f>SUM(C41:C42)</f>
        <v>4652243</v>
      </c>
      <c r="D43" s="82"/>
      <c r="E43" s="206"/>
      <c r="F43" s="223">
        <f>SUM(F41:F42)</f>
        <v>36698584</v>
      </c>
      <c r="G43" s="82"/>
      <c r="H43" s="206"/>
      <c r="I43" s="223">
        <f>SUM(I41:I42)</f>
        <v>37632999</v>
      </c>
      <c r="J43" s="342"/>
      <c r="K43" s="197"/>
      <c r="L43" s="198"/>
      <c r="M43" s="198"/>
      <c r="N43" s="198"/>
      <c r="O43" s="310"/>
      <c r="P43" s="308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</row>
    <row r="44" spans="1:30">
      <c r="A44" s="72"/>
      <c r="B44" s="72"/>
      <c r="C44" s="216"/>
      <c r="D44" s="216"/>
      <c r="E44" s="206"/>
      <c r="F44" s="64"/>
      <c r="G44" s="216"/>
      <c r="H44" s="206"/>
      <c r="I44" s="64"/>
      <c r="J44" s="64"/>
      <c r="K44" s="221"/>
      <c r="L44" s="222"/>
      <c r="M44" s="198"/>
      <c r="N44" s="198"/>
      <c r="O44" s="310"/>
      <c r="P44" s="308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</row>
    <row r="45" spans="1:30">
      <c r="A45" s="72" t="s">
        <v>102</v>
      </c>
      <c r="B45" s="72"/>
      <c r="C45" s="204">
        <f>SUM('[2]Sch 7A Master Met'!$C$31,'[2]Sch 25 Med Sec'!$C$32)</f>
        <v>709439504</v>
      </c>
      <c r="D45" s="312">
        <f>'(JAP4)-Tariff Summary'!D32</f>
        <v>2.96E-3</v>
      </c>
      <c r="E45" s="206"/>
      <c r="F45" s="342">
        <f>ROUND(D45*$C45,0)</f>
        <v>2099941</v>
      </c>
      <c r="G45" s="312">
        <f>ROUND(D45*(1+$L$57),5)</f>
        <v>3.0400000000000002E-3</v>
      </c>
      <c r="H45" s="206"/>
      <c r="I45" s="342">
        <f>ROUND(G45*$C45,0)</f>
        <v>2156696</v>
      </c>
      <c r="J45" s="64"/>
      <c r="K45" s="522" t="s">
        <v>368</v>
      </c>
      <c r="L45" s="522"/>
      <c r="M45" s="522"/>
      <c r="N45" s="198"/>
      <c r="O45" s="310"/>
      <c r="P45" s="308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</row>
    <row r="46" spans="1:30">
      <c r="A46" s="72"/>
      <c r="B46" s="72"/>
      <c r="C46" s="216"/>
      <c r="D46" s="216"/>
      <c r="E46" s="206"/>
      <c r="F46" s="64"/>
      <c r="G46" s="216"/>
      <c r="H46" s="206"/>
      <c r="I46" s="64"/>
      <c r="J46" s="64"/>
      <c r="N46" s="198"/>
      <c r="O46" s="310"/>
      <c r="P46" s="308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</row>
    <row r="47" spans="1:30" ht="16.5" thickBot="1">
      <c r="A47" s="72" t="s">
        <v>39</v>
      </c>
      <c r="B47" s="72"/>
      <c r="C47" s="216"/>
      <c r="D47" s="216"/>
      <c r="E47" s="206"/>
      <c r="F47" s="212">
        <f>SUM(F31,F39,F43,F45)</f>
        <v>267247141</v>
      </c>
      <c r="G47" s="216"/>
      <c r="H47" s="206"/>
      <c r="I47" s="212">
        <f>SUM(I31,I39,I43,I45)</f>
        <v>269137573</v>
      </c>
      <c r="J47" s="207"/>
      <c r="K47" s="224" t="s">
        <v>119</v>
      </c>
      <c r="L47" s="214">
        <f>'(JAP4) Rate Spread'!K12*1000</f>
        <v>270596579.88324928</v>
      </c>
      <c r="M47" s="215">
        <f>L47/SUM(F136,F47)-1</f>
        <v>7.0708877123104585E-3</v>
      </c>
      <c r="N47" s="198"/>
      <c r="O47" s="310"/>
      <c r="P47" s="308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</row>
    <row r="48" spans="1:30" ht="16.5" thickTop="1">
      <c r="A48" s="72"/>
      <c r="B48" s="225"/>
      <c r="C48" s="216"/>
      <c r="D48" s="216"/>
      <c r="E48" s="72"/>
      <c r="F48" s="341">
        <f>'[2]Average Costs'!$E$13+'[2]Average Costs'!$E$9</f>
        <v>267247145</v>
      </c>
      <c r="G48" s="216"/>
      <c r="H48" s="72"/>
      <c r="I48" s="341"/>
      <c r="J48" s="341"/>
      <c r="K48" s="217" t="s">
        <v>38</v>
      </c>
      <c r="L48" s="218">
        <f>-L47+I136+I47</f>
        <v>724.11675071716309</v>
      </c>
      <c r="M48" s="106" t="s">
        <v>0</v>
      </c>
      <c r="N48" s="198"/>
      <c r="O48" s="310"/>
      <c r="P48" s="308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</row>
    <row r="49" spans="1:30">
      <c r="D49" s="216"/>
      <c r="E49" s="72"/>
      <c r="F49" s="341">
        <f>F47-F48</f>
        <v>-4</v>
      </c>
      <c r="J49" s="341"/>
      <c r="K49" s="456" t="s">
        <v>366</v>
      </c>
      <c r="L49" s="244">
        <v>0</v>
      </c>
      <c r="M49" s="244">
        <f>L48/SUM(C33:C34)</f>
        <v>4.8730945135757788E-7</v>
      </c>
      <c r="N49" s="198"/>
      <c r="O49" s="310"/>
      <c r="P49" s="308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</row>
    <row r="50" spans="1:30">
      <c r="A50" s="315" t="s">
        <v>394</v>
      </c>
      <c r="B50" s="316"/>
      <c r="C50" s="316"/>
      <c r="D50" s="308"/>
      <c r="K50" s="303" t="s">
        <v>370</v>
      </c>
      <c r="L50" s="304">
        <f>'(JAP4) Rate Spread'!M12</f>
        <v>1899923.8832492854</v>
      </c>
      <c r="O50" s="310"/>
      <c r="P50" s="308"/>
      <c r="Q50" s="197"/>
    </row>
    <row r="51" spans="1:30">
      <c r="A51" s="311" t="s">
        <v>381</v>
      </c>
      <c r="D51" s="309"/>
      <c r="F51" s="309">
        <f>D33-D35</f>
        <v>2.6680999999999996E-2</v>
      </c>
      <c r="G51" s="309">
        <f>G33-G35</f>
        <v>2.7361999999999997E-2</v>
      </c>
      <c r="K51" s="449" t="s">
        <v>374</v>
      </c>
      <c r="L51" s="305">
        <f>+I136-F136</f>
        <v>10216</v>
      </c>
      <c r="O51" s="310"/>
      <c r="P51" s="308"/>
      <c r="Q51" s="197"/>
    </row>
    <row r="52" spans="1:30">
      <c r="A52" s="311" t="s">
        <v>382</v>
      </c>
      <c r="D52" s="309"/>
      <c r="F52" s="309">
        <f>D34-D35</f>
        <v>1.815399999999999E-2</v>
      </c>
      <c r="G52" s="309">
        <f>G34-G35</f>
        <v>1.8617999999999996E-2</v>
      </c>
      <c r="K52" s="449" t="s">
        <v>373</v>
      </c>
      <c r="L52" s="305">
        <f>+L50-L51</f>
        <v>1889707.8832492854</v>
      </c>
      <c r="O52" s="310"/>
      <c r="P52" s="308"/>
      <c r="Q52" s="197"/>
    </row>
    <row r="53" spans="1:30">
      <c r="A53" s="311" t="s">
        <v>379</v>
      </c>
      <c r="D53" s="309"/>
      <c r="F53" s="307">
        <f>C33</f>
        <v>751591891</v>
      </c>
      <c r="G53" s="203">
        <f>F53</f>
        <v>751591891</v>
      </c>
      <c r="K53" s="449" t="s">
        <v>375</v>
      </c>
      <c r="L53" s="305">
        <f>-(I31-F31)</f>
        <v>-33556</v>
      </c>
      <c r="O53" s="310"/>
      <c r="P53" s="308"/>
      <c r="Q53" s="197"/>
    </row>
    <row r="54" spans="1:30">
      <c r="A54" s="311" t="s">
        <v>380</v>
      </c>
      <c r="D54" s="309"/>
      <c r="F54" s="307">
        <f>C34</f>
        <v>734356614</v>
      </c>
      <c r="G54" s="203">
        <f>F54</f>
        <v>734356614</v>
      </c>
      <c r="K54" s="449" t="s">
        <v>376</v>
      </c>
      <c r="L54" s="305">
        <f>-(I38-F38)</f>
        <v>-13131</v>
      </c>
      <c r="O54" s="310"/>
      <c r="P54" s="308"/>
      <c r="Q54" s="197"/>
    </row>
    <row r="55" spans="1:30">
      <c r="A55" s="311" t="s">
        <v>378</v>
      </c>
      <c r="D55" s="307"/>
      <c r="F55" s="310">
        <f>F53*F51+F52*F54</f>
        <v>33384733.214326993</v>
      </c>
      <c r="G55" s="310">
        <f>G53*G51+G52*G54</f>
        <v>34237308.760993995</v>
      </c>
      <c r="K55" s="449" t="s">
        <v>377</v>
      </c>
      <c r="L55" s="305">
        <f>SUM(L52:L54)</f>
        <v>1843020.8832492854</v>
      </c>
      <c r="O55" s="310"/>
      <c r="P55" s="308"/>
      <c r="Q55" s="197"/>
    </row>
    <row r="56" spans="1:30">
      <c r="A56" s="311" t="s">
        <v>395</v>
      </c>
      <c r="D56" s="310"/>
      <c r="F56" s="310">
        <f>SUM(F43,F45)</f>
        <v>38798525</v>
      </c>
      <c r="G56" s="310">
        <f>SUM(I43,I45)</f>
        <v>39789695</v>
      </c>
      <c r="K56" s="449" t="s">
        <v>383</v>
      </c>
      <c r="L56" s="305">
        <f>F57</f>
        <v>72183258.214326993</v>
      </c>
      <c r="O56" s="310"/>
      <c r="P56" s="308"/>
      <c r="Q56" s="197"/>
    </row>
    <row r="57" spans="1:30">
      <c r="A57" s="311" t="s">
        <v>396</v>
      </c>
      <c r="D57" s="308"/>
      <c r="F57" s="310">
        <f>SUM(F55:F56)</f>
        <v>72183258.214326993</v>
      </c>
      <c r="G57" s="310">
        <f>SUM(G55:G56)</f>
        <v>74027003.760993987</v>
      </c>
      <c r="K57" s="449" t="s">
        <v>369</v>
      </c>
      <c r="L57" s="314">
        <f>+L55/L56</f>
        <v>2.5532525530739772E-2</v>
      </c>
      <c r="O57" s="310"/>
      <c r="P57" s="308"/>
      <c r="Q57" s="197"/>
    </row>
    <row r="58" spans="1:30">
      <c r="D58" s="308"/>
      <c r="G58" s="326"/>
    </row>
    <row r="59" spans="1:30">
      <c r="A59" s="311" t="s">
        <v>782</v>
      </c>
      <c r="C59" s="310"/>
      <c r="D59" s="309">
        <f>ROUND(SUM(F33:F34)/SUM($C$33:$C$34),6)</f>
        <v>8.6539000000000005E-2</v>
      </c>
      <c r="G59" s="309">
        <f>ROUND(SUM(I33:I34)/SUM($C$33:$C$34),6)</f>
        <v>8.7112999999999996E-2</v>
      </c>
      <c r="K59" s="449"/>
      <c r="L59" s="306"/>
    </row>
    <row r="60" spans="1:30">
      <c r="A60" s="311" t="s">
        <v>781</v>
      </c>
      <c r="C60" s="310"/>
      <c r="D60" s="365">
        <f>ROUND(SUM(F43)/SUM($C$43),2)</f>
        <v>7.89</v>
      </c>
      <c r="G60" s="365">
        <f>ROUND(SUM(I43)/SUM($C$43),2)</f>
        <v>8.09</v>
      </c>
      <c r="K60" s="449"/>
      <c r="L60" s="306"/>
    </row>
    <row r="61" spans="1:30">
      <c r="D61" s="308"/>
    </row>
    <row r="62" spans="1:30">
      <c r="A62" s="115" t="s">
        <v>113</v>
      </c>
      <c r="B62" s="72"/>
      <c r="C62" s="102"/>
      <c r="D62" s="341"/>
      <c r="E62" s="72"/>
      <c r="F62" s="72"/>
      <c r="G62" s="341"/>
      <c r="H62" s="72"/>
      <c r="I62" s="341" t="s">
        <v>0</v>
      </c>
      <c r="J62" s="341"/>
      <c r="L62" s="338"/>
      <c r="M62" s="338"/>
    </row>
    <row r="63" spans="1:30">
      <c r="A63" s="116" t="s">
        <v>105</v>
      </c>
      <c r="B63" s="72"/>
      <c r="C63" s="72" t="s">
        <v>0</v>
      </c>
      <c r="D63" s="341"/>
      <c r="E63" s="72"/>
      <c r="F63" s="72"/>
      <c r="G63" s="341"/>
      <c r="H63" s="72"/>
      <c r="I63" s="72"/>
      <c r="J63" s="72"/>
      <c r="L63" s="338"/>
      <c r="M63" s="338"/>
    </row>
    <row r="64" spans="1:30">
      <c r="A64" s="206"/>
      <c r="B64" s="72"/>
      <c r="C64" s="72"/>
      <c r="D64" s="341"/>
      <c r="E64" s="72"/>
      <c r="F64" s="72"/>
      <c r="G64" s="341"/>
      <c r="H64" s="72"/>
      <c r="I64" s="72"/>
      <c r="J64" s="72"/>
      <c r="K64" s="197"/>
      <c r="L64" s="198"/>
      <c r="M64" s="198"/>
    </row>
    <row r="65" spans="1:13">
      <c r="A65" s="206" t="s">
        <v>42</v>
      </c>
      <c r="B65" s="72"/>
      <c r="C65" s="204">
        <f>'[2]Sch 26 Large Sec'!$C$9</f>
        <v>9896</v>
      </c>
      <c r="D65" s="124">
        <f>'(JAP4)-Tariff Summary'!D35</f>
        <v>105.74</v>
      </c>
      <c r="E65" s="206"/>
      <c r="F65" s="342">
        <f>ROUND(D65*$C65,0)</f>
        <v>1046403</v>
      </c>
      <c r="G65" s="124">
        <f>ROUND(D65*(1+$M$81),2)</f>
        <v>106.49</v>
      </c>
      <c r="H65" s="206"/>
      <c r="I65" s="342">
        <f>ROUND(G65*$C65,0)</f>
        <v>1053825</v>
      </c>
      <c r="J65" s="342"/>
      <c r="K65" s="505" t="s">
        <v>92</v>
      </c>
      <c r="L65" s="505"/>
      <c r="M65" s="505"/>
    </row>
    <row r="66" spans="1:13">
      <c r="A66" s="206" t="s">
        <v>45</v>
      </c>
      <c r="B66" s="72"/>
      <c r="C66" s="204"/>
      <c r="D66" s="103"/>
      <c r="E66" s="342"/>
      <c r="F66" s="342"/>
      <c r="G66" s="103"/>
      <c r="H66" s="342"/>
      <c r="I66" s="342"/>
      <c r="J66" s="342"/>
      <c r="K66" s="197"/>
      <c r="L66" s="198"/>
      <c r="M66" s="198"/>
    </row>
    <row r="67" spans="1:13">
      <c r="A67" s="118" t="s">
        <v>51</v>
      </c>
      <c r="B67" s="72"/>
      <c r="C67" s="204">
        <f>'[2]Sch 26 Large Sec'!$C$14</f>
        <v>1848359859</v>
      </c>
      <c r="D67" s="313">
        <f>'(JAP4)-Tariff Summary'!D37</f>
        <v>5.7180999999999996E-2</v>
      </c>
      <c r="E67" s="342"/>
      <c r="F67" s="342">
        <f>ROUND($C67*D67,0)</f>
        <v>105691065</v>
      </c>
      <c r="G67" s="270">
        <f>ROUND((1+$L$109)*'(JAP4) PriVolt RD'!G17,6)+L83</f>
        <v>5.7558000000000005E-2</v>
      </c>
      <c r="H67" s="342"/>
      <c r="I67" s="342">
        <f>ROUND($C67*G67,0)</f>
        <v>106387897</v>
      </c>
      <c r="J67" s="342"/>
      <c r="K67" s="505" t="s">
        <v>120</v>
      </c>
      <c r="L67" s="505"/>
      <c r="M67" s="505"/>
    </row>
    <row r="68" spans="1:13">
      <c r="A68" s="119" t="s">
        <v>35</v>
      </c>
      <c r="B68" s="72"/>
      <c r="C68" s="219">
        <f>SUM(C67:C67)</f>
        <v>1848359859</v>
      </c>
      <c r="D68" s="92"/>
      <c r="E68" s="206"/>
      <c r="F68" s="109">
        <f>SUM(F67:F67)</f>
        <v>105691065</v>
      </c>
      <c r="G68" s="92"/>
      <c r="H68" s="206"/>
      <c r="I68" s="109">
        <f>SUM(I67:I67)</f>
        <v>106387897</v>
      </c>
      <c r="J68" s="341"/>
      <c r="K68" s="197"/>
      <c r="L68" s="198"/>
      <c r="M68" s="198"/>
    </row>
    <row r="69" spans="1:13">
      <c r="A69" s="118" t="s">
        <v>82</v>
      </c>
      <c r="B69" s="72"/>
      <c r="C69" s="204">
        <f>'[2]Temperature Adjustment'!$B$25</f>
        <v>-5569549.8199634841</v>
      </c>
      <c r="D69" s="313">
        <f>D67</f>
        <v>5.7180999999999996E-2</v>
      </c>
      <c r="E69" s="206"/>
      <c r="F69" s="342">
        <f>ROUND($C69*D69,0)</f>
        <v>-318472</v>
      </c>
      <c r="G69" s="313">
        <f>G67</f>
        <v>5.7558000000000005E-2</v>
      </c>
      <c r="H69" s="206"/>
      <c r="I69" s="342">
        <f>ROUND($C69*G69,0)</f>
        <v>-320572</v>
      </c>
      <c r="J69" s="341"/>
      <c r="K69" s="220"/>
      <c r="L69" s="198"/>
      <c r="M69" s="198"/>
    </row>
    <row r="70" spans="1:13">
      <c r="A70" s="117" t="s">
        <v>84</v>
      </c>
      <c r="B70" s="72"/>
      <c r="C70" s="216">
        <f>'[2]Sch 26 Large Sec'!$C$51</f>
        <v>17122253.752577797</v>
      </c>
      <c r="D70" s="313">
        <f>ROUND(F70/C70,6)</f>
        <v>7.8613000000000002E-2</v>
      </c>
      <c r="E70" s="206"/>
      <c r="F70" s="342">
        <f>'[2]Sch 26 Large Sec'!$C$53</f>
        <v>1346026</v>
      </c>
      <c r="G70" s="313">
        <f>ROUND(SUM(I65,I68:I69,I75,I77)/SUM(C68:C69),6)</f>
        <v>8.3469000000000002E-2</v>
      </c>
      <c r="H70" s="206"/>
      <c r="I70" s="342">
        <f>ROUND($C70*G70,0)</f>
        <v>1429177</v>
      </c>
      <c r="J70" s="64"/>
      <c r="K70" s="505" t="s">
        <v>92</v>
      </c>
      <c r="L70" s="505"/>
      <c r="M70" s="505"/>
    </row>
    <row r="71" spans="1:13">
      <c r="A71" s="119" t="s">
        <v>35</v>
      </c>
      <c r="B71" s="72"/>
      <c r="C71" s="219">
        <f>SUM(C68:C70)</f>
        <v>1859912562.9326143</v>
      </c>
      <c r="D71" s="206"/>
      <c r="E71" s="206"/>
      <c r="F71" s="109">
        <f>SUM(F68:F70)</f>
        <v>106718619</v>
      </c>
      <c r="G71" s="206"/>
      <c r="H71" s="206"/>
      <c r="I71" s="109">
        <f>SUM(I68:I70)</f>
        <v>107496502</v>
      </c>
      <c r="J71" s="64"/>
      <c r="K71" s="220"/>
      <c r="L71" s="198"/>
      <c r="M71" s="198"/>
    </row>
    <row r="72" spans="1:13">
      <c r="A72" s="206" t="s">
        <v>44</v>
      </c>
      <c r="B72" s="72"/>
      <c r="C72" s="204"/>
      <c r="D72" s="82"/>
      <c r="E72" s="206"/>
      <c r="F72" s="342"/>
      <c r="G72" s="82"/>
      <c r="H72" s="206"/>
      <c r="I72" s="342"/>
      <c r="J72" s="342"/>
      <c r="K72" s="220"/>
      <c r="L72" s="222"/>
      <c r="M72" s="198"/>
    </row>
    <row r="73" spans="1:13">
      <c r="A73" s="118" t="s">
        <v>106</v>
      </c>
      <c r="B73" s="72"/>
      <c r="C73" s="204">
        <f>SUM('[2]Sch 26 Large Sec'!$C$16:$C$17)</f>
        <v>2241694</v>
      </c>
      <c r="D73" s="124">
        <f>'(JAP4)-Tariff Summary'!D39</f>
        <v>11.91</v>
      </c>
      <c r="E73" s="206"/>
      <c r="F73" s="342">
        <f>ROUND(D73*$C73,0)</f>
        <v>26698576</v>
      </c>
      <c r="G73" s="124">
        <f>ROUND((1+$L$109)*'(JAP4) PriVolt RD'!G23,2)</f>
        <v>11.99</v>
      </c>
      <c r="H73" s="206"/>
      <c r="I73" s="342">
        <f>ROUND(G73*$C73,0)</f>
        <v>26877911</v>
      </c>
      <c r="J73" s="342"/>
      <c r="K73" s="505" t="s">
        <v>126</v>
      </c>
      <c r="L73" s="505"/>
      <c r="M73" s="505"/>
    </row>
    <row r="74" spans="1:13">
      <c r="A74" s="118" t="s">
        <v>107</v>
      </c>
      <c r="B74" s="72"/>
      <c r="C74" s="204">
        <f>SUM('[2]Sch 26 Large Sec'!$C$18:$C$20)</f>
        <v>2352310</v>
      </c>
      <c r="D74" s="124">
        <f>'(JAP4)-Tariff Summary'!D40</f>
        <v>7.94</v>
      </c>
      <c r="E74" s="206"/>
      <c r="F74" s="342">
        <f>ROUND(D74*$C74,0)</f>
        <v>18677341</v>
      </c>
      <c r="G74" s="124">
        <f>ROUND((1+$L$109)*'(JAP4) PriVolt RD'!G24,2)</f>
        <v>7.99</v>
      </c>
      <c r="H74" s="206"/>
      <c r="I74" s="342">
        <f>ROUND(G74*$C74,0)</f>
        <v>18794957</v>
      </c>
      <c r="J74" s="342"/>
      <c r="K74" s="505" t="s">
        <v>126</v>
      </c>
      <c r="L74" s="505"/>
      <c r="M74" s="505"/>
    </row>
    <row r="75" spans="1:13">
      <c r="A75" s="119" t="s">
        <v>35</v>
      </c>
      <c r="B75" s="72"/>
      <c r="C75" s="219">
        <f>SUM(C73:C74)</f>
        <v>4594004</v>
      </c>
      <c r="D75" s="82"/>
      <c r="E75" s="206"/>
      <c r="F75" s="223">
        <f>SUM(F73:F74)</f>
        <v>45375917</v>
      </c>
      <c r="G75" s="82"/>
      <c r="H75" s="206"/>
      <c r="I75" s="223">
        <f>SUM(I73:I74)</f>
        <v>45672868</v>
      </c>
      <c r="J75" s="342"/>
      <c r="K75" s="220"/>
      <c r="L75" s="198"/>
      <c r="M75" s="198"/>
    </row>
    <row r="76" spans="1:13">
      <c r="A76" s="72"/>
      <c r="B76" s="72"/>
      <c r="C76" s="216"/>
      <c r="D76" s="216"/>
      <c r="E76" s="206"/>
      <c r="F76" s="64"/>
      <c r="G76" s="216"/>
      <c r="H76" s="206"/>
      <c r="I76" s="64"/>
      <c r="J76" s="64"/>
      <c r="K76" s="220"/>
      <c r="L76" s="198"/>
      <c r="M76" s="198"/>
    </row>
    <row r="77" spans="1:13">
      <c r="A77" s="72" t="s">
        <v>102</v>
      </c>
      <c r="B77" s="72"/>
      <c r="C77" s="204">
        <f>'[2]Sch 26 Large Sec'!$C$26</f>
        <v>804576533</v>
      </c>
      <c r="D77" s="312">
        <f>'(JAP4)-Tariff Summary'!D42</f>
        <v>1.2600000000000001E-3</v>
      </c>
      <c r="E77" s="206"/>
      <c r="F77" s="342">
        <f>ROUND(D77*$C77,0)</f>
        <v>1013766</v>
      </c>
      <c r="G77" s="312">
        <f>ROUND(D77*(1+$M$81),5)</f>
        <v>1.2700000000000001E-3</v>
      </c>
      <c r="H77" s="206"/>
      <c r="I77" s="342">
        <f>ROUND(G77*$C77,0)</f>
        <v>1021812</v>
      </c>
      <c r="J77" s="64"/>
      <c r="K77" s="505" t="s">
        <v>92</v>
      </c>
      <c r="L77" s="505"/>
      <c r="M77" s="505"/>
    </row>
    <row r="78" spans="1:13">
      <c r="A78" s="72"/>
      <c r="B78" s="72"/>
      <c r="C78" s="216"/>
      <c r="D78" s="216"/>
      <c r="E78" s="206"/>
      <c r="F78" s="64"/>
      <c r="G78" s="216"/>
      <c r="H78" s="206"/>
      <c r="I78" s="64"/>
      <c r="J78" s="64"/>
      <c r="K78" s="221"/>
      <c r="L78" s="222"/>
      <c r="M78" s="198"/>
    </row>
    <row r="79" spans="1:13" ht="16.5" thickBot="1">
      <c r="A79" s="72" t="s">
        <v>39</v>
      </c>
      <c r="B79" s="72"/>
      <c r="C79" s="216"/>
      <c r="D79" s="216"/>
      <c r="E79" s="206"/>
      <c r="F79" s="212">
        <f>SUM(F65,F71,F75,F77)</f>
        <v>154154705</v>
      </c>
      <c r="G79" s="216"/>
      <c r="H79" s="206"/>
      <c r="I79" s="212">
        <f>SUM(I65,I71,I75,I77)</f>
        <v>155245007</v>
      </c>
      <c r="J79" s="207"/>
      <c r="K79" s="220"/>
      <c r="L79" s="222"/>
      <c r="M79" s="198"/>
    </row>
    <row r="80" spans="1:13" ht="16.5" thickTop="1">
      <c r="A80" s="72"/>
      <c r="B80" s="225"/>
      <c r="C80" s="216"/>
      <c r="D80" s="216"/>
      <c r="E80" s="72"/>
      <c r="F80" s="341">
        <f>'[2]Average Costs'!$E$14-'(JAP4) SecVolt RD'!F105</f>
        <v>154154706</v>
      </c>
      <c r="G80" s="216"/>
      <c r="H80" s="72"/>
      <c r="I80" s="341"/>
      <c r="J80" s="341"/>
      <c r="K80" s="221"/>
      <c r="L80" s="222"/>
      <c r="M80" s="198"/>
    </row>
    <row r="81" spans="1:13">
      <c r="A81" s="203" t="str">
        <f>A60</f>
        <v>Avg Demand</v>
      </c>
      <c r="D81" s="365">
        <f>ROUND(SUM(F75)/SUM($C$75),2)</f>
        <v>9.8800000000000008</v>
      </c>
      <c r="F81" s="343">
        <f>F80-F79</f>
        <v>1</v>
      </c>
      <c r="G81" s="365">
        <f>ROUND(SUM(I75)/SUM($C$75),2)</f>
        <v>9.94</v>
      </c>
      <c r="K81" s="224" t="s">
        <v>121</v>
      </c>
      <c r="L81" s="214">
        <f>'(JAP4) Rate Spread'!K13*1000</f>
        <v>156245649.4071019</v>
      </c>
      <c r="M81" s="215">
        <f>L81/SUM(F105,F79)-1</f>
        <v>7.0708877123102365E-3</v>
      </c>
    </row>
    <row r="82" spans="1:13">
      <c r="B82" s="72"/>
      <c r="C82" s="102"/>
      <c r="D82" s="341"/>
      <c r="E82" s="72"/>
      <c r="F82" s="72"/>
      <c r="G82" s="341"/>
      <c r="H82" s="72"/>
      <c r="I82" s="341" t="s">
        <v>0</v>
      </c>
      <c r="J82" s="341"/>
      <c r="K82" s="217" t="s">
        <v>38</v>
      </c>
      <c r="L82" s="218">
        <f>-L81+I79+I105</f>
        <v>-105.40710189938545</v>
      </c>
      <c r="M82" s="106" t="s">
        <v>0</v>
      </c>
    </row>
    <row r="83" spans="1:13">
      <c r="A83" s="115" t="s">
        <v>108</v>
      </c>
      <c r="B83" s="72"/>
      <c r="C83" s="72" t="s">
        <v>0</v>
      </c>
      <c r="D83" s="341"/>
      <c r="E83" s="72"/>
      <c r="F83" s="72"/>
      <c r="G83" s="341"/>
      <c r="H83" s="72"/>
      <c r="I83" s="72"/>
      <c r="J83" s="72"/>
      <c r="K83" s="455" t="s">
        <v>398</v>
      </c>
      <c r="L83" s="244">
        <v>-3.3000000000000003E-5</v>
      </c>
      <c r="M83" s="244">
        <f>L82/C67</f>
        <v>-5.7027370176937742E-8</v>
      </c>
    </row>
    <row r="84" spans="1:13">
      <c r="A84" s="116" t="s">
        <v>105</v>
      </c>
      <c r="B84" s="72"/>
      <c r="C84" s="72"/>
      <c r="D84" s="341"/>
      <c r="E84" s="72"/>
      <c r="F84" s="72"/>
      <c r="G84" s="341"/>
      <c r="H84" s="72"/>
      <c r="I84" s="72"/>
      <c r="J84" s="72"/>
      <c r="K84" s="197"/>
      <c r="L84" s="198"/>
      <c r="M84" s="198"/>
    </row>
    <row r="85" spans="1:13">
      <c r="A85" s="206" t="s">
        <v>42</v>
      </c>
      <c r="B85" s="72"/>
      <c r="C85" s="204">
        <f>'[2]Sch 26 Primary'!$C$9</f>
        <v>24</v>
      </c>
      <c r="D85" s="124">
        <f>D65</f>
        <v>105.74</v>
      </c>
      <c r="E85" s="206"/>
      <c r="F85" s="342">
        <f>ROUND(D85*$C85,0)</f>
        <v>2538</v>
      </c>
      <c r="G85" s="124">
        <f>G65</f>
        <v>106.49</v>
      </c>
      <c r="H85" s="206"/>
      <c r="I85" s="342">
        <f>ROUND(G85*$C85,0)</f>
        <v>2556</v>
      </c>
      <c r="J85" s="342"/>
      <c r="K85" s="505" t="s">
        <v>110</v>
      </c>
      <c r="L85" s="505"/>
      <c r="M85" s="505"/>
    </row>
    <row r="86" spans="1:13">
      <c r="A86" s="226" t="s">
        <v>109</v>
      </c>
      <c r="B86" s="72"/>
      <c r="C86" s="204">
        <f>C85</f>
        <v>24</v>
      </c>
      <c r="D86" s="124">
        <f>'(JAP4)-Tariff Summary'!D45</f>
        <v>237.92000000000002</v>
      </c>
      <c r="E86" s="206"/>
      <c r="F86" s="342">
        <f>ROUND(D86*$C86,0)</f>
        <v>5710</v>
      </c>
      <c r="G86" s="124">
        <f>L108</f>
        <v>239.59999999999997</v>
      </c>
      <c r="H86" s="206"/>
      <c r="I86" s="342">
        <f>ROUND(G86*$C86,0)</f>
        <v>5750</v>
      </c>
      <c r="J86" s="342"/>
      <c r="K86" s="197"/>
      <c r="L86" s="198"/>
      <c r="M86" s="198"/>
    </row>
    <row r="87" spans="1:13">
      <c r="A87" s="119" t="s">
        <v>35</v>
      </c>
      <c r="B87" s="72"/>
      <c r="C87" s="204"/>
      <c r="D87" s="124"/>
      <c r="E87" s="206"/>
      <c r="F87" s="109">
        <f>SUM(F85:F86)</f>
        <v>8248</v>
      </c>
      <c r="G87" s="124"/>
      <c r="H87" s="206"/>
      <c r="I87" s="109">
        <f>SUM(I85:I86)</f>
        <v>8306</v>
      </c>
      <c r="J87" s="342"/>
      <c r="K87" s="505" t="s">
        <v>131</v>
      </c>
      <c r="L87" s="505"/>
      <c r="M87" s="505"/>
    </row>
    <row r="88" spans="1:13">
      <c r="A88" s="206" t="s">
        <v>45</v>
      </c>
      <c r="B88" s="72"/>
      <c r="C88" s="204"/>
      <c r="D88" s="103"/>
      <c r="E88" s="342"/>
      <c r="F88" s="342"/>
      <c r="G88" s="103"/>
      <c r="H88" s="342"/>
      <c r="I88" s="342"/>
      <c r="J88" s="342"/>
      <c r="K88" s="220"/>
      <c r="L88" s="198"/>
      <c r="M88" s="198"/>
    </row>
    <row r="89" spans="1:13">
      <c r="A89" s="118" t="s">
        <v>51</v>
      </c>
      <c r="B89" s="72"/>
      <c r="C89" s="204">
        <f>'[2]Sch 26 Primary'!$C$14</f>
        <v>12593300</v>
      </c>
      <c r="D89" s="313">
        <f>D67</f>
        <v>5.7180999999999996E-2</v>
      </c>
      <c r="E89" s="342"/>
      <c r="F89" s="342">
        <f>ROUND($C89*D89,0)</f>
        <v>720097</v>
      </c>
      <c r="G89" s="313">
        <f>G67</f>
        <v>5.7558000000000005E-2</v>
      </c>
      <c r="H89" s="342"/>
      <c r="I89" s="342">
        <f>ROUND($C89*G89,0)</f>
        <v>724845</v>
      </c>
      <c r="J89" s="342"/>
      <c r="K89" s="505" t="s">
        <v>110</v>
      </c>
      <c r="L89" s="505"/>
      <c r="M89" s="505"/>
    </row>
    <row r="90" spans="1:13">
      <c r="A90" s="118" t="s">
        <v>111</v>
      </c>
      <c r="B90" s="72"/>
      <c r="C90" s="204">
        <f>C89</f>
        <v>12593300</v>
      </c>
      <c r="D90" s="313">
        <f>'(JAP4)-Tariff Summary'!D51-D89</f>
        <v>-2.2529999999999981E-3</v>
      </c>
      <c r="E90" s="342"/>
      <c r="F90" s="342">
        <f>ROUND($C90*D90,0)</f>
        <v>-28373</v>
      </c>
      <c r="G90" s="313">
        <f>-M110</f>
        <v>-2.2680000000000001E-3</v>
      </c>
      <c r="H90" s="342"/>
      <c r="I90" s="342">
        <f>ROUND($C90*G90,0)</f>
        <v>-28562</v>
      </c>
      <c r="J90" s="342"/>
      <c r="K90" s="505" t="s">
        <v>133</v>
      </c>
      <c r="L90" s="505"/>
      <c r="M90" s="505"/>
    </row>
    <row r="91" spans="1:13">
      <c r="A91" s="119" t="s">
        <v>35</v>
      </c>
      <c r="B91" s="72"/>
      <c r="C91" s="219">
        <f>SUM(C89:C89)</f>
        <v>12593300</v>
      </c>
      <c r="D91" s="92"/>
      <c r="E91" s="206"/>
      <c r="F91" s="109">
        <f>SUM(F89:F90)</f>
        <v>691724</v>
      </c>
      <c r="G91" s="92"/>
      <c r="H91" s="206"/>
      <c r="I91" s="109">
        <f>SUM(I89:I90)</f>
        <v>696283</v>
      </c>
      <c r="J91" s="341"/>
      <c r="K91" s="220"/>
      <c r="L91" s="198"/>
      <c r="M91" s="198"/>
    </row>
    <row r="92" spans="1:13">
      <c r="A92" s="118" t="s">
        <v>82</v>
      </c>
      <c r="B92" s="72"/>
      <c r="C92" s="204">
        <v>0</v>
      </c>
      <c r="D92" s="313">
        <f>D89</f>
        <v>5.7180999999999996E-2</v>
      </c>
      <c r="E92" s="206"/>
      <c r="F92" s="342">
        <f>ROUND($C92*D92,0)</f>
        <v>0</v>
      </c>
      <c r="G92" s="313"/>
      <c r="H92" s="206"/>
      <c r="I92" s="342">
        <f>ROUND($C92*G92,0)</f>
        <v>0</v>
      </c>
      <c r="J92" s="341"/>
      <c r="K92" s="220"/>
      <c r="L92" s="198"/>
      <c r="M92" s="198"/>
    </row>
    <row r="93" spans="1:13">
      <c r="A93" s="117" t="s">
        <v>84</v>
      </c>
      <c r="B93" s="72"/>
      <c r="C93" s="216">
        <v>0</v>
      </c>
      <c r="D93" s="313">
        <f>ROUND(SUM(F87,F91,F92,F99,F103)/SUM(C91:C92),6)</f>
        <v>7.8922999999999993E-2</v>
      </c>
      <c r="E93" s="206"/>
      <c r="F93" s="342">
        <f>ROUND($C93*D93,0)</f>
        <v>0</v>
      </c>
      <c r="G93" s="313">
        <f>ROUND(SUM(I87,I91,I92,I99,I103)/SUM(C91:C92),6)</f>
        <v>7.9450000000000007E-2</v>
      </c>
      <c r="H93" s="206"/>
      <c r="I93" s="342">
        <f>ROUND($C93*G93,0)</f>
        <v>0</v>
      </c>
      <c r="J93" s="64"/>
      <c r="K93" s="197"/>
      <c r="L93" s="198"/>
      <c r="M93" s="198"/>
    </row>
    <row r="94" spans="1:13">
      <c r="A94" s="119" t="s">
        <v>35</v>
      </c>
      <c r="B94" s="72"/>
      <c r="C94" s="219">
        <f>SUM(C91:C93)</f>
        <v>12593300</v>
      </c>
      <c r="D94" s="206"/>
      <c r="E94" s="206"/>
      <c r="F94" s="109">
        <f>SUM(F91:F93)</f>
        <v>691724</v>
      </c>
      <c r="G94" s="206"/>
      <c r="H94" s="206"/>
      <c r="I94" s="109">
        <f>SUM(I91:I93)</f>
        <v>696283</v>
      </c>
      <c r="J94" s="64"/>
      <c r="K94" s="220"/>
      <c r="L94" s="198"/>
      <c r="M94" s="198"/>
    </row>
    <row r="95" spans="1:13">
      <c r="A95" s="206" t="s">
        <v>44</v>
      </c>
      <c r="B95" s="72"/>
      <c r="C95" s="204"/>
      <c r="D95" s="82"/>
      <c r="E95" s="206"/>
      <c r="F95" s="342"/>
      <c r="G95" s="82"/>
      <c r="H95" s="206"/>
      <c r="I95" s="342"/>
      <c r="J95" s="342"/>
      <c r="K95" s="220"/>
      <c r="L95" s="222"/>
      <c r="M95" s="198"/>
    </row>
    <row r="96" spans="1:13">
      <c r="A96" s="118" t="s">
        <v>106</v>
      </c>
      <c r="B96" s="72"/>
      <c r="C96" s="204">
        <f>SUM('[2]Sch 26 Primary'!$C$16:$C$17)</f>
        <v>16171</v>
      </c>
      <c r="D96" s="124">
        <f>D73</f>
        <v>11.91</v>
      </c>
      <c r="E96" s="206"/>
      <c r="F96" s="342">
        <f>ROUND(D96*$C96,0)</f>
        <v>192597</v>
      </c>
      <c r="G96" s="124">
        <f>G73</f>
        <v>11.99</v>
      </c>
      <c r="H96" s="206"/>
      <c r="I96" s="342">
        <f>ROUND(G96*$C96,0)</f>
        <v>193890</v>
      </c>
      <c r="J96" s="342"/>
      <c r="K96" s="505" t="s">
        <v>110</v>
      </c>
      <c r="L96" s="505"/>
      <c r="M96" s="505"/>
    </row>
    <row r="97" spans="1:14">
      <c r="A97" s="118" t="s">
        <v>107</v>
      </c>
      <c r="B97" s="72"/>
      <c r="C97" s="204">
        <f>SUM('[2]Sch 26 Primary'!$C$18:$C$20)</f>
        <v>13611</v>
      </c>
      <c r="D97" s="124">
        <f>D74</f>
        <v>7.94</v>
      </c>
      <c r="E97" s="206"/>
      <c r="F97" s="342">
        <f>ROUND(D97*$C97,0)</f>
        <v>108071</v>
      </c>
      <c r="G97" s="124">
        <f>G74</f>
        <v>7.99</v>
      </c>
      <c r="H97" s="206"/>
      <c r="I97" s="342">
        <f>ROUND(G97*$C97,0)</f>
        <v>108752</v>
      </c>
      <c r="J97" s="342"/>
      <c r="K97" s="505" t="s">
        <v>110</v>
      </c>
      <c r="L97" s="505"/>
      <c r="M97" s="505"/>
    </row>
    <row r="98" spans="1:14">
      <c r="A98" s="118" t="s">
        <v>111</v>
      </c>
      <c r="B98" s="72"/>
      <c r="C98" s="204">
        <f>C97+C96</f>
        <v>29782</v>
      </c>
      <c r="D98" s="124">
        <f>'(JAP4)-Tariff Summary'!D46</f>
        <v>-0.39</v>
      </c>
      <c r="E98" s="206"/>
      <c r="F98" s="342">
        <f>ROUND(D98*$C98,0)</f>
        <v>-11615</v>
      </c>
      <c r="G98" s="124">
        <f>-M109</f>
        <v>-0.39</v>
      </c>
      <c r="H98" s="206"/>
      <c r="I98" s="342">
        <f>ROUND(G98*$C98,0)</f>
        <v>-11615</v>
      </c>
      <c r="J98" s="342"/>
      <c r="K98" s="505" t="s">
        <v>133</v>
      </c>
      <c r="L98" s="505"/>
      <c r="M98" s="505"/>
    </row>
    <row r="99" spans="1:14">
      <c r="A99" s="119" t="s">
        <v>35</v>
      </c>
      <c r="B99" s="72"/>
      <c r="C99" s="219">
        <f>SUM(C96:C97)</f>
        <v>29782</v>
      </c>
      <c r="D99" s="82"/>
      <c r="E99" s="206"/>
      <c r="F99" s="223">
        <f>SUM(F96:F98)</f>
        <v>289053</v>
      </c>
      <c r="G99" s="82"/>
      <c r="H99" s="206"/>
      <c r="I99" s="223">
        <f>SUM(I96:I98)</f>
        <v>291027</v>
      </c>
      <c r="J99" s="342"/>
      <c r="K99" s="220"/>
      <c r="L99" s="198"/>
      <c r="M99" s="198"/>
    </row>
    <row r="100" spans="1:14">
      <c r="A100" s="72"/>
      <c r="B100" s="72"/>
      <c r="C100" s="216"/>
      <c r="D100" s="216"/>
      <c r="E100" s="206"/>
      <c r="F100" s="64"/>
      <c r="G100" s="216"/>
      <c r="H100" s="206"/>
      <c r="I100" s="64"/>
      <c r="J100" s="64"/>
      <c r="K100" s="220"/>
      <c r="L100" s="198"/>
      <c r="M100" s="198"/>
    </row>
    <row r="101" spans="1:14">
      <c r="A101" s="72" t="s">
        <v>102</v>
      </c>
      <c r="B101" s="72"/>
      <c r="C101" s="204">
        <f>'[2]Sch 26 Primary'!$C$26</f>
        <v>4034208</v>
      </c>
      <c r="D101" s="312">
        <f>D77</f>
        <v>1.2600000000000001E-3</v>
      </c>
      <c r="E101" s="206"/>
      <c r="F101" s="342">
        <f>ROUND(D101*$C101,0)</f>
        <v>5083</v>
      </c>
      <c r="G101" s="312">
        <f>G77</f>
        <v>1.2700000000000001E-3</v>
      </c>
      <c r="H101" s="206"/>
      <c r="I101" s="342">
        <f>ROUND(G101*$C101,0)</f>
        <v>5123</v>
      </c>
      <c r="J101" s="64"/>
      <c r="K101" s="505" t="s">
        <v>110</v>
      </c>
      <c r="L101" s="505"/>
      <c r="M101" s="505"/>
    </row>
    <row r="102" spans="1:14">
      <c r="A102" s="118" t="s">
        <v>111</v>
      </c>
      <c r="B102" s="72"/>
      <c r="C102" s="204">
        <f>C101+C100</f>
        <v>4034208</v>
      </c>
      <c r="D102" s="312">
        <f>'(JAP4)-Tariff Summary'!D52-'(JAP4) SecVolt RD'!D101</f>
        <v>-4.9999999999999914E-5</v>
      </c>
      <c r="E102" s="206"/>
      <c r="F102" s="342">
        <f>ROUND(D102*$C102,0)</f>
        <v>-202</v>
      </c>
      <c r="G102" s="312">
        <f>-M111</f>
        <v>-5.0000000000000002E-5</v>
      </c>
      <c r="H102" s="206"/>
      <c r="I102" s="342">
        <f>ROUND(G102*$C102,0)</f>
        <v>-202</v>
      </c>
      <c r="J102" s="64"/>
      <c r="K102" s="505" t="s">
        <v>133</v>
      </c>
      <c r="L102" s="505"/>
      <c r="M102" s="505"/>
    </row>
    <row r="103" spans="1:14">
      <c r="A103" s="119" t="s">
        <v>35</v>
      </c>
      <c r="B103" s="72"/>
      <c r="C103" s="204"/>
      <c r="D103" s="312"/>
      <c r="E103" s="206"/>
      <c r="F103" s="109">
        <f>SUM(F100:F102)</f>
        <v>4881</v>
      </c>
      <c r="G103" s="124"/>
      <c r="H103" s="206"/>
      <c r="I103" s="109">
        <f>SUM(I100:I102)</f>
        <v>4921</v>
      </c>
      <c r="J103" s="64"/>
      <c r="K103" s="220"/>
      <c r="L103" s="222"/>
      <c r="M103" s="198"/>
    </row>
    <row r="104" spans="1:14">
      <c r="A104" s="72"/>
      <c r="B104" s="72"/>
      <c r="C104" s="216"/>
      <c r="D104" s="216"/>
      <c r="E104" s="206"/>
      <c r="F104" s="64"/>
      <c r="G104" s="216"/>
      <c r="H104" s="206"/>
      <c r="I104" s="64"/>
      <c r="J104" s="64"/>
      <c r="K104" s="220"/>
      <c r="L104" s="222"/>
      <c r="M104" s="198"/>
    </row>
    <row r="105" spans="1:14" ht="16.5" thickBot="1">
      <c r="A105" s="72" t="s">
        <v>39</v>
      </c>
      <c r="B105" s="72"/>
      <c r="C105" s="216"/>
      <c r="D105" s="216"/>
      <c r="E105" s="206"/>
      <c r="F105" s="212">
        <f>SUM(F103,F99,F94,F87)</f>
        <v>993906</v>
      </c>
      <c r="G105" s="216"/>
      <c r="H105" s="206"/>
      <c r="I105" s="212">
        <f>SUM(I103,I99,I94,I87)</f>
        <v>1000537</v>
      </c>
      <c r="J105" s="207"/>
      <c r="K105" s="220"/>
      <c r="L105" s="222"/>
      <c r="M105" s="198"/>
    </row>
    <row r="106" spans="1:14" ht="17.25" thickTop="1" thickBot="1">
      <c r="A106" s="72"/>
      <c r="B106" s="225"/>
      <c r="C106" s="216"/>
      <c r="D106" s="216"/>
      <c r="E106" s="206"/>
      <c r="F106" s="341">
        <f>'[2]Sch 26 Primary'!$C$49</f>
        <v>993905</v>
      </c>
      <c r="G106" s="216"/>
      <c r="H106" s="206"/>
      <c r="I106" s="341"/>
      <c r="J106" s="341"/>
      <c r="K106" s="221"/>
      <c r="L106" s="222"/>
      <c r="M106" s="198"/>
    </row>
    <row r="107" spans="1:14" ht="16.5" thickBot="1">
      <c r="F107" s="343">
        <f>F105-F106</f>
        <v>1</v>
      </c>
      <c r="K107" s="519" t="s">
        <v>122</v>
      </c>
      <c r="L107" s="520"/>
      <c r="M107" s="521"/>
    </row>
    <row r="108" spans="1:14">
      <c r="B108" s="72"/>
      <c r="C108" s="102"/>
      <c r="D108" s="341"/>
      <c r="E108" s="72"/>
      <c r="F108" s="72"/>
      <c r="G108" s="341"/>
      <c r="H108" s="72"/>
      <c r="I108" s="341" t="s">
        <v>0</v>
      </c>
      <c r="J108" s="341"/>
      <c r="K108" s="228" t="s">
        <v>123</v>
      </c>
      <c r="L108" s="229">
        <f>'(JAP4) PriVolt RD'!G15-'(JAP4) SecVolt RD'!G65</f>
        <v>239.59999999999997</v>
      </c>
      <c r="M108" s="230"/>
    </row>
    <row r="109" spans="1:14">
      <c r="B109" s="72"/>
      <c r="C109" s="72" t="s">
        <v>0</v>
      </c>
      <c r="D109" s="341"/>
      <c r="E109" s="72"/>
      <c r="F109" s="72"/>
      <c r="G109" s="341"/>
      <c r="H109" s="72"/>
      <c r="I109" s="72"/>
      <c r="J109" s="72"/>
      <c r="K109" s="228" t="s">
        <v>124</v>
      </c>
      <c r="L109" s="457">
        <v>3.9399999999999998E-2</v>
      </c>
      <c r="M109" s="231">
        <f>ROUND(+L109*(I75/C75),2)</f>
        <v>0.39</v>
      </c>
    </row>
    <row r="110" spans="1:14">
      <c r="A110" s="206"/>
      <c r="B110" s="72"/>
      <c r="C110" s="72"/>
      <c r="D110" s="341"/>
      <c r="E110" s="72"/>
      <c r="F110" s="72"/>
      <c r="G110" s="341"/>
      <c r="H110" s="72"/>
      <c r="I110" s="72"/>
      <c r="J110" s="72"/>
      <c r="K110" s="228" t="s">
        <v>125</v>
      </c>
      <c r="L110" s="457">
        <f>+L109</f>
        <v>3.9399999999999998E-2</v>
      </c>
      <c r="M110" s="232">
        <f>ROUND(+L110*G67,6)</f>
        <v>2.2680000000000001E-3</v>
      </c>
      <c r="N110" s="484"/>
    </row>
    <row r="111" spans="1:14" ht="16.5" thickBot="1">
      <c r="A111" s="206"/>
      <c r="B111" s="72"/>
      <c r="C111" s="72"/>
      <c r="D111" s="341"/>
      <c r="E111" s="72"/>
      <c r="F111" s="72"/>
      <c r="G111" s="341"/>
      <c r="H111" s="72"/>
      <c r="I111" s="72"/>
      <c r="J111" s="72"/>
      <c r="K111" s="233" t="s">
        <v>134</v>
      </c>
      <c r="L111" s="458">
        <f>+L110</f>
        <v>3.9399999999999998E-2</v>
      </c>
      <c r="M111" s="234">
        <f>ROUND(+L111*G77,5)</f>
        <v>5.0000000000000002E-5</v>
      </c>
    </row>
    <row r="112" spans="1:14">
      <c r="A112" s="115" t="s">
        <v>115</v>
      </c>
      <c r="B112" s="72"/>
      <c r="C112" s="72"/>
      <c r="D112" s="341"/>
      <c r="E112" s="72"/>
      <c r="F112" s="72"/>
      <c r="G112" s="341"/>
      <c r="H112" s="72"/>
      <c r="I112" s="72"/>
      <c r="J112" s="72"/>
      <c r="K112" s="155"/>
      <c r="L112" s="257"/>
      <c r="M112" s="459"/>
    </row>
    <row r="113" spans="1:15">
      <c r="A113" s="116" t="s">
        <v>116</v>
      </c>
      <c r="B113" s="72"/>
      <c r="C113" s="72"/>
      <c r="D113" s="341"/>
      <c r="E113" s="72"/>
      <c r="F113" s="72"/>
      <c r="G113" s="341"/>
      <c r="H113" s="72"/>
      <c r="I113" s="72"/>
      <c r="J113" s="72"/>
      <c r="K113" s="155"/>
      <c r="L113" s="257"/>
      <c r="M113" s="459"/>
    </row>
    <row r="114" spans="1:15">
      <c r="A114" s="206"/>
      <c r="B114" s="72"/>
      <c r="C114" s="72"/>
      <c r="D114" s="341"/>
      <c r="E114" s="72"/>
      <c r="F114" s="72"/>
      <c r="G114" s="341"/>
      <c r="H114" s="72"/>
      <c r="I114" s="72"/>
      <c r="J114" s="72"/>
      <c r="K114" s="155"/>
      <c r="L114" s="257"/>
      <c r="M114" s="459"/>
      <c r="N114" s="271"/>
      <c r="O114" s="227"/>
    </row>
    <row r="115" spans="1:15">
      <c r="A115" s="72" t="s">
        <v>42</v>
      </c>
      <c r="B115" s="72"/>
      <c r="C115" s="204"/>
      <c r="D115" s="124"/>
      <c r="E115" s="206"/>
      <c r="F115" s="342"/>
      <c r="G115" s="124"/>
      <c r="H115" s="206"/>
      <c r="I115" s="342"/>
      <c r="J115" s="342"/>
      <c r="K115" s="197"/>
      <c r="L115" s="198"/>
      <c r="M115" s="198"/>
    </row>
    <row r="116" spans="1:15">
      <c r="A116" s="72" t="s">
        <v>40</v>
      </c>
      <c r="B116" s="72"/>
      <c r="C116" s="204">
        <f>SUM('[2]Sch 29 Irr Sec'!$C$6:$C$8)</f>
        <v>2356</v>
      </c>
      <c r="D116" s="124">
        <f>'(JAP4)-Tariff Summary'!D55</f>
        <v>9.68</v>
      </c>
      <c r="E116" s="206"/>
      <c r="F116" s="342">
        <f>ROUND(D116*$C116,0)</f>
        <v>22806</v>
      </c>
      <c r="G116" s="124">
        <f>ROUND(D116*(1+$I$138),2)</f>
        <v>9.75</v>
      </c>
      <c r="H116" s="206"/>
      <c r="I116" s="342">
        <f>ROUND(G116*$C116,0)</f>
        <v>22971</v>
      </c>
      <c r="J116" s="342"/>
      <c r="K116" s="505" t="s">
        <v>92</v>
      </c>
      <c r="L116" s="505"/>
      <c r="M116" s="505"/>
      <c r="N116" s="437"/>
    </row>
    <row r="117" spans="1:15">
      <c r="A117" s="72" t="s">
        <v>41</v>
      </c>
      <c r="B117" s="72"/>
      <c r="C117" s="204">
        <f>SUM('[2]Sch 29 Irr Sec'!$C$9:$C$11)</f>
        <v>5440</v>
      </c>
      <c r="D117" s="124">
        <f>'(JAP4)-Tariff Summary'!D56</f>
        <v>24.58</v>
      </c>
      <c r="E117" s="206"/>
      <c r="F117" s="342">
        <f>ROUND(D117*$C117,0)</f>
        <v>133715</v>
      </c>
      <c r="G117" s="124">
        <f>ROUND(D117*(1+$I$138),2)</f>
        <v>24.75</v>
      </c>
      <c r="H117" s="206"/>
      <c r="I117" s="342">
        <f>ROUND(G117*$C117,0)</f>
        <v>134640</v>
      </c>
      <c r="J117" s="342"/>
      <c r="K117" s="505" t="s">
        <v>92</v>
      </c>
      <c r="L117" s="505"/>
      <c r="M117" s="505"/>
      <c r="N117" s="437"/>
    </row>
    <row r="118" spans="1:15">
      <c r="A118" s="119" t="s">
        <v>35</v>
      </c>
      <c r="B118" s="72"/>
      <c r="C118" s="219">
        <f>SUM(C116:C117)</f>
        <v>7796</v>
      </c>
      <c r="D118" s="124"/>
      <c r="E118" s="206"/>
      <c r="F118" s="109">
        <f>SUM(F116:F117)</f>
        <v>156521</v>
      </c>
      <c r="G118" s="124"/>
      <c r="H118" s="206"/>
      <c r="I118" s="109">
        <f>SUM(I116:I117)</f>
        <v>157611</v>
      </c>
      <c r="J118" s="342"/>
      <c r="K118" s="505"/>
      <c r="L118" s="505"/>
      <c r="M118" s="505"/>
    </row>
    <row r="119" spans="1:15">
      <c r="A119" s="206" t="s">
        <v>45</v>
      </c>
      <c r="B119" s="72"/>
      <c r="C119" s="204"/>
      <c r="D119" s="103"/>
      <c r="E119" s="342"/>
      <c r="F119" s="342"/>
      <c r="G119" s="103"/>
      <c r="H119" s="342"/>
      <c r="I119" s="342"/>
      <c r="J119" s="342"/>
      <c r="K119" s="220"/>
      <c r="L119" s="198"/>
      <c r="M119" s="198"/>
    </row>
    <row r="120" spans="1:15">
      <c r="A120" s="118" t="s">
        <v>98</v>
      </c>
      <c r="B120" s="72"/>
      <c r="C120" s="204">
        <f>SUM('[2]Sch 29 Irr Sec'!$C$14:$C$15)</f>
        <v>1828735</v>
      </c>
      <c r="D120" s="313">
        <f>'(JAP4)-Tariff Summary'!D58</f>
        <v>9.0677999999999995E-2</v>
      </c>
      <c r="E120" s="342"/>
      <c r="F120" s="342">
        <f>ROUND($C120*D120,0)</f>
        <v>165826</v>
      </c>
      <c r="G120" s="313">
        <f>ROUND(D120*(1+$I$138),6)</f>
        <v>9.1318999999999997E-2</v>
      </c>
      <c r="H120" s="342"/>
      <c r="I120" s="342">
        <f>ROUND($C120*G120,0)</f>
        <v>166998</v>
      </c>
      <c r="J120" s="342"/>
      <c r="K120" s="505" t="s">
        <v>92</v>
      </c>
      <c r="L120" s="505"/>
      <c r="M120" s="505"/>
      <c r="N120" s="437"/>
    </row>
    <row r="121" spans="1:15">
      <c r="A121" s="118" t="s">
        <v>118</v>
      </c>
      <c r="B121" s="72"/>
      <c r="C121" s="204">
        <f>SUM('[2]Sch 29 Irr Sec'!$C$19:$C$20)</f>
        <v>19234</v>
      </c>
      <c r="D121" s="313">
        <f>'(JAP4)-Tariff Summary'!D59</f>
        <v>6.8867999999999999E-2</v>
      </c>
      <c r="E121" s="342"/>
      <c r="F121" s="342">
        <f>ROUND($C121*D121,0)</f>
        <v>1325</v>
      </c>
      <c r="G121" s="313">
        <f>ROUND(D121*(1+$I$138),6)</f>
        <v>6.9355E-2</v>
      </c>
      <c r="H121" s="342"/>
      <c r="I121" s="342">
        <f>ROUND($C121*G121,0)</f>
        <v>1334</v>
      </c>
      <c r="J121" s="342"/>
      <c r="K121" s="505" t="s">
        <v>92</v>
      </c>
      <c r="L121" s="505"/>
      <c r="M121" s="505"/>
      <c r="N121" s="437"/>
    </row>
    <row r="122" spans="1:15">
      <c r="A122" s="118" t="s">
        <v>97</v>
      </c>
      <c r="B122" s="72"/>
      <c r="C122" s="204">
        <f>SUM('[2]Sch 29 Irr Sec'!$C$16:$C$18)</f>
        <v>13335911</v>
      </c>
      <c r="D122" s="313">
        <f>'(JAP4)-Tariff Summary'!D60</f>
        <v>6.2835000000000002E-2</v>
      </c>
      <c r="E122" s="342"/>
      <c r="F122" s="342">
        <f>ROUND($C122*D122,0)</f>
        <v>837962</v>
      </c>
      <c r="G122" s="313">
        <f>ROUND(D122*(1+$I$138),6)</f>
        <v>6.3279000000000002E-2</v>
      </c>
      <c r="H122" s="342"/>
      <c r="I122" s="342">
        <f>ROUND($C122*G122,0)</f>
        <v>843883</v>
      </c>
      <c r="J122" s="342"/>
      <c r="K122" s="505" t="s">
        <v>92</v>
      </c>
      <c r="L122" s="505"/>
      <c r="M122" s="505"/>
      <c r="N122" s="437"/>
    </row>
    <row r="123" spans="1:15">
      <c r="A123" s="118" t="s">
        <v>117</v>
      </c>
      <c r="B123" s="72"/>
      <c r="C123" s="204">
        <f>SUM('[2]Sch 29 Irr Sec'!$C$21:$C$23)</f>
        <v>768282</v>
      </c>
      <c r="D123" s="313">
        <f>'(JAP4)-Tariff Summary'!D61</f>
        <v>5.3838999999999998E-2</v>
      </c>
      <c r="E123" s="342"/>
      <c r="F123" s="342">
        <f>ROUND($C123*D123,0)</f>
        <v>41364</v>
      </c>
      <c r="G123" s="313">
        <f>ROUND(D123*(1+$I$138),6)</f>
        <v>5.4219999999999997E-2</v>
      </c>
      <c r="H123" s="342"/>
      <c r="I123" s="342">
        <f>ROUND($C123*G123,0)</f>
        <v>41656</v>
      </c>
      <c r="J123" s="342"/>
      <c r="K123" s="505" t="s">
        <v>92</v>
      </c>
      <c r="L123" s="505"/>
      <c r="M123" s="505"/>
      <c r="N123" s="437"/>
    </row>
    <row r="124" spans="1:15">
      <c r="A124" s="119" t="s">
        <v>35</v>
      </c>
      <c r="B124" s="72"/>
      <c r="C124" s="219">
        <f>SUM(C120:C123)</f>
        <v>15952162</v>
      </c>
      <c r="D124" s="92"/>
      <c r="E124" s="206"/>
      <c r="F124" s="109">
        <f>SUM(F120:F123)</f>
        <v>1046477</v>
      </c>
      <c r="G124" s="92"/>
      <c r="H124" s="206"/>
      <c r="I124" s="109">
        <f>SUM(I120:I123)</f>
        <v>1053871</v>
      </c>
      <c r="J124" s="341"/>
      <c r="K124" s="220"/>
      <c r="L124" s="198"/>
      <c r="M124" s="198"/>
    </row>
    <row r="125" spans="1:15">
      <c r="A125" s="118" t="s">
        <v>90</v>
      </c>
      <c r="B125" s="72"/>
      <c r="C125" s="204">
        <f>SUM('[2]Temperature Adjustment'!$C$26:$E$26,'[2]Temperature Adjustment'!$L$26:$N$26)</f>
        <v>0</v>
      </c>
      <c r="D125" s="313">
        <f>D121</f>
        <v>6.8867999999999999E-2</v>
      </c>
      <c r="E125" s="206"/>
      <c r="F125" s="342">
        <f>ROUND($C125*D125,0)</f>
        <v>0</v>
      </c>
      <c r="G125" s="313">
        <f>G121</f>
        <v>6.9355E-2</v>
      </c>
      <c r="H125" s="206"/>
      <c r="I125" s="342">
        <f>ROUND($C125*G125,0)</f>
        <v>0</v>
      </c>
      <c r="J125" s="341"/>
      <c r="K125" s="220"/>
      <c r="L125" s="198"/>
      <c r="M125" s="198"/>
    </row>
    <row r="126" spans="1:15">
      <c r="A126" s="118" t="s">
        <v>91</v>
      </c>
      <c r="B126" s="72"/>
      <c r="C126" s="204">
        <f>SUM('[2]Temperature Adjustment'!$F$26:$K$26)</f>
        <v>-403837.91482737218</v>
      </c>
      <c r="D126" s="313">
        <f>D123</f>
        <v>5.3838999999999998E-2</v>
      </c>
      <c r="E126" s="206"/>
      <c r="F126" s="342">
        <f>ROUND($C126*D126,0)</f>
        <v>-21742</v>
      </c>
      <c r="G126" s="313">
        <f>G123</f>
        <v>5.4219999999999997E-2</v>
      </c>
      <c r="H126" s="206"/>
      <c r="I126" s="342">
        <f>ROUND($C126*G126,0)</f>
        <v>-21896</v>
      </c>
      <c r="J126" s="341"/>
      <c r="K126" s="197"/>
      <c r="L126" s="198"/>
      <c r="M126" s="198"/>
      <c r="N126" s="437"/>
    </row>
    <row r="127" spans="1:15">
      <c r="A127" s="117" t="s">
        <v>84</v>
      </c>
      <c r="B127" s="72"/>
      <c r="C127" s="216">
        <f>'[2]Sch 29 Irr Sec'!$C$74</f>
        <v>2694802.0279999999</v>
      </c>
      <c r="D127" s="313">
        <f>ROUND(F127/C127,6)</f>
        <v>8.6115999999999998E-2</v>
      </c>
      <c r="E127" s="206"/>
      <c r="F127" s="342">
        <f>'[2]Sch 29 Irr Sec'!$C$76</f>
        <v>232065</v>
      </c>
      <c r="G127" s="313">
        <f>ROUND(D127*(1+I138),6)</f>
        <v>8.6724999999999997E-2</v>
      </c>
      <c r="H127" s="206"/>
      <c r="I127" s="342">
        <f>ROUND($C127*G127,0)</f>
        <v>233707</v>
      </c>
      <c r="J127" s="64"/>
      <c r="K127" s="505" t="s">
        <v>92</v>
      </c>
      <c r="L127" s="505"/>
      <c r="M127" s="505"/>
      <c r="N127" s="437"/>
    </row>
    <row r="128" spans="1:15">
      <c r="A128" s="119" t="s">
        <v>35</v>
      </c>
      <c r="B128" s="72"/>
      <c r="C128" s="219">
        <f>SUM(C124:C127)</f>
        <v>18243126.113172628</v>
      </c>
      <c r="D128" s="206"/>
      <c r="E128" s="206"/>
      <c r="F128" s="109">
        <f>SUM(F124:F127)</f>
        <v>1256800</v>
      </c>
      <c r="G128" s="206"/>
      <c r="H128" s="206"/>
      <c r="I128" s="109">
        <f>SUM(I124:I127)</f>
        <v>1265682</v>
      </c>
      <c r="J128" s="64"/>
      <c r="K128" s="220"/>
      <c r="L128" s="198"/>
      <c r="M128" s="198"/>
    </row>
    <row r="129" spans="1:14">
      <c r="A129" s="206" t="s">
        <v>44</v>
      </c>
      <c r="B129" s="72"/>
      <c r="C129" s="204"/>
      <c r="D129" s="82"/>
      <c r="E129" s="206"/>
      <c r="F129" s="342"/>
      <c r="G129" s="82"/>
      <c r="H129" s="206"/>
      <c r="I129" s="342"/>
      <c r="J129" s="342"/>
      <c r="K129" s="220"/>
      <c r="L129" s="222"/>
      <c r="M129" s="198"/>
    </row>
    <row r="130" spans="1:14">
      <c r="A130" s="118" t="s">
        <v>100</v>
      </c>
      <c r="B130" s="72"/>
      <c r="C130" s="204">
        <f>SUM('[2]Sch 29 Irr Sec'!$C$26:$C$27)</f>
        <v>1955</v>
      </c>
      <c r="D130" s="124">
        <f>'(JAP4)-Tariff Summary'!D64</f>
        <v>8.94</v>
      </c>
      <c r="E130" s="206"/>
      <c r="F130" s="342">
        <f>ROUND(D130*$C130,0)</f>
        <v>17478</v>
      </c>
      <c r="G130" s="124">
        <f>ROUND(D130*(1+$I$138),2)</f>
        <v>9</v>
      </c>
      <c r="H130" s="206"/>
      <c r="I130" s="342">
        <f>ROUND(G130*$C130,0)</f>
        <v>17595</v>
      </c>
      <c r="J130" s="342"/>
      <c r="K130" s="505" t="s">
        <v>92</v>
      </c>
      <c r="L130" s="505"/>
      <c r="M130" s="505"/>
      <c r="N130" s="437"/>
    </row>
    <row r="131" spans="1:14">
      <c r="A131" s="118" t="s">
        <v>101</v>
      </c>
      <c r="B131" s="72"/>
      <c r="C131" s="204">
        <f>SUM('[2]Sch 29 Irr Sec'!$C$28:$C$30)</f>
        <v>4163</v>
      </c>
      <c r="D131" s="124">
        <f>'(JAP4)-Tariff Summary'!D65</f>
        <v>4.4000000000000004</v>
      </c>
      <c r="E131" s="206"/>
      <c r="F131" s="342">
        <f>ROUND(D131*$C131,0)</f>
        <v>18317</v>
      </c>
      <c r="G131" s="124">
        <f>ROUND(D131*(1+$I$138),2)</f>
        <v>4.43</v>
      </c>
      <c r="H131" s="206"/>
      <c r="I131" s="342">
        <f>ROUND(G131*$C131,0)</f>
        <v>18442</v>
      </c>
      <c r="J131" s="342"/>
      <c r="K131" s="505" t="s">
        <v>92</v>
      </c>
      <c r="L131" s="505"/>
      <c r="M131" s="505"/>
      <c r="N131" s="437"/>
    </row>
    <row r="132" spans="1:14">
      <c r="A132" s="119" t="s">
        <v>35</v>
      </c>
      <c r="B132" s="72"/>
      <c r="C132" s="219">
        <f>SUM(C130:C131)</f>
        <v>6118</v>
      </c>
      <c r="D132" s="82"/>
      <c r="E132" s="206"/>
      <c r="F132" s="223">
        <f>SUM(F130:F131)</f>
        <v>35795</v>
      </c>
      <c r="G132" s="82"/>
      <c r="H132" s="206"/>
      <c r="I132" s="223">
        <f>SUM(I130:I131)</f>
        <v>36037</v>
      </c>
      <c r="J132" s="342"/>
      <c r="K132" s="220"/>
      <c r="L132" s="198"/>
      <c r="M132" s="198"/>
    </row>
    <row r="133" spans="1:14">
      <c r="A133" s="72"/>
      <c r="B133" s="72"/>
      <c r="C133" s="216"/>
      <c r="D133" s="216"/>
      <c r="E133" s="206"/>
      <c r="F133" s="64"/>
      <c r="G133" s="216"/>
      <c r="H133" s="206"/>
      <c r="I133" s="64"/>
      <c r="J133" s="64"/>
      <c r="K133" s="220"/>
      <c r="L133" s="198"/>
      <c r="M133" s="198"/>
    </row>
    <row r="134" spans="1:14">
      <c r="A134" s="72" t="s">
        <v>102</v>
      </c>
      <c r="B134" s="72"/>
      <c r="C134" s="204">
        <f>'[2]Sch 29 Irr Sec'!$C$36</f>
        <v>140319</v>
      </c>
      <c r="D134" s="312">
        <f>'(JAP4)-Tariff Summary'!D67</f>
        <v>2.8400000000000001E-3</v>
      </c>
      <c r="E134" s="206"/>
      <c r="F134" s="342">
        <f>ROUND(D134*$C134,0)</f>
        <v>399</v>
      </c>
      <c r="G134" s="312">
        <f>ROUND(D134*(1+$I$138),5)</f>
        <v>2.8600000000000001E-3</v>
      </c>
      <c r="H134" s="206"/>
      <c r="I134" s="342">
        <f>ROUND(G134*$C134,0)</f>
        <v>401</v>
      </c>
      <c r="J134" s="64"/>
      <c r="K134" s="505" t="s">
        <v>92</v>
      </c>
      <c r="L134" s="505"/>
      <c r="M134" s="505"/>
      <c r="N134" s="437"/>
    </row>
    <row r="135" spans="1:14">
      <c r="A135" s="72"/>
      <c r="B135" s="72"/>
      <c r="C135" s="216"/>
      <c r="D135" s="216"/>
      <c r="E135" s="206"/>
      <c r="F135" s="64"/>
      <c r="G135" s="216"/>
      <c r="H135" s="206"/>
      <c r="I135" s="64"/>
      <c r="J135" s="64"/>
      <c r="K135" s="221"/>
      <c r="L135" s="222"/>
      <c r="M135" s="198"/>
    </row>
    <row r="136" spans="1:14" ht="16.5" thickBot="1">
      <c r="A136" s="72" t="s">
        <v>39</v>
      </c>
      <c r="B136" s="72"/>
      <c r="C136" s="216"/>
      <c r="D136" s="216"/>
      <c r="E136" s="206"/>
      <c r="F136" s="212">
        <f>SUM(F118,F128,F132,F134)</f>
        <v>1449515</v>
      </c>
      <c r="G136" s="216"/>
      <c r="H136" s="206"/>
      <c r="I136" s="212">
        <f>SUM(I118,I128,I132,I134)</f>
        <v>1459731</v>
      </c>
      <c r="J136" s="207"/>
      <c r="K136" s="220"/>
      <c r="L136" s="222"/>
      <c r="M136" s="198"/>
    </row>
    <row r="137" spans="1:14" ht="16.5" thickTop="1">
      <c r="A137" s="72"/>
      <c r="B137" s="225"/>
      <c r="C137" s="216"/>
      <c r="D137" s="216"/>
      <c r="E137" s="72"/>
      <c r="F137" s="341">
        <f>'[2]Average Costs'!$E$15</f>
        <v>1449511</v>
      </c>
      <c r="G137" s="216"/>
      <c r="H137" s="72"/>
      <c r="I137" s="341"/>
      <c r="J137" s="341"/>
      <c r="K137" s="221"/>
      <c r="L137" s="222"/>
      <c r="M137" s="198"/>
    </row>
    <row r="138" spans="1:14">
      <c r="A138" s="338" t="s">
        <v>372</v>
      </c>
      <c r="F138" s="343">
        <f>F136-F137</f>
        <v>4</v>
      </c>
      <c r="I138" s="205">
        <f>M47</f>
        <v>7.0708877123104585E-3</v>
      </c>
      <c r="K138" s="221"/>
      <c r="L138" s="222"/>
      <c r="M138" s="198"/>
    </row>
    <row r="139" spans="1:14">
      <c r="K139" s="221"/>
      <c r="L139" s="222"/>
      <c r="M139" s="198"/>
    </row>
    <row r="141" spans="1:14">
      <c r="A141" s="311" t="s">
        <v>782</v>
      </c>
      <c r="C141" s="310"/>
      <c r="D141" s="309">
        <f>ROUND(SUM(F120,F122)/SUM($C$120,$C$122),6)</f>
        <v>6.6193000000000002E-2</v>
      </c>
      <c r="G141" s="309">
        <f>ROUND(SUM(I120,I122)/SUM($C$120,$C$122),6)</f>
        <v>6.6659999999999997E-2</v>
      </c>
    </row>
    <row r="142" spans="1:14">
      <c r="A142" s="311" t="s">
        <v>783</v>
      </c>
      <c r="C142" s="310"/>
      <c r="D142" s="309">
        <f>ROUND(SUM(F121,F123)/SUM($C$121,$C$123),6)</f>
        <v>5.4206999999999998E-2</v>
      </c>
      <c r="G142" s="309">
        <f>ROUND(SUM(I121,I123)/SUM($C$121,$C$123),6)</f>
        <v>5.4588999999999999E-2</v>
      </c>
    </row>
    <row r="143" spans="1:14">
      <c r="A143" s="311" t="s">
        <v>781</v>
      </c>
      <c r="C143" s="310"/>
      <c r="D143" s="365">
        <f>ROUND(SUM(F132)/SUM($C$132),2)</f>
        <v>5.85</v>
      </c>
      <c r="G143" s="365">
        <f>ROUND(SUM(I132)/SUM($C$132),2)</f>
        <v>5.89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5" header="0.3" footer="0.3"/>
  <pageSetup scale="62" fitToHeight="0" orientation="landscape" r:id="rId1"/>
  <headerFooter alignWithMargins="0">
    <oddFooter>&amp;L&amp;F
&amp;A&amp;R2018 ERF Rate Design Workpapers
Page &amp;P of &amp;N</oddFooter>
  </headerFooter>
  <rowBreaks count="4" manualBreakCount="4">
    <brk id="27" max="12" man="1"/>
    <brk id="61" max="12" man="1"/>
    <brk id="82" max="12" man="1"/>
    <brk id="11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180900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EB823A-B1E7-4D47-AC75-669E2B0D16F9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84D7C1-27AD-4033-84C3-789A2EADD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23</vt:i4>
      </vt:variant>
    </vt:vector>
  </HeadingPairs>
  <TitlesOfParts>
    <vt:vector size="38" baseType="lpstr">
      <vt:lpstr>Tariff Charge Summary===&gt;</vt:lpstr>
      <vt:lpstr>(JAP4)-Tariff Summary</vt:lpstr>
      <vt:lpstr>(JAP4)-Light Tariff Summary</vt:lpstr>
      <vt:lpstr>Rate Spread-Design====&gt;</vt:lpstr>
      <vt:lpstr>(JAP4) Rate Spread</vt:lpstr>
      <vt:lpstr>(JAP4) Rate Des Summary</vt:lpstr>
      <vt:lpstr>(JAP4) Proposed ERF Rev</vt:lpstr>
      <vt:lpstr>(JAP4) Res RD</vt:lpstr>
      <vt:lpstr>(JAP4) SecVolt RD</vt:lpstr>
      <vt:lpstr>(JAP4) PriVolt RD</vt:lpstr>
      <vt:lpstr>(JAP4) CAMP RD</vt:lpstr>
      <vt:lpstr>(JAP4) HighVolt RD</vt:lpstr>
      <vt:lpstr>(JAP4) TRANSP RD</vt:lpstr>
      <vt:lpstr>(JAP4) LIGHT Sum</vt:lpstr>
      <vt:lpstr>(JAP4) LIGHT RD</vt:lpstr>
      <vt:lpstr>'(JAP4) CAMP RD'!Print_Area</vt:lpstr>
      <vt:lpstr>'(JAP4) HighVolt RD'!Print_Area</vt:lpstr>
      <vt:lpstr>'(JAP4) LIGHT RD'!Print_Area</vt:lpstr>
      <vt:lpstr>'(JAP4) LIGHT Sum'!Print_Area</vt:lpstr>
      <vt:lpstr>'(JAP4) PriVolt RD'!Print_Area</vt:lpstr>
      <vt:lpstr>'(JAP4) Proposed ERF Rev'!Print_Area</vt:lpstr>
      <vt:lpstr>'(JAP4) Rate Spread'!Print_Area</vt:lpstr>
      <vt:lpstr>'(JAP4) Res RD'!Print_Area</vt:lpstr>
      <vt:lpstr>'(JAP4) SecVolt RD'!Print_Area</vt:lpstr>
      <vt:lpstr>'(JAP4) TRANSP RD'!Print_Area</vt:lpstr>
      <vt:lpstr>'(JAP4)-Light Tariff Summary'!Print_Area</vt:lpstr>
      <vt:lpstr>'(JAP4)-Tariff Summary'!Print_Area</vt:lpstr>
      <vt:lpstr>'(JAP4) CAMP RD'!Print_Titles</vt:lpstr>
      <vt:lpstr>'(JAP4) HighVolt RD'!Print_Titles</vt:lpstr>
      <vt:lpstr>'(JAP4) LIGHT RD'!Print_Titles</vt:lpstr>
      <vt:lpstr>'(JAP4) LIGHT Sum'!Print_Titles</vt:lpstr>
      <vt:lpstr>'(JAP4) PriVolt RD'!Print_Titles</vt:lpstr>
      <vt:lpstr>'(JAP4) Res RD'!Print_Titles</vt:lpstr>
      <vt:lpstr>'(JAP4) SecVolt RD'!Print_Titles</vt:lpstr>
      <vt:lpstr>'(JAP4) TRANSP RD'!Print_Titles</vt:lpstr>
      <vt:lpstr>'(JAP4)-Light Tariff Summary'!Print_Titles</vt:lpstr>
      <vt:lpstr>'(JAP4)-Tariff Summary'!Print_Titles</vt:lpstr>
      <vt:lpstr>'(JAP4) Proposed ERF Rev'!TABLEA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NC</cp:lastModifiedBy>
  <cp:lastPrinted>2018-10-23T17:51:37Z</cp:lastPrinted>
  <dcterms:created xsi:type="dcterms:W3CDTF">2016-04-04T22:09:28Z</dcterms:created>
  <dcterms:modified xsi:type="dcterms:W3CDTF">2018-11-05T22:39:10Z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