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drawings/drawing7.xml" ContentType="application/vnd.openxmlformats-officedocument.drawing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/colors2.xml" ContentType="application/vnd.ms-office.chartcolorstyle+xml"/>
  <Override PartName="/xl/charts/chart3.xml" ContentType="application/vnd.openxmlformats-officedocument.drawingml.char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charts/style3.xml" ContentType="application/vnd.ms-office.chartstyle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charts/style2.xml" ContentType="application/vnd.ms-office.chartstyle+xml"/>
  <Override PartName="/xl/worksheets/sheet26.xml" ContentType="application/vnd.openxmlformats-officedocument.spreadsheetml.worksheet+xml"/>
  <Override PartName="/xl/charts/colors3.xml" ContentType="application/vnd.ms-office.chartcolorstyle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charts/colors4.xml" ContentType="application/vnd.ms-office.chartcolorstyl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charts/style4.xml" ContentType="application/vnd.ms-office.chartstyle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charts/chart5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0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01m107\c01m107\2016\2016_WA_Elec_and_Gas_GRC\Direct Testimony &amp; Exhibits\Andrews\"/>
    </mc:Choice>
  </mc:AlternateContent>
  <bookViews>
    <workbookView xWindow="-15" yWindow="-15" windowWidth="11610" windowHeight="8445" tabRatio="819" firstSheet="1" activeTab="1"/>
  </bookViews>
  <sheets>
    <sheet name="Plant Trends" sheetId="147" state="hidden" r:id="rId1"/>
    <sheet name="Summary" sheetId="126" r:id="rId2"/>
    <sheet name="ROR" sheetId="110" r:id="rId3"/>
    <sheet name="Attrition 09.2015 to 2017" sheetId="120" r:id="rId4"/>
    <sheet name="Cost Trends" sheetId="122" r:id="rId5"/>
    <sheet name="Net Plant" sheetId="144" r:id="rId6"/>
    <sheet name="Dep-Amort" sheetId="142" r:id="rId7"/>
    <sheet name="Adj Taxes" sheetId="143" r:id="rId8"/>
    <sheet name="Adj Operating Exp-2007-2015" sheetId="157" r:id="rId9"/>
    <sheet name="Weighted Revenue Growth" sheetId="87" r:id="rId10"/>
    <sheet name="Other Revenue" sheetId="145" r:id="rId11"/>
    <sheet name="09.2015 Rev Model" sheetId="155" r:id="rId12"/>
    <sheet name="2017-18 Forecast Billing Determ" sheetId="156" r:id="rId13"/>
    <sheet name="09.2015 CB Power Supply" sheetId="135" r:id="rId14"/>
    <sheet name="456 Revenue" sheetId="140" state="hidden" r:id="rId15"/>
    <sheet name="incremental load expense" sheetId="103" r:id="rId16"/>
    <sheet name="CS2-Colstrip 2016 Incrmntl Exp" sheetId="141" state="hidden" r:id="rId17"/>
    <sheet name="PF Power Supply 09.2015 load" sheetId="78" r:id="rId18"/>
    <sheet name="PF Power Supply 2017 load" sheetId="139" r:id="rId19"/>
    <sheet name="Reg Amorts" sheetId="129" r:id="rId20"/>
    <sheet name="DSM" sheetId="91" state="hidden" r:id="rId21"/>
    <sheet name="ResX" sheetId="94" r:id="rId22"/>
    <sheet name="CBR Hist" sheetId="133" r:id="rId23"/>
    <sheet name="PS Consolidated" sheetId="134" r:id="rId24"/>
    <sheet name="Other Rev" sheetId="130" r:id="rId25"/>
    <sheet name="Sheet1" sheetId="138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2" hidden="1">'2017-18 Forecast Billing Determ'!$A$2:$D$59</definedName>
    <definedName name="Actuals_Mo">[1]Tables!$B$19</definedName>
    <definedName name="Base1_Billing2" localSheetId="13">#REF!</definedName>
    <definedName name="Base1_Billing2" localSheetId="11">'09.2015 Rev Model'!$N$8</definedName>
    <definedName name="Base1_Billing2" localSheetId="12">#REF!</definedName>
    <definedName name="Base1_Billing2" localSheetId="8">#REF!</definedName>
    <definedName name="Base1_Billing2" localSheetId="22">#REF!</definedName>
    <definedName name="Base1_Billing2" localSheetId="18">#REF!</definedName>
    <definedName name="Base1_Billing2" localSheetId="23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1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11">#REF!</definedName>
    <definedName name="ID" localSheetId="12">#REF!</definedName>
    <definedName name="ID" localSheetId="8">#REF!</definedName>
    <definedName name="ID" localSheetId="18">#REF!</definedName>
    <definedName name="ID">#REF!</definedName>
    <definedName name="ID_001b" localSheetId="13">#REF!</definedName>
    <definedName name="ID_001b" localSheetId="11">#REF!</definedName>
    <definedName name="ID_001b" localSheetId="12">#REF!</definedName>
    <definedName name="ID_001b" localSheetId="8">#REF!</definedName>
    <definedName name="ID_001b" localSheetId="22">#REF!</definedName>
    <definedName name="ID_001b" localSheetId="18">#REF!</definedName>
    <definedName name="ID_001b" localSheetId="23">#REF!</definedName>
    <definedName name="ID_001b">#REF!</definedName>
    <definedName name="ID_011b" localSheetId="13">#REF!</definedName>
    <definedName name="ID_011b" localSheetId="11">#REF!</definedName>
    <definedName name="ID_011b" localSheetId="12">#REF!</definedName>
    <definedName name="ID_011b" localSheetId="8">#REF!</definedName>
    <definedName name="ID_011b" localSheetId="22">#REF!</definedName>
    <definedName name="ID_011b" localSheetId="18">#REF!</definedName>
    <definedName name="ID_011b" localSheetId="23">#REF!</definedName>
    <definedName name="ID_011b">#REF!</definedName>
    <definedName name="ID_012b" localSheetId="13">#REF!</definedName>
    <definedName name="ID_012b" localSheetId="8">#REF!</definedName>
    <definedName name="ID_012b" localSheetId="22">#REF!</definedName>
    <definedName name="ID_012b" localSheetId="18">#REF!</definedName>
    <definedName name="ID_012b" localSheetId="23">#REF!</definedName>
    <definedName name="ID_012b">#REF!</definedName>
    <definedName name="ID_021b" localSheetId="13">#REF!</definedName>
    <definedName name="ID_021b" localSheetId="8">#REF!</definedName>
    <definedName name="ID_021b" localSheetId="22">#REF!</definedName>
    <definedName name="ID_021b" localSheetId="18">#REF!</definedName>
    <definedName name="ID_021b" localSheetId="23">#REF!</definedName>
    <definedName name="ID_021b">#REF!</definedName>
    <definedName name="ID_Gas" localSheetId="13">'[5]DEBT CALC'!#REF!</definedName>
    <definedName name="ID_Gas" localSheetId="11">'[5]DEBT CALC'!#REF!</definedName>
    <definedName name="ID_Gas" localSheetId="12">'[5]DEBT CALC'!#REF!</definedName>
    <definedName name="ID_Gas" localSheetId="8">'[5]DEBT CALC'!#REF!</definedName>
    <definedName name="ID_Gas" localSheetId="3">'[5]DEBT CALC'!#REF!</definedName>
    <definedName name="ID_Gas" localSheetId="22">'[5]DEBT CALC'!#REF!</definedName>
    <definedName name="ID_Gas" localSheetId="4">'[5]DEBT CALC'!#REF!</definedName>
    <definedName name="ID_Gas" localSheetId="18">'[5]DEBT CALC'!#REF!</definedName>
    <definedName name="ID_Gas" localSheetId="23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3">'09.2015 CB Power Supply'!$A$1:$H$46</definedName>
    <definedName name="_xlnm.Print_Area" localSheetId="11">'09.2015 Rev Model'!$A$1:$I$295</definedName>
    <definedName name="_xlnm.Print_Area" localSheetId="12">'2017-18 Forecast Billing Determ'!$A$1:$D$59</definedName>
    <definedName name="_xlnm.Print_Area" localSheetId="8">'Adj Operating Exp-2007-2015'!$A$1:$J$30</definedName>
    <definedName name="_xlnm.Print_Area" localSheetId="7">'Adj Taxes'!$A$1:$J$30</definedName>
    <definedName name="_xlnm.Print_Area" localSheetId="3">'Attrition 09.2015 to 2017'!$A$1:$V$92</definedName>
    <definedName name="_xlnm.Print_Area" localSheetId="22">'CBR Hist'!$A$1:$U$79</definedName>
    <definedName name="_xlnm.Print_Area" localSheetId="4">'Cost Trends'!$A$1:$U$142</definedName>
    <definedName name="_xlnm.Print_Area" localSheetId="6">'Dep-Amort'!$A$1:$J$30</definedName>
    <definedName name="_xlnm.Print_Area" localSheetId="15">'incremental load expense'!$A$1:$J$53</definedName>
    <definedName name="_xlnm.Print_Area" localSheetId="5">'Net Plant'!$A$1:$J$30</definedName>
    <definedName name="_xlnm.Print_Area" localSheetId="10">'Other Revenue'!$A$1:$G$27</definedName>
    <definedName name="_xlnm.Print_Area" localSheetId="18">'PF Power Supply 2017 load'!$A$1:$H$41</definedName>
    <definedName name="_xlnm.Print_Area" localSheetId="2">ROR!$A$1:$L$26</definedName>
    <definedName name="_xlnm.Print_Area" localSheetId="1">Summary!$A$1:$H$37</definedName>
    <definedName name="Print_for_Checking" localSheetId="13">'[5]ADJ SUMMARY'!#REF!:'[5]ADJ SUMMARY'!#REF!</definedName>
    <definedName name="Print_for_Checking" localSheetId="11">'[5]ADJ SUMMARY'!#REF!:'[5]ADJ SUMMARY'!#REF!</definedName>
    <definedName name="Print_for_Checking" localSheetId="12">'[5]ADJ SUMMARY'!#REF!:'[5]ADJ SUMMARY'!#REF!</definedName>
    <definedName name="Print_for_Checking" localSheetId="8">'[5]ADJ SUMMARY'!#REF!:'[5]ADJ SUMMARY'!#REF!</definedName>
    <definedName name="Print_for_Checking" localSheetId="3">'[5]ADJ SUMMARY'!#REF!:'[5]ADJ SUMMARY'!#REF!</definedName>
    <definedName name="Print_for_Checking" localSheetId="22">'[5]ADJ SUMMARY'!#REF!:'[5]ADJ SUMMARY'!#REF!</definedName>
    <definedName name="Print_for_Checking" localSheetId="4">'[5]ADJ SUMMARY'!#REF!:'[5]ADJ SUMMARY'!#REF!</definedName>
    <definedName name="Print_for_Checking" localSheetId="18">'[5]ADJ SUMMARY'!#REF!:'[5]ADJ SUMMARY'!#REF!</definedName>
    <definedName name="Print_for_Checking" localSheetId="23">'[5]ADJ SUMMARY'!#REF!:'[5]ADJ SUMMARY'!#REF!</definedName>
    <definedName name="Print_for_Checking">'[5]ADJ SUMMARY'!#REF!:'[5]ADJ SUMMARY'!#REF!</definedName>
    <definedName name="_xlnm.Print_Titles" localSheetId="22">'CBR Hist'!$A:$D,'CBR Hist'!$1:$9</definedName>
    <definedName name="_xlnm.Print_Titles" localSheetId="4">'Cost Trends'!$2:$2</definedName>
    <definedName name="PrintHeader" localSheetId="11">'09.2015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1">'[3]St Lts'!$AD$1</definedName>
    <definedName name="SL_RateIncr">'[4]St Lts'!$AD$1</definedName>
    <definedName name="StartMo">[1]Tables!$B$13</definedName>
    <definedName name="Summary" localSheetId="13">#REF!</definedName>
    <definedName name="Summary" localSheetId="11">#REF!</definedName>
    <definedName name="Summary" localSheetId="12">#REF!</definedName>
    <definedName name="Summary" localSheetId="8">#REF!</definedName>
    <definedName name="Summary" localSheetId="3">#REF!</definedName>
    <definedName name="Summary" localSheetId="22">#REF!</definedName>
    <definedName name="Summary" localSheetId="4">#REF!</definedName>
    <definedName name="Summary" localSheetId="18">#REF!</definedName>
    <definedName name="Summary" localSheetId="23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3">#REF!</definedName>
    <definedName name="WA_001b" localSheetId="11">#REF!</definedName>
    <definedName name="WA_001b" localSheetId="12">#REF!</definedName>
    <definedName name="WA_001b" localSheetId="8">#REF!</definedName>
    <definedName name="WA_001b" localSheetId="22">#REF!</definedName>
    <definedName name="WA_001b" localSheetId="18">#REF!</definedName>
    <definedName name="WA_001b" localSheetId="23">#REF!</definedName>
    <definedName name="WA_001b">#REF!</definedName>
    <definedName name="WA_011b" localSheetId="13">#REF!</definedName>
    <definedName name="WA_011b" localSheetId="11">#REF!</definedName>
    <definedName name="WA_011b" localSheetId="12">#REF!</definedName>
    <definedName name="WA_011b" localSheetId="8">#REF!</definedName>
    <definedName name="WA_011b" localSheetId="22">#REF!</definedName>
    <definedName name="WA_011b" localSheetId="18">#REF!</definedName>
    <definedName name="WA_011b" localSheetId="23">#REF!</definedName>
    <definedName name="WA_011b">#REF!</definedName>
    <definedName name="WA_012b" localSheetId="13">#REF!</definedName>
    <definedName name="WA_012b" localSheetId="11">#REF!</definedName>
    <definedName name="WA_012b" localSheetId="12">#REF!</definedName>
    <definedName name="WA_012b" localSheetId="8">#REF!</definedName>
    <definedName name="WA_012b" localSheetId="22">#REF!</definedName>
    <definedName name="WA_012b" localSheetId="18">#REF!</definedName>
    <definedName name="WA_012b" localSheetId="23">#REF!</definedName>
    <definedName name="WA_012b">#REF!</definedName>
    <definedName name="WA_021b" localSheetId="13">#REF!</definedName>
    <definedName name="WA_021b" localSheetId="8">#REF!</definedName>
    <definedName name="WA_021b" localSheetId="22">#REF!</definedName>
    <definedName name="WA_021b" localSheetId="18">#REF!</definedName>
    <definedName name="WA_021b" localSheetId="23">#REF!</definedName>
    <definedName name="WA_021b">#REF!</definedName>
    <definedName name="WA_Gas" localSheetId="13">'[5]DEBT CALC'!#REF!</definedName>
    <definedName name="WA_Gas" localSheetId="11">'[5]DEBT CALC'!#REF!</definedName>
    <definedName name="WA_Gas" localSheetId="12">'[5]DEBT CALC'!#REF!</definedName>
    <definedName name="WA_Gas" localSheetId="8">'[5]DEBT CALC'!#REF!</definedName>
    <definedName name="WA_Gas" localSheetId="3">'[5]DEBT CALC'!#REF!</definedName>
    <definedName name="WA_Gas" localSheetId="22">'[5]DEBT CALC'!#REF!</definedName>
    <definedName name="WA_Gas" localSheetId="4">'[5]DEBT CALC'!#REF!</definedName>
    <definedName name="WA_Gas" localSheetId="16">'[5]DEBT CALC'!#REF!</definedName>
    <definedName name="WA_Gas" localSheetId="18">'[5]DEBT CALC'!#REF!</definedName>
    <definedName name="WA_Gas" localSheetId="23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2" hidden="1">'CBR Hist'!#REF!,'CBR Hist'!$E:$E</definedName>
    <definedName name="Z_6E1B8C45_B07F_11D2_B0DC_0000832CDFF0_.wvu.PrintArea" localSheetId="22" hidden="1">'CBR Hist'!$E:$E</definedName>
    <definedName name="Z_6E1B8C45_B07F_11D2_B0DC_0000832CDFF0_.wvu.PrintTitles" localSheetId="22" hidden="1">'CBR Hist'!$A:$D,'CBR Hist'!$1:$9</definedName>
    <definedName name="Z_A15D1962_B049_11D2_8670_0000832CEEE8_.wvu.Cols" localSheetId="22" hidden="1">'CBR Hist'!$E:$E</definedName>
  </definedNames>
  <calcPr calcId="152511"/>
</workbook>
</file>

<file path=xl/calcChain.xml><?xml version="1.0" encoding="utf-8"?>
<calcChain xmlns="http://schemas.openxmlformats.org/spreadsheetml/2006/main">
  <c r="U75" i="120" l="1"/>
  <c r="T75" i="120"/>
  <c r="O75" i="120"/>
  <c r="T47" i="120"/>
  <c r="U47" i="120"/>
  <c r="H47" i="120"/>
  <c r="I47" i="120"/>
  <c r="H46" i="120"/>
  <c r="V46" i="120" l="1"/>
  <c r="U46" i="120"/>
  <c r="T46" i="120"/>
  <c r="Y38" i="120" l="1"/>
  <c r="Y28" i="120"/>
  <c r="Y21" i="120"/>
  <c r="Y10" i="120"/>
  <c r="Y12" i="120" s="1"/>
  <c r="U74" i="120"/>
  <c r="T18" i="120"/>
  <c r="T70" i="120"/>
  <c r="T63" i="120"/>
  <c r="T10" i="120"/>
  <c r="T12" i="120" s="1"/>
  <c r="T28" i="120"/>
  <c r="T38" i="120"/>
  <c r="Y39" i="120" l="1"/>
  <c r="Y41" i="120" s="1"/>
  <c r="Y54" i="120" s="1"/>
  <c r="T72" i="120"/>
  <c r="T79" i="120" s="1"/>
  <c r="T50" i="120" s="1"/>
  <c r="T21" i="120"/>
  <c r="T39" i="120" s="1"/>
  <c r="T41" i="120" s="1"/>
  <c r="T49" i="120" s="1"/>
  <c r="T54" i="120" l="1"/>
  <c r="T50" i="142" l="1"/>
  <c r="T50" i="143"/>
  <c r="U79" i="142" l="1"/>
  <c r="U39" i="157"/>
  <c r="Y70" i="120"/>
  <c r="Y72" i="120" s="1"/>
  <c r="Y75" i="120" s="1"/>
  <c r="Y63" i="120"/>
  <c r="Z13" i="120"/>
  <c r="Z14" i="120"/>
  <c r="Z15" i="120"/>
  <c r="Z22" i="120"/>
  <c r="Z23" i="120"/>
  <c r="Z29" i="120"/>
  <c r="Z33" i="120"/>
  <c r="Z34" i="120"/>
  <c r="Z40" i="120"/>
  <c r="U49" i="142"/>
  <c r="Y79" i="120" l="1"/>
  <c r="E76" i="120"/>
  <c r="H26" i="120" l="1"/>
  <c r="I62" i="120"/>
  <c r="G16" i="120" l="1"/>
  <c r="V78" i="120" l="1"/>
  <c r="U38" i="120"/>
  <c r="U28" i="120"/>
  <c r="U21" i="120"/>
  <c r="U39" i="120" l="1"/>
  <c r="D14" i="139"/>
  <c r="D14" i="78"/>
  <c r="A35" i="120"/>
  <c r="A36" i="120" s="1"/>
  <c r="A37" i="120" s="1"/>
  <c r="A38" i="120" s="1"/>
  <c r="A39" i="120" s="1"/>
  <c r="A41" i="120" s="1"/>
  <c r="A30" i="120"/>
  <c r="K26" i="120"/>
  <c r="P26" i="120" s="1"/>
  <c r="V26" i="120" s="1"/>
  <c r="H25" i="120"/>
  <c r="H28" i="120" s="1"/>
  <c r="F28" i="120"/>
  <c r="G28" i="120"/>
  <c r="I12" i="120"/>
  <c r="E37" i="120"/>
  <c r="H63" i="120"/>
  <c r="H70" i="120"/>
  <c r="H38" i="120"/>
  <c r="H21" i="120"/>
  <c r="H12" i="120"/>
  <c r="G19" i="120"/>
  <c r="H72" i="120" l="1"/>
  <c r="H75" i="120" s="1"/>
  <c r="H79" i="120" s="1"/>
  <c r="H50" i="120" s="1"/>
  <c r="H39" i="120"/>
  <c r="H41" i="120" s="1"/>
  <c r="G46" i="120"/>
  <c r="G35" i="120"/>
  <c r="I61" i="120"/>
  <c r="I59" i="120"/>
  <c r="I36" i="120"/>
  <c r="I18" i="120"/>
  <c r="F22" i="139"/>
  <c r="F26" i="139"/>
  <c r="H20" i="87"/>
  <c r="H8" i="87"/>
  <c r="H7" i="87"/>
  <c r="F10" i="87"/>
  <c r="F18" i="87"/>
  <c r="E22" i="87"/>
  <c r="E21" i="87"/>
  <c r="E20" i="87"/>
  <c r="E11" i="87"/>
  <c r="E10" i="87"/>
  <c r="E9" i="87"/>
  <c r="E8" i="87"/>
  <c r="E7" i="87"/>
  <c r="AF94" i="156"/>
  <c r="AF102" i="156" s="1"/>
  <c r="AF104" i="156" s="1"/>
  <c r="AE94" i="156"/>
  <c r="AE102" i="156" s="1"/>
  <c r="AE104" i="156" s="1"/>
  <c r="AD94" i="156"/>
  <c r="AD102" i="156" s="1"/>
  <c r="AD104" i="156" s="1"/>
  <c r="AC94" i="156"/>
  <c r="AC102" i="156" s="1"/>
  <c r="AC104" i="156" s="1"/>
  <c r="AB94" i="156"/>
  <c r="AB102" i="156" s="1"/>
  <c r="AB104" i="156" s="1"/>
  <c r="AA94" i="156"/>
  <c r="AA102" i="156" s="1"/>
  <c r="AA104" i="156" s="1"/>
  <c r="Z94" i="156"/>
  <c r="Z102" i="156" s="1"/>
  <c r="Z104" i="156" s="1"/>
  <c r="Y94" i="156"/>
  <c r="Y102" i="156" s="1"/>
  <c r="Y104" i="156" s="1"/>
  <c r="X94" i="156"/>
  <c r="X102" i="156" s="1"/>
  <c r="X104" i="156" s="1"/>
  <c r="W94" i="156"/>
  <c r="W102" i="156" s="1"/>
  <c r="W104" i="156" s="1"/>
  <c r="V94" i="156"/>
  <c r="V102" i="156" s="1"/>
  <c r="V104" i="156" s="1"/>
  <c r="U94" i="156"/>
  <c r="U102" i="156" s="1"/>
  <c r="U104" i="156" s="1"/>
  <c r="T94" i="156"/>
  <c r="T102" i="156" s="1"/>
  <c r="T104" i="156" s="1"/>
  <c r="S94" i="156"/>
  <c r="S102" i="156" s="1"/>
  <c r="S104" i="156" s="1"/>
  <c r="R94" i="156"/>
  <c r="R102" i="156" s="1"/>
  <c r="R104" i="156" s="1"/>
  <c r="Q94" i="156"/>
  <c r="Q102" i="156" s="1"/>
  <c r="Q104" i="156" s="1"/>
  <c r="P94" i="156"/>
  <c r="P102" i="156" s="1"/>
  <c r="P104" i="156" s="1"/>
  <c r="O94" i="156"/>
  <c r="O102" i="156" s="1"/>
  <c r="O104" i="156" s="1"/>
  <c r="N94" i="156"/>
  <c r="N102" i="156" s="1"/>
  <c r="N104" i="156" s="1"/>
  <c r="M94" i="156"/>
  <c r="M102" i="156" s="1"/>
  <c r="M104" i="156" s="1"/>
  <c r="L94" i="156"/>
  <c r="L102" i="156" s="1"/>
  <c r="L104" i="156" s="1"/>
  <c r="K94" i="156"/>
  <c r="K102" i="156" s="1"/>
  <c r="K104" i="156" s="1"/>
  <c r="J94" i="156"/>
  <c r="J102" i="156" s="1"/>
  <c r="J104" i="156" s="1"/>
  <c r="I94" i="156"/>
  <c r="I102" i="156" s="1"/>
  <c r="I104" i="156" s="1"/>
  <c r="AF92" i="156"/>
  <c r="AE92" i="156"/>
  <c r="AD92" i="156"/>
  <c r="AC92" i="156"/>
  <c r="AB92" i="156"/>
  <c r="AA92" i="156"/>
  <c r="Z92" i="156"/>
  <c r="Y92" i="156"/>
  <c r="X92" i="156"/>
  <c r="W92" i="156"/>
  <c r="V92" i="156"/>
  <c r="U92" i="156"/>
  <c r="T92" i="156"/>
  <c r="S92" i="156"/>
  <c r="R92" i="156"/>
  <c r="Q92" i="156"/>
  <c r="P92" i="156"/>
  <c r="O92" i="156"/>
  <c r="N92" i="156"/>
  <c r="M92" i="156"/>
  <c r="L92" i="156"/>
  <c r="K92" i="156"/>
  <c r="J92" i="156"/>
  <c r="I92" i="156"/>
  <c r="AF91" i="156"/>
  <c r="AE91" i="156"/>
  <c r="AD91" i="156"/>
  <c r="AC91" i="156"/>
  <c r="AB91" i="156"/>
  <c r="AA91" i="156"/>
  <c r="Z91" i="156"/>
  <c r="Y91" i="156"/>
  <c r="X91" i="156"/>
  <c r="W91" i="156"/>
  <c r="V91" i="156"/>
  <c r="U91" i="156"/>
  <c r="T91" i="156"/>
  <c r="S91" i="156"/>
  <c r="R91" i="156"/>
  <c r="Q91" i="156"/>
  <c r="P91" i="156"/>
  <c r="O91" i="156"/>
  <c r="N91" i="156"/>
  <c r="M91" i="156"/>
  <c r="L91" i="156"/>
  <c r="K91" i="156"/>
  <c r="J91" i="156"/>
  <c r="I91" i="156"/>
  <c r="D88" i="156"/>
  <c r="C88" i="156"/>
  <c r="D87" i="156"/>
  <c r="C87" i="156"/>
  <c r="D86" i="156"/>
  <c r="C86" i="156"/>
  <c r="D85" i="156"/>
  <c r="C85" i="156"/>
  <c r="D84" i="156"/>
  <c r="C84" i="156"/>
  <c r="D83" i="156"/>
  <c r="C83" i="156"/>
  <c r="D82" i="156"/>
  <c r="C82" i="156"/>
  <c r="D81" i="156"/>
  <c r="C81" i="156"/>
  <c r="D80" i="156"/>
  <c r="C80" i="156"/>
  <c r="D79" i="156"/>
  <c r="C79" i="156"/>
  <c r="C92" i="156" s="1"/>
  <c r="D78" i="156"/>
  <c r="C78" i="156"/>
  <c r="D77" i="156"/>
  <c r="C77" i="156"/>
  <c r="D76" i="156"/>
  <c r="C76" i="156"/>
  <c r="F17" i="87" s="1"/>
  <c r="D75" i="156"/>
  <c r="C75" i="156"/>
  <c r="D74" i="156"/>
  <c r="C74" i="156"/>
  <c r="F16" i="87" s="1"/>
  <c r="D73" i="156"/>
  <c r="C73" i="156"/>
  <c r="F15" i="87" s="1"/>
  <c r="D72" i="156"/>
  <c r="C72" i="156"/>
  <c r="D71" i="156"/>
  <c r="C71" i="156"/>
  <c r="F14" i="87" s="1"/>
  <c r="D70" i="156"/>
  <c r="C70" i="156"/>
  <c r="D69" i="156"/>
  <c r="C69" i="156"/>
  <c r="C94" i="156" s="1"/>
  <c r="B94" i="156" s="1"/>
  <c r="AF59" i="156"/>
  <c r="AE59" i="156"/>
  <c r="AD59" i="156"/>
  <c r="AC59" i="156"/>
  <c r="AB59" i="156"/>
  <c r="AA59" i="156"/>
  <c r="Z59" i="156"/>
  <c r="Y59" i="156"/>
  <c r="X59" i="156"/>
  <c r="W59" i="156"/>
  <c r="V59" i="156"/>
  <c r="U59" i="156"/>
  <c r="T59" i="156"/>
  <c r="S59" i="156"/>
  <c r="R59" i="156"/>
  <c r="Q59" i="156"/>
  <c r="P59" i="156"/>
  <c r="O59" i="156"/>
  <c r="N59" i="156"/>
  <c r="M59" i="156"/>
  <c r="L59" i="156"/>
  <c r="K59" i="156"/>
  <c r="J59" i="156"/>
  <c r="I59" i="156"/>
  <c r="AF57" i="156"/>
  <c r="AE57" i="156"/>
  <c r="AD57" i="156"/>
  <c r="AC57" i="156"/>
  <c r="AB57" i="156"/>
  <c r="AA57" i="156"/>
  <c r="Z57" i="156"/>
  <c r="Y57" i="156"/>
  <c r="X57" i="156"/>
  <c r="W57" i="156"/>
  <c r="V57" i="156"/>
  <c r="U57" i="156"/>
  <c r="T57" i="156"/>
  <c r="S57" i="156"/>
  <c r="R57" i="156"/>
  <c r="Q57" i="156"/>
  <c r="P57" i="156"/>
  <c r="O57" i="156"/>
  <c r="N57" i="156"/>
  <c r="M57" i="156"/>
  <c r="L57" i="156"/>
  <c r="K57" i="156"/>
  <c r="J57" i="156"/>
  <c r="I57" i="156"/>
  <c r="AF56" i="156"/>
  <c r="AE56" i="156"/>
  <c r="AD56" i="156"/>
  <c r="AC56" i="156"/>
  <c r="AB56" i="156"/>
  <c r="AA56" i="156"/>
  <c r="Z56" i="156"/>
  <c r="Y56" i="156"/>
  <c r="X56" i="156"/>
  <c r="W56" i="156"/>
  <c r="V56" i="156"/>
  <c r="U56" i="156"/>
  <c r="T56" i="156"/>
  <c r="S56" i="156"/>
  <c r="R56" i="156"/>
  <c r="Q56" i="156"/>
  <c r="P56" i="156"/>
  <c r="O56" i="156"/>
  <c r="N56" i="156"/>
  <c r="M56" i="156"/>
  <c r="L56" i="156"/>
  <c r="K56" i="156"/>
  <c r="J56" i="156"/>
  <c r="I56" i="156"/>
  <c r="D52" i="156"/>
  <c r="C52" i="156"/>
  <c r="D51" i="156"/>
  <c r="C51" i="156"/>
  <c r="D50" i="156"/>
  <c r="C50" i="156"/>
  <c r="D49" i="156"/>
  <c r="C49" i="156"/>
  <c r="D48" i="156"/>
  <c r="C48" i="156"/>
  <c r="D47" i="156"/>
  <c r="D57" i="156" s="1"/>
  <c r="C47" i="156"/>
  <c r="C57" i="156" s="1"/>
  <c r="D46" i="156"/>
  <c r="C46" i="156"/>
  <c r="F22" i="87" s="1"/>
  <c r="D45" i="156"/>
  <c r="C45" i="156"/>
  <c r="D44" i="156"/>
  <c r="C44" i="156"/>
  <c r="F21" i="87" s="1"/>
  <c r="D43" i="156"/>
  <c r="D56" i="156" s="1"/>
  <c r="C43" i="156"/>
  <c r="C59" i="156" s="1"/>
  <c r="D42" i="156"/>
  <c r="C42" i="156"/>
  <c r="D35" i="156"/>
  <c r="C35" i="156"/>
  <c r="AF31" i="156"/>
  <c r="AE31" i="156"/>
  <c r="AD31" i="156"/>
  <c r="AC31" i="156"/>
  <c r="AB31" i="156"/>
  <c r="AA31" i="156"/>
  <c r="Z31" i="156"/>
  <c r="Y31" i="156"/>
  <c r="X31" i="156"/>
  <c r="W31" i="156"/>
  <c r="V31" i="156"/>
  <c r="U31" i="156"/>
  <c r="T31" i="156"/>
  <c r="S31" i="156"/>
  <c r="R31" i="156"/>
  <c r="Q31" i="156"/>
  <c r="P31" i="156"/>
  <c r="O31" i="156"/>
  <c r="N31" i="156"/>
  <c r="M31" i="156"/>
  <c r="L31" i="156"/>
  <c r="K31" i="156"/>
  <c r="J31" i="156"/>
  <c r="I31" i="156"/>
  <c r="AF29" i="156"/>
  <c r="AE29" i="156"/>
  <c r="AD29" i="156"/>
  <c r="AC29" i="156"/>
  <c r="AB29" i="156"/>
  <c r="AA29" i="156"/>
  <c r="Z29" i="156"/>
  <c r="Y29" i="156"/>
  <c r="X29" i="156"/>
  <c r="W29" i="156"/>
  <c r="V29" i="156"/>
  <c r="U29" i="156"/>
  <c r="T29" i="156"/>
  <c r="S29" i="156"/>
  <c r="R29" i="156"/>
  <c r="Q29" i="156"/>
  <c r="P29" i="156"/>
  <c r="O29" i="156"/>
  <c r="N29" i="156"/>
  <c r="M29" i="156"/>
  <c r="L29" i="156"/>
  <c r="K29" i="156"/>
  <c r="J29" i="156"/>
  <c r="I29" i="156"/>
  <c r="AF28" i="156"/>
  <c r="AE28" i="156"/>
  <c r="AD28" i="156"/>
  <c r="AC28" i="156"/>
  <c r="AB28" i="156"/>
  <c r="AA28" i="156"/>
  <c r="Z28" i="156"/>
  <c r="Y28" i="156"/>
  <c r="X28" i="156"/>
  <c r="W28" i="156"/>
  <c r="V28" i="156"/>
  <c r="U28" i="156"/>
  <c r="T28" i="156"/>
  <c r="S28" i="156"/>
  <c r="R28" i="156"/>
  <c r="Q28" i="156"/>
  <c r="P28" i="156"/>
  <c r="O28" i="156"/>
  <c r="N28" i="156"/>
  <c r="M28" i="156"/>
  <c r="L28" i="156"/>
  <c r="K28" i="156"/>
  <c r="J28" i="156"/>
  <c r="I28" i="156"/>
  <c r="D25" i="156"/>
  <c r="C25" i="156"/>
  <c r="D24" i="156"/>
  <c r="C24" i="156"/>
  <c r="D23" i="156"/>
  <c r="C23" i="156"/>
  <c r="D22" i="156"/>
  <c r="C22" i="156"/>
  <c r="D21" i="156"/>
  <c r="C21" i="156"/>
  <c r="D20" i="156"/>
  <c r="C20" i="156"/>
  <c r="D19" i="156"/>
  <c r="C19" i="156"/>
  <c r="D18" i="156"/>
  <c r="C18" i="156"/>
  <c r="D17" i="156"/>
  <c r="C17" i="156"/>
  <c r="D16" i="156"/>
  <c r="C16" i="156"/>
  <c r="D15" i="156"/>
  <c r="C15" i="156"/>
  <c r="D14" i="156"/>
  <c r="C14" i="156"/>
  <c r="D13" i="156"/>
  <c r="C13" i="156"/>
  <c r="F11" i="87" s="1"/>
  <c r="G11" i="87" s="1"/>
  <c r="D12" i="156"/>
  <c r="C12" i="156"/>
  <c r="D11" i="156"/>
  <c r="C11" i="156"/>
  <c r="D10" i="156"/>
  <c r="C10" i="156"/>
  <c r="F9" i="87" s="1"/>
  <c r="G9" i="87" s="1"/>
  <c r="D9" i="156"/>
  <c r="C9" i="156"/>
  <c r="D8" i="156"/>
  <c r="C8" i="156"/>
  <c r="D7" i="156"/>
  <c r="C7" i="156"/>
  <c r="F8" i="87" s="1"/>
  <c r="D6" i="156"/>
  <c r="D31" i="156" s="1"/>
  <c r="C6" i="156"/>
  <c r="C31" i="156" s="1"/>
  <c r="C283" i="155"/>
  <c r="C282" i="155"/>
  <c r="F277" i="155"/>
  <c r="B295" i="155" s="1"/>
  <c r="D275" i="155"/>
  <c r="D283" i="155" s="1"/>
  <c r="C275" i="155"/>
  <c r="D274" i="155"/>
  <c r="F274" i="155" s="1"/>
  <c r="G274" i="155" s="1"/>
  <c r="C274" i="155"/>
  <c r="B264" i="155"/>
  <c r="D250" i="155"/>
  <c r="E250" i="155" s="1"/>
  <c r="C250" i="155"/>
  <c r="C249" i="155"/>
  <c r="F244" i="155"/>
  <c r="B263" i="155" s="1"/>
  <c r="D242" i="155"/>
  <c r="C242" i="155"/>
  <c r="D241" i="155"/>
  <c r="C241" i="155"/>
  <c r="E241" i="155" s="1"/>
  <c r="C232" i="155"/>
  <c r="C231" i="155"/>
  <c r="D230" i="155"/>
  <c r="E230" i="155" s="1"/>
  <c r="C230" i="155"/>
  <c r="F225" i="155"/>
  <c r="F234" i="155" s="1"/>
  <c r="D223" i="155"/>
  <c r="E223" i="155" s="1"/>
  <c r="C223" i="155"/>
  <c r="D222" i="155"/>
  <c r="D231" i="155" s="1"/>
  <c r="E231" i="155" s="1"/>
  <c r="C222" i="155"/>
  <c r="E222" i="155" s="1"/>
  <c r="F221" i="155"/>
  <c r="D221" i="155"/>
  <c r="C221" i="155"/>
  <c r="E221" i="155" s="1"/>
  <c r="C210" i="155"/>
  <c r="B209" i="155"/>
  <c r="F198" i="155"/>
  <c r="E198" i="155"/>
  <c r="D198" i="155"/>
  <c r="F191" i="155"/>
  <c r="E191" i="155"/>
  <c r="D191" i="155"/>
  <c r="H187" i="155"/>
  <c r="H195" i="155" s="1"/>
  <c r="F187" i="155"/>
  <c r="E187" i="155"/>
  <c r="E195" i="155" s="1"/>
  <c r="D187" i="155"/>
  <c r="D195" i="155" s="1"/>
  <c r="G181" i="155"/>
  <c r="I177" i="155"/>
  <c r="I180" i="155" s="1"/>
  <c r="I183" i="155" s="1"/>
  <c r="I203" i="155" s="1"/>
  <c r="I204" i="155" s="1"/>
  <c r="C175" i="155"/>
  <c r="C174" i="155"/>
  <c r="F173" i="155"/>
  <c r="C173" i="155"/>
  <c r="H172" i="155"/>
  <c r="F172" i="155"/>
  <c r="C172" i="155" s="1"/>
  <c r="E172" i="155"/>
  <c r="G171" i="155"/>
  <c r="G170" i="155"/>
  <c r="D165" i="155"/>
  <c r="C165" i="155" s="1"/>
  <c r="C145" i="155"/>
  <c r="I142" i="155"/>
  <c r="H142" i="155"/>
  <c r="F142" i="155"/>
  <c r="E142" i="155"/>
  <c r="E21" i="155" s="1"/>
  <c r="E44" i="155" s="1"/>
  <c r="D142" i="155"/>
  <c r="D21" i="155" s="1"/>
  <c r="C138" i="155"/>
  <c r="C134" i="155"/>
  <c r="I128" i="155"/>
  <c r="G128" i="155"/>
  <c r="I127" i="155"/>
  <c r="I130" i="155" s="1"/>
  <c r="I150" i="155" s="1"/>
  <c r="I152" i="155" s="1"/>
  <c r="I205" i="155" s="1"/>
  <c r="G125" i="155"/>
  <c r="I124" i="155"/>
  <c r="C122" i="155"/>
  <c r="C121" i="155"/>
  <c r="C120" i="155"/>
  <c r="C119" i="155"/>
  <c r="G118" i="155"/>
  <c r="H22" i="87" s="1"/>
  <c r="F118" i="155"/>
  <c r="H21" i="87" s="1"/>
  <c r="E118" i="155"/>
  <c r="G117" i="155"/>
  <c r="H10" i="87" s="1"/>
  <c r="F117" i="155"/>
  <c r="C117" i="155" s="1"/>
  <c r="C116" i="155"/>
  <c r="G115" i="155"/>
  <c r="D115" i="155"/>
  <c r="C115" i="155" s="1"/>
  <c r="H114" i="155"/>
  <c r="G114" i="155"/>
  <c r="F114" i="155"/>
  <c r="E114" i="155"/>
  <c r="D114" i="155"/>
  <c r="C114" i="155" s="1"/>
  <c r="H113" i="155"/>
  <c r="G113" i="155"/>
  <c r="F113" i="155"/>
  <c r="F124" i="155" s="1"/>
  <c r="E113" i="155"/>
  <c r="D113" i="155"/>
  <c r="C112" i="155"/>
  <c r="H111" i="155"/>
  <c r="H124" i="155" s="1"/>
  <c r="E111" i="155"/>
  <c r="D111" i="155"/>
  <c r="B95" i="155"/>
  <c r="L56" i="155"/>
  <c r="L55" i="155"/>
  <c r="G50" i="155"/>
  <c r="F50" i="155"/>
  <c r="F171" i="155" s="1"/>
  <c r="E50" i="155"/>
  <c r="E171" i="155" s="1"/>
  <c r="H48" i="155"/>
  <c r="H164" i="155" s="1"/>
  <c r="G48" i="155"/>
  <c r="F48" i="155"/>
  <c r="F170" i="155" s="1"/>
  <c r="E48" i="155"/>
  <c r="E164" i="155" s="1"/>
  <c r="D48" i="155"/>
  <c r="D164" i="155" s="1"/>
  <c r="G44" i="155"/>
  <c r="I41" i="155"/>
  <c r="I181" i="155" s="1"/>
  <c r="H41" i="155"/>
  <c r="G41" i="155"/>
  <c r="F41" i="155"/>
  <c r="E41" i="155"/>
  <c r="D41" i="155"/>
  <c r="I38" i="155"/>
  <c r="H38" i="155"/>
  <c r="G38" i="155"/>
  <c r="G178" i="155" s="1"/>
  <c r="F38" i="155"/>
  <c r="C38" i="155" s="1"/>
  <c r="E38" i="155"/>
  <c r="D38" i="155"/>
  <c r="I35" i="155"/>
  <c r="H35" i="155"/>
  <c r="G35" i="155"/>
  <c r="F35" i="155"/>
  <c r="E35" i="155"/>
  <c r="D35" i="155"/>
  <c r="I34" i="155"/>
  <c r="H34" i="155"/>
  <c r="G34" i="155"/>
  <c r="F34" i="155"/>
  <c r="E34" i="155"/>
  <c r="D34" i="155"/>
  <c r="D169" i="155" s="1"/>
  <c r="C169" i="155" s="1"/>
  <c r="I33" i="155"/>
  <c r="H33" i="155"/>
  <c r="G33" i="155"/>
  <c r="G168" i="155" s="1"/>
  <c r="F33" i="155"/>
  <c r="E33" i="155"/>
  <c r="D33" i="155"/>
  <c r="D168" i="155" s="1"/>
  <c r="I32" i="155"/>
  <c r="H32" i="155"/>
  <c r="H167" i="155" s="1"/>
  <c r="G32" i="155"/>
  <c r="G167" i="155" s="1"/>
  <c r="F32" i="155"/>
  <c r="F167" i="155" s="1"/>
  <c r="E32" i="155"/>
  <c r="E167" i="155" s="1"/>
  <c r="D32" i="155"/>
  <c r="D167" i="155" s="1"/>
  <c r="I31" i="155"/>
  <c r="H31" i="155"/>
  <c r="H166" i="155" s="1"/>
  <c r="G31" i="155"/>
  <c r="G37" i="155" s="1"/>
  <c r="G40" i="155" s="1"/>
  <c r="G43" i="155" s="1"/>
  <c r="G46" i="155" s="1"/>
  <c r="F31" i="155"/>
  <c r="F166" i="155" s="1"/>
  <c r="E31" i="155"/>
  <c r="D249" i="155" s="1"/>
  <c r="D31" i="155"/>
  <c r="D166" i="155" s="1"/>
  <c r="I21" i="155"/>
  <c r="I44" i="155" s="1"/>
  <c r="H21" i="155"/>
  <c r="H44" i="155" s="1"/>
  <c r="G21" i="155"/>
  <c r="F21" i="155"/>
  <c r="F44" i="155" s="1"/>
  <c r="C18" i="155"/>
  <c r="I17" i="155"/>
  <c r="I20" i="155" s="1"/>
  <c r="I23" i="155" s="1"/>
  <c r="E18" i="87" s="1"/>
  <c r="I14" i="155"/>
  <c r="H14" i="155"/>
  <c r="H17" i="155" s="1"/>
  <c r="H20" i="155" s="1"/>
  <c r="G14" i="155"/>
  <c r="G17" i="155" s="1"/>
  <c r="G20" i="155" s="1"/>
  <c r="G23" i="155" s="1"/>
  <c r="E16" i="87" s="1"/>
  <c r="F14" i="155"/>
  <c r="F17" i="155" s="1"/>
  <c r="F20" i="155" s="1"/>
  <c r="E14" i="155"/>
  <c r="E17" i="155" s="1"/>
  <c r="E20" i="155" s="1"/>
  <c r="E23" i="155" s="1"/>
  <c r="E14" i="87" s="1"/>
  <c r="D14" i="155"/>
  <c r="L135" i="155" s="1"/>
  <c r="N135" i="155" s="1"/>
  <c r="P135" i="155" s="1"/>
  <c r="N10" i="155"/>
  <c r="L57" i="155" s="1"/>
  <c r="L58" i="155" s="1"/>
  <c r="N9" i="155"/>
  <c r="B163" i="155" s="1"/>
  <c r="B2" i="155"/>
  <c r="G14" i="87" l="1"/>
  <c r="F37" i="155"/>
  <c r="F40" i="155" s="1"/>
  <c r="F43" i="155" s="1"/>
  <c r="D282" i="155"/>
  <c r="D285" i="155" s="1"/>
  <c r="H18" i="87"/>
  <c r="C113" i="155"/>
  <c r="E225" i="155"/>
  <c r="E226" i="155" s="1"/>
  <c r="C29" i="156"/>
  <c r="F13" i="87"/>
  <c r="H9" i="87"/>
  <c r="D232" i="155"/>
  <c r="H274" i="155"/>
  <c r="F20" i="87"/>
  <c r="H11" i="87"/>
  <c r="H23" i="155"/>
  <c r="E17" i="87" s="1"/>
  <c r="G17" i="87" s="1"/>
  <c r="C170" i="155"/>
  <c r="G124" i="155"/>
  <c r="G127" i="155" s="1"/>
  <c r="G130" i="155" s="1"/>
  <c r="G150" i="155" s="1"/>
  <c r="G152" i="155" s="1"/>
  <c r="G205" i="155" s="1"/>
  <c r="E274" i="155"/>
  <c r="D277" i="155"/>
  <c r="E283" i="155"/>
  <c r="C168" i="155"/>
  <c r="D124" i="155"/>
  <c r="F23" i="155"/>
  <c r="E15" i="87" s="1"/>
  <c r="G15" i="87" s="1"/>
  <c r="I37" i="155"/>
  <c r="I40" i="155" s="1"/>
  <c r="I43" i="155" s="1"/>
  <c r="I46" i="155" s="1"/>
  <c r="H177" i="155"/>
  <c r="C111" i="155"/>
  <c r="C118" i="155"/>
  <c r="C142" i="155"/>
  <c r="G166" i="155"/>
  <c r="D225" i="155"/>
  <c r="E232" i="155"/>
  <c r="E234" i="155" s="1"/>
  <c r="E235" i="155" s="1"/>
  <c r="E242" i="155"/>
  <c r="E275" i="155"/>
  <c r="E277" i="155" s="1"/>
  <c r="E282" i="155"/>
  <c r="E285" i="155" s="1"/>
  <c r="F285" i="155"/>
  <c r="F282" i="155" s="1"/>
  <c r="G282" i="155" s="1"/>
  <c r="D29" i="156"/>
  <c r="D94" i="156"/>
  <c r="E94" i="156" s="1"/>
  <c r="D92" i="156"/>
  <c r="F7" i="87"/>
  <c r="F27" i="87" s="1"/>
  <c r="H49" i="120"/>
  <c r="H54" i="120" s="1"/>
  <c r="G22" i="87"/>
  <c r="E29" i="87"/>
  <c r="G21" i="87"/>
  <c r="G20" i="87"/>
  <c r="G16" i="87"/>
  <c r="E92" i="156"/>
  <c r="B92" i="156"/>
  <c r="B110" i="155"/>
  <c r="D59" i="156"/>
  <c r="P6" i="155"/>
  <c r="C56" i="156"/>
  <c r="B130" i="155"/>
  <c r="B150" i="155" s="1"/>
  <c r="D28" i="156"/>
  <c r="C91" i="156"/>
  <c r="B91" i="156" s="1"/>
  <c r="D91" i="156"/>
  <c r="E91" i="156" s="1"/>
  <c r="B183" i="155"/>
  <c r="C28" i="156"/>
  <c r="D252" i="155"/>
  <c r="H67" i="155"/>
  <c r="D177" i="155"/>
  <c r="G177" i="155"/>
  <c r="G180" i="155" s="1"/>
  <c r="G183" i="155" s="1"/>
  <c r="G203" i="155" s="1"/>
  <c r="G204" i="155" s="1"/>
  <c r="G207" i="155" s="1"/>
  <c r="I207" i="155"/>
  <c r="I208" i="155" s="1"/>
  <c r="E249" i="155"/>
  <c r="E252" i="155" s="1"/>
  <c r="G277" i="155"/>
  <c r="G278" i="155" s="1"/>
  <c r="F177" i="155"/>
  <c r="E244" i="155"/>
  <c r="D67" i="155"/>
  <c r="D44" i="155"/>
  <c r="C44" i="155" s="1"/>
  <c r="C21" i="155"/>
  <c r="H282" i="155"/>
  <c r="I274" i="155"/>
  <c r="C167" i="155"/>
  <c r="F46" i="155"/>
  <c r="C171" i="155"/>
  <c r="F230" i="155"/>
  <c r="G230" i="155" s="1"/>
  <c r="L133" i="155"/>
  <c r="G221" i="155"/>
  <c r="D17" i="155"/>
  <c r="E37" i="155"/>
  <c r="E40" i="155" s="1"/>
  <c r="E43" i="155" s="1"/>
  <c r="E46" i="155" s="1"/>
  <c r="F195" i="155"/>
  <c r="F252" i="155"/>
  <c r="F249" i="155" s="1"/>
  <c r="F275" i="155"/>
  <c r="G275" i="155" s="1"/>
  <c r="H37" i="155"/>
  <c r="H40" i="155" s="1"/>
  <c r="H43" i="155" s="1"/>
  <c r="H46" i="155" s="1"/>
  <c r="C41" i="155"/>
  <c r="L59" i="155"/>
  <c r="C164" i="155"/>
  <c r="E166" i="155"/>
  <c r="E177" i="155" s="1"/>
  <c r="C198" i="155"/>
  <c r="B203" i="155"/>
  <c r="F222" i="155"/>
  <c r="D244" i="155"/>
  <c r="B262" i="155"/>
  <c r="L134" i="155"/>
  <c r="N134" i="155" s="1"/>
  <c r="P134" i="155" s="1"/>
  <c r="F28" i="87"/>
  <c r="C14" i="155"/>
  <c r="E124" i="155"/>
  <c r="C187" i="155"/>
  <c r="D234" i="155"/>
  <c r="F241" i="155"/>
  <c r="G241" i="155" s="1"/>
  <c r="D37" i="155"/>
  <c r="F67" i="155"/>
  <c r="C191" i="155"/>
  <c r="H221" i="155"/>
  <c r="G8" i="87"/>
  <c r="G10" i="87"/>
  <c r="G7" i="87"/>
  <c r="F29" i="87"/>
  <c r="E27" i="87"/>
  <c r="H275" i="155" l="1"/>
  <c r="H277" i="155" s="1"/>
  <c r="C166" i="155"/>
  <c r="F283" i="155"/>
  <c r="G283" i="155" s="1"/>
  <c r="G285" i="155" s="1"/>
  <c r="G286" i="155" s="1"/>
  <c r="E278" i="155"/>
  <c r="H16" i="87"/>
  <c r="H84" i="155"/>
  <c r="G27" i="87"/>
  <c r="G29" i="87"/>
  <c r="G249" i="155"/>
  <c r="H249" i="155"/>
  <c r="H188" i="155"/>
  <c r="H189" i="155" s="1"/>
  <c r="H196" i="155" s="1"/>
  <c r="H202" i="155" s="1"/>
  <c r="H178" i="155"/>
  <c r="H180" i="155" s="1"/>
  <c r="D84" i="155"/>
  <c r="H125" i="155"/>
  <c r="H127" i="155" s="1"/>
  <c r="H135" i="155"/>
  <c r="H136" i="155" s="1"/>
  <c r="H143" i="155" s="1"/>
  <c r="H149" i="155" s="1"/>
  <c r="H128" i="155"/>
  <c r="C37" i="155"/>
  <c r="D40" i="155"/>
  <c r="E67" i="155"/>
  <c r="F223" i="155"/>
  <c r="G222" i="155"/>
  <c r="C17" i="155"/>
  <c r="D20" i="155"/>
  <c r="N133" i="155"/>
  <c r="L136" i="155"/>
  <c r="I282" i="155"/>
  <c r="G299" i="155"/>
  <c r="G208" i="155"/>
  <c r="F135" i="155"/>
  <c r="F136" i="155" s="1"/>
  <c r="F125" i="155"/>
  <c r="F127" i="155" s="1"/>
  <c r="F130" i="155" s="1"/>
  <c r="F150" i="155" s="1"/>
  <c r="F128" i="155"/>
  <c r="D125" i="155"/>
  <c r="D135" i="155"/>
  <c r="D136" i="155" s="1"/>
  <c r="D128" i="155"/>
  <c r="F84" i="155"/>
  <c r="C177" i="155"/>
  <c r="C124" i="155"/>
  <c r="C195" i="155"/>
  <c r="F242" i="155"/>
  <c r="H181" i="155"/>
  <c r="E245" i="155"/>
  <c r="H241" i="155"/>
  <c r="F231" i="155"/>
  <c r="G231" i="155" s="1"/>
  <c r="H283" i="155"/>
  <c r="I283" i="155" s="1"/>
  <c r="I275" i="155"/>
  <c r="E84" i="155"/>
  <c r="I221" i="155"/>
  <c r="H230" i="155"/>
  <c r="F250" i="155"/>
  <c r="H222" i="155"/>
  <c r="I277" i="155"/>
  <c r="I278" i="155" s="1"/>
  <c r="E253" i="155"/>
  <c r="F232" i="155" l="1"/>
  <c r="G232" i="155" s="1"/>
  <c r="G234" i="155" s="1"/>
  <c r="G235" i="155" s="1"/>
  <c r="F139" i="155"/>
  <c r="F140" i="155" s="1"/>
  <c r="F143" i="155" s="1"/>
  <c r="F146" i="155"/>
  <c r="F147" i="155" s="1"/>
  <c r="D23" i="155"/>
  <c r="E13" i="87" s="1"/>
  <c r="C20" i="155"/>
  <c r="E125" i="155"/>
  <c r="E127" i="155" s="1"/>
  <c r="E128" i="155"/>
  <c r="C128" i="155" s="1"/>
  <c r="E135" i="155"/>
  <c r="E136" i="155" s="1"/>
  <c r="D178" i="155"/>
  <c r="D188" i="155"/>
  <c r="D189" i="155" s="1"/>
  <c r="D181" i="155"/>
  <c r="I230" i="155"/>
  <c r="I241" i="155"/>
  <c r="G242" i="155"/>
  <c r="G244" i="155" s="1"/>
  <c r="G245" i="155" s="1"/>
  <c r="H242" i="155"/>
  <c r="I242" i="155" s="1"/>
  <c r="F181" i="155"/>
  <c r="F188" i="155"/>
  <c r="F189" i="155" s="1"/>
  <c r="F178" i="155"/>
  <c r="F180" i="155" s="1"/>
  <c r="N136" i="155"/>
  <c r="P133" i="155"/>
  <c r="P136" i="155" s="1"/>
  <c r="G223" i="155"/>
  <c r="G225" i="155" s="1"/>
  <c r="G226" i="155" s="1"/>
  <c r="H223" i="155"/>
  <c r="H225" i="155" s="1"/>
  <c r="L222" i="155" s="1"/>
  <c r="N222" i="155" s="1"/>
  <c r="I249" i="155"/>
  <c r="G250" i="155"/>
  <c r="H250" i="155"/>
  <c r="I250" i="155" s="1"/>
  <c r="E188" i="155"/>
  <c r="E189" i="155" s="1"/>
  <c r="E181" i="155"/>
  <c r="E178" i="155"/>
  <c r="E180" i="155" s="1"/>
  <c r="D127" i="155"/>
  <c r="D43" i="155"/>
  <c r="C40" i="155"/>
  <c r="I285" i="155"/>
  <c r="G252" i="155"/>
  <c r="G253" i="155" s="1"/>
  <c r="H130" i="155"/>
  <c r="H150" i="155" s="1"/>
  <c r="I222" i="155"/>
  <c r="H231" i="155"/>
  <c r="I231" i="155" s="1"/>
  <c r="C136" i="155"/>
  <c r="H285" i="155"/>
  <c r="H152" i="155"/>
  <c r="H183" i="155"/>
  <c r="H203" i="155" s="1"/>
  <c r="H204" i="155" s="1"/>
  <c r="H205" i="155" l="1"/>
  <c r="H17" i="87"/>
  <c r="H252" i="155"/>
  <c r="G13" i="87"/>
  <c r="E28" i="87"/>
  <c r="G28" i="87" s="1"/>
  <c r="I286" i="155"/>
  <c r="E130" i="155"/>
  <c r="E150" i="155" s="1"/>
  <c r="I252" i="155"/>
  <c r="H244" i="155"/>
  <c r="O222" i="155"/>
  <c r="F192" i="155"/>
  <c r="F193" i="155" s="1"/>
  <c r="F196" i="155" s="1"/>
  <c r="F199" i="155"/>
  <c r="F200" i="155" s="1"/>
  <c r="C43" i="155"/>
  <c r="D46" i="155"/>
  <c r="C189" i="155"/>
  <c r="H232" i="155"/>
  <c r="I232" i="155" s="1"/>
  <c r="I223" i="155"/>
  <c r="I225" i="155" s="1"/>
  <c r="I226" i="155" s="1"/>
  <c r="L223" i="155"/>
  <c r="N223" i="155" s="1"/>
  <c r="O223" i="155" s="1"/>
  <c r="D300" i="155"/>
  <c r="C23" i="155"/>
  <c r="E183" i="155"/>
  <c r="E203" i="155" s="1"/>
  <c r="I244" i="155"/>
  <c r="I245" i="155" s="1"/>
  <c r="C181" i="155"/>
  <c r="F149" i="155"/>
  <c r="F152" i="155" s="1"/>
  <c r="C125" i="155"/>
  <c r="F183" i="155"/>
  <c r="F203" i="155" s="1"/>
  <c r="D130" i="155"/>
  <c r="C127" i="155"/>
  <c r="C178" i="155"/>
  <c r="D180" i="155"/>
  <c r="H207" i="155"/>
  <c r="I234" i="155"/>
  <c r="I253" i="155" l="1"/>
  <c r="H234" i="155"/>
  <c r="I235" i="155" s="1"/>
  <c r="N224" i="155"/>
  <c r="F205" i="155"/>
  <c r="H15" i="87"/>
  <c r="D139" i="155"/>
  <c r="D140" i="155" s="1"/>
  <c r="D146" i="155"/>
  <c r="D147" i="155" s="1"/>
  <c r="E146" i="155"/>
  <c r="E147" i="155" s="1"/>
  <c r="E139" i="155"/>
  <c r="E140" i="155" s="1"/>
  <c r="E143" i="155" s="1"/>
  <c r="D183" i="155"/>
  <c r="C180" i="155"/>
  <c r="H299" i="155"/>
  <c r="H208" i="155"/>
  <c r="C130" i="155"/>
  <c r="C150" i="155" s="1"/>
  <c r="D150" i="155"/>
  <c r="F202" i="155"/>
  <c r="F204" i="155" s="1"/>
  <c r="F207" i="155" s="1"/>
  <c r="O224" i="155"/>
  <c r="C46" i="155"/>
  <c r="D199" i="155" l="1"/>
  <c r="D200" i="155" s="1"/>
  <c r="D192" i="155"/>
  <c r="D193" i="155" s="1"/>
  <c r="E149" i="155"/>
  <c r="E152" i="155" s="1"/>
  <c r="E192" i="155"/>
  <c r="E193" i="155" s="1"/>
  <c r="E196" i="155" s="1"/>
  <c r="E199" i="155"/>
  <c r="E200" i="155" s="1"/>
  <c r="C193" i="155"/>
  <c r="D196" i="155"/>
  <c r="D203" i="155"/>
  <c r="C203" i="155" s="1"/>
  <c r="C183" i="155"/>
  <c r="F299" i="155"/>
  <c r="F208" i="155"/>
  <c r="C140" i="155"/>
  <c r="C143" i="155" s="1"/>
  <c r="D143" i="155"/>
  <c r="C200" i="155"/>
  <c r="D202" i="155"/>
  <c r="C147" i="155"/>
  <c r="D149" i="155"/>
  <c r="D152" i="155" s="1"/>
  <c r="D205" i="155" l="1"/>
  <c r="C205" i="155" s="1"/>
  <c r="H13" i="87"/>
  <c r="E205" i="155"/>
  <c r="H14" i="87"/>
  <c r="D204" i="155"/>
  <c r="D207" i="155" s="1"/>
  <c r="E202" i="155"/>
  <c r="E204" i="155" s="1"/>
  <c r="E207" i="155" s="1"/>
  <c r="C149" i="155"/>
  <c r="C152" i="155" s="1"/>
  <c r="C196" i="155"/>
  <c r="C202" i="155" s="1"/>
  <c r="C204" i="155" s="1"/>
  <c r="E208" i="155" l="1"/>
  <c r="E299" i="155"/>
  <c r="H25" i="87"/>
  <c r="D299" i="155"/>
  <c r="D208" i="155"/>
  <c r="C207" i="155"/>
  <c r="C208" i="155" s="1"/>
  <c r="I10" i="87" l="1"/>
  <c r="J10" i="87" s="1"/>
  <c r="I18" i="87"/>
  <c r="J18" i="87" s="1"/>
  <c r="I11" i="87"/>
  <c r="J11" i="87" s="1"/>
  <c r="I22" i="87"/>
  <c r="J22" i="87" s="1"/>
  <c r="I8" i="87"/>
  <c r="J8" i="87" s="1"/>
  <c r="I9" i="87"/>
  <c r="J9" i="87" s="1"/>
  <c r="I20" i="87"/>
  <c r="J20" i="87" s="1"/>
  <c r="I7" i="87"/>
  <c r="I16" i="87"/>
  <c r="J16" i="87" s="1"/>
  <c r="I21" i="87"/>
  <c r="J21" i="87" s="1"/>
  <c r="I17" i="87"/>
  <c r="J17" i="87" s="1"/>
  <c r="I15" i="87"/>
  <c r="J15" i="87" s="1"/>
  <c r="I13" i="87"/>
  <c r="J13" i="87" s="1"/>
  <c r="I14" i="87"/>
  <c r="J14" i="87" s="1"/>
  <c r="J11" i="120"/>
  <c r="I25" i="87" l="1"/>
  <c r="J7" i="87"/>
  <c r="J25" i="87" s="1"/>
  <c r="M7" i="120" s="1"/>
  <c r="D14" i="135"/>
  <c r="D32" i="135"/>
  <c r="D30" i="135" s="1"/>
  <c r="F30" i="135" s="1"/>
  <c r="F32" i="135" l="1"/>
  <c r="U138" i="122"/>
  <c r="I38" i="120" l="1"/>
  <c r="I28" i="120"/>
  <c r="I21" i="120"/>
  <c r="I46" i="120"/>
  <c r="I70" i="120" l="1"/>
  <c r="I39" i="120"/>
  <c r="I41" i="120" s="1"/>
  <c r="I49" i="120" s="1"/>
  <c r="I63" i="120"/>
  <c r="U10" i="122"/>
  <c r="T16" i="130"/>
  <c r="T7" i="130"/>
  <c r="T94" i="129"/>
  <c r="T93" i="129"/>
  <c r="T50" i="129"/>
  <c r="F26" i="135"/>
  <c r="F11" i="135"/>
  <c r="F9" i="120" s="1"/>
  <c r="I72" i="120" l="1"/>
  <c r="I75" i="120" s="1"/>
  <c r="I79" i="120" s="1"/>
  <c r="D17" i="135" l="1"/>
  <c r="E7" i="120"/>
  <c r="K7" i="120" s="1"/>
  <c r="P7" i="120" s="1"/>
  <c r="E8" i="120"/>
  <c r="E9" i="120"/>
  <c r="E77" i="120" l="1"/>
  <c r="K77" i="120" s="1"/>
  <c r="K76" i="120"/>
  <c r="E74" i="120"/>
  <c r="E69" i="120"/>
  <c r="E68" i="120"/>
  <c r="E67" i="120"/>
  <c r="E66" i="120"/>
  <c r="E65" i="120"/>
  <c r="E62" i="120"/>
  <c r="E61" i="120"/>
  <c r="E60" i="120"/>
  <c r="E59" i="120"/>
  <c r="E58" i="120"/>
  <c r="E52" i="120"/>
  <c r="E51" i="120"/>
  <c r="E50" i="120"/>
  <c r="E49" i="120"/>
  <c r="E36" i="120"/>
  <c r="E35" i="120"/>
  <c r="E32" i="120"/>
  <c r="E31" i="120"/>
  <c r="E30" i="120"/>
  <c r="E27" i="120"/>
  <c r="E25" i="120"/>
  <c r="K25" i="120" s="1"/>
  <c r="E24" i="120"/>
  <c r="K24" i="120" s="1"/>
  <c r="E20" i="120"/>
  <c r="K20" i="120" s="1"/>
  <c r="E19" i="120"/>
  <c r="K19" i="120" s="1"/>
  <c r="E18" i="120"/>
  <c r="K18" i="120" s="1"/>
  <c r="E17" i="120"/>
  <c r="E16" i="120"/>
  <c r="E11" i="120"/>
  <c r="E70" i="120" l="1"/>
  <c r="J27" i="120"/>
  <c r="S16" i="130"/>
  <c r="R16" i="130"/>
  <c r="T14" i="130"/>
  <c r="S14" i="130"/>
  <c r="T13" i="130"/>
  <c r="S13" i="130"/>
  <c r="R13" i="130"/>
  <c r="S9" i="130"/>
  <c r="S17" i="130" s="1"/>
  <c r="S19" i="130" s="1"/>
  <c r="T139" i="122" s="1"/>
  <c r="S7" i="130"/>
  <c r="S6" i="130"/>
  <c r="S10" i="130" s="1"/>
  <c r="S21" i="130" l="1"/>
  <c r="S23" i="130" s="1"/>
  <c r="T140" i="122"/>
  <c r="U37" i="122"/>
  <c r="T100" i="122"/>
  <c r="U54" i="134"/>
  <c r="S93" i="129"/>
  <c r="T11" i="129"/>
  <c r="T12" i="129"/>
  <c r="T20" i="129"/>
  <c r="T45" i="129" s="1"/>
  <c r="T46" i="129" s="1"/>
  <c r="T31" i="129"/>
  <c r="T43" i="129" s="1"/>
  <c r="T48" i="129" s="1"/>
  <c r="T34" i="129"/>
  <c r="T53" i="129"/>
  <c r="U62" i="122" s="1"/>
  <c r="T54" i="129"/>
  <c r="U63" i="122" s="1"/>
  <c r="T55" i="129"/>
  <c r="T56" i="129"/>
  <c r="U65" i="122" s="1"/>
  <c r="T57" i="129"/>
  <c r="U66" i="122" s="1"/>
  <c r="T60" i="129"/>
  <c r="U69" i="122" s="1"/>
  <c r="T61" i="129"/>
  <c r="U70" i="122" s="1"/>
  <c r="T62" i="129"/>
  <c r="U71" i="122" s="1"/>
  <c r="T63" i="129"/>
  <c r="U72" i="122" s="1"/>
  <c r="T64" i="129"/>
  <c r="U73" i="122" s="1"/>
  <c r="T68" i="129"/>
  <c r="U77" i="122" s="1"/>
  <c r="T70" i="129"/>
  <c r="T108" i="129" s="1"/>
  <c r="T71" i="129"/>
  <c r="U80" i="122" s="1"/>
  <c r="T75" i="129"/>
  <c r="T92" i="129"/>
  <c r="T103" i="129" s="1"/>
  <c r="U11" i="122"/>
  <c r="U12" i="122"/>
  <c r="U14" i="122"/>
  <c r="U137" i="122" s="1"/>
  <c r="U19" i="122"/>
  <c r="U20" i="122"/>
  <c r="U23" i="122"/>
  <c r="U121" i="122" s="1"/>
  <c r="U27" i="122"/>
  <c r="U28" i="122"/>
  <c r="U109" i="122" s="1"/>
  <c r="U29" i="122"/>
  <c r="U122" i="122" s="1"/>
  <c r="U32" i="122"/>
  <c r="U33" i="122"/>
  <c r="U96" i="122" s="1"/>
  <c r="U34" i="122"/>
  <c r="U97" i="122" s="1"/>
  <c r="U38" i="122"/>
  <c r="U110" i="122" s="1"/>
  <c r="U39" i="122"/>
  <c r="U123" i="122" s="1"/>
  <c r="U46" i="122"/>
  <c r="U47" i="122"/>
  <c r="U48" i="122"/>
  <c r="U50" i="122"/>
  <c r="U59" i="122"/>
  <c r="U64" i="122"/>
  <c r="U90" i="122"/>
  <c r="U101" i="122"/>
  <c r="U102" i="122"/>
  <c r="U116" i="122"/>
  <c r="U125" i="122"/>
  <c r="U126" i="122"/>
  <c r="U79" i="122" l="1"/>
  <c r="U94" i="122"/>
  <c r="U95" i="122"/>
  <c r="U93" i="122"/>
  <c r="U92" i="122"/>
  <c r="U13" i="122"/>
  <c r="U15" i="122" s="1"/>
  <c r="T65" i="129"/>
  <c r="U124" i="122"/>
  <c r="U127" i="122" s="1"/>
  <c r="U30" i="122"/>
  <c r="U40" i="122"/>
  <c r="U98" i="122"/>
  <c r="U22" i="122"/>
  <c r="U67" i="122"/>
  <c r="T58" i="129"/>
  <c r="U74" i="122"/>
  <c r="U99" i="122" l="1"/>
  <c r="U75" i="122"/>
  <c r="U78" i="122" s="1"/>
  <c r="U130" i="122" s="1"/>
  <c r="T66" i="129"/>
  <c r="T69" i="129" s="1"/>
  <c r="T73" i="129" s="1"/>
  <c r="J3" i="143"/>
  <c r="B7" i="143" s="1"/>
  <c r="U21" i="122"/>
  <c r="U115" i="122"/>
  <c r="U117" i="122" s="1"/>
  <c r="J3" i="144" l="1"/>
  <c r="B7" i="144" s="1"/>
  <c r="B8" i="144" s="1"/>
  <c r="M58" i="120" s="1"/>
  <c r="B8" i="143"/>
  <c r="U108" i="122"/>
  <c r="U111" i="122" s="1"/>
  <c r="J3" i="142" s="1"/>
  <c r="U24" i="122"/>
  <c r="M74" i="120" l="1"/>
  <c r="M65" i="120"/>
  <c r="U41" i="122"/>
  <c r="U43" i="122" s="1"/>
  <c r="B7" i="142"/>
  <c r="U16" i="133"/>
  <c r="U18" i="133" s="1"/>
  <c r="U27" i="133"/>
  <c r="U33" i="133"/>
  <c r="U43" i="133"/>
  <c r="U63" i="133"/>
  <c r="U70" i="133"/>
  <c r="M75" i="120" l="1"/>
  <c r="B8" i="142"/>
  <c r="U44" i="133"/>
  <c r="U46" i="133" s="1"/>
  <c r="U54" i="133" s="1"/>
  <c r="U71" i="133"/>
  <c r="U74" i="133" s="1"/>
  <c r="U78" i="133" s="1"/>
  <c r="U82" i="122" s="1"/>
  <c r="M69" i="120" l="1"/>
  <c r="M67" i="120"/>
  <c r="M66" i="120"/>
  <c r="M68" i="120"/>
  <c r="U133" i="122"/>
  <c r="U83" i="122"/>
  <c r="U79" i="133"/>
  <c r="U70" i="120" l="1"/>
  <c r="U63" i="120"/>
  <c r="U72" i="120" l="1"/>
  <c r="U79" i="120" s="1"/>
  <c r="U50" i="120" s="1"/>
  <c r="N184" i="122" l="1"/>
  <c r="K62" i="120" l="1"/>
  <c r="U41" i="120"/>
  <c r="U49" i="120" l="1"/>
  <c r="H20" i="147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U54" i="120" l="1"/>
  <c r="O23" i="133"/>
  <c r="D4" i="141" l="1"/>
  <c r="D5" i="141"/>
  <c r="F5" i="141"/>
  <c r="F4" i="141"/>
  <c r="G5" i="141" l="1"/>
  <c r="G4" i="141"/>
  <c r="F6" i="141"/>
  <c r="D6" i="141"/>
  <c r="F10" i="141" l="1"/>
  <c r="G6" i="141"/>
  <c r="J25" i="140" l="1"/>
  <c r="U140" i="122" l="1"/>
  <c r="R9" i="130"/>
  <c r="R31" i="129"/>
  <c r="S94" i="129"/>
  <c r="U24" i="94"/>
  <c r="S31" i="129"/>
  <c r="S38" i="129"/>
  <c r="R12" i="129"/>
  <c r="R11" i="129"/>
  <c r="S12" i="129"/>
  <c r="S11" i="129"/>
  <c r="J27" i="140"/>
  <c r="J28" i="140"/>
  <c r="J29" i="140"/>
  <c r="J26" i="140"/>
  <c r="J24" i="140"/>
  <c r="I31" i="140"/>
  <c r="I32" i="140"/>
  <c r="I30" i="140"/>
  <c r="I18" i="140"/>
  <c r="I19" i="140"/>
  <c r="I20" i="140"/>
  <c r="I21" i="140"/>
  <c r="I22" i="140"/>
  <c r="I23" i="140"/>
  <c r="I17" i="140"/>
  <c r="J34" i="140" l="1"/>
  <c r="I34" i="140"/>
  <c r="J35" i="120"/>
  <c r="D8" i="141" l="1"/>
  <c r="D10" i="141" s="1"/>
  <c r="H10" i="141" s="1"/>
  <c r="T10" i="122" l="1"/>
  <c r="T11" i="122"/>
  <c r="T12" i="122"/>
  <c r="T14" i="122"/>
  <c r="T137" i="122" s="1"/>
  <c r="T19" i="122"/>
  <c r="T92" i="122" s="1"/>
  <c r="T20" i="122"/>
  <c r="T93" i="122" s="1"/>
  <c r="T23" i="122"/>
  <c r="T27" i="122"/>
  <c r="T94" i="122" s="1"/>
  <c r="T28" i="122"/>
  <c r="T109" i="122" s="1"/>
  <c r="T29" i="122"/>
  <c r="T122" i="122" s="1"/>
  <c r="T32" i="122"/>
  <c r="T95" i="122" s="1"/>
  <c r="T33" i="122"/>
  <c r="T96" i="122" s="1"/>
  <c r="T34" i="122"/>
  <c r="T97" i="122" s="1"/>
  <c r="T37" i="122"/>
  <c r="T98" i="122" s="1"/>
  <c r="T38" i="122"/>
  <c r="T110" i="122" s="1"/>
  <c r="T39" i="122"/>
  <c r="T123" i="122" s="1"/>
  <c r="T46" i="122"/>
  <c r="T47" i="122"/>
  <c r="T48" i="122"/>
  <c r="T49" i="122"/>
  <c r="T59" i="122"/>
  <c r="T90" i="122"/>
  <c r="T101" i="122"/>
  <c r="T102" i="122"/>
  <c r="T116" i="122"/>
  <c r="T125" i="122"/>
  <c r="T126" i="122"/>
  <c r="T13" i="122" l="1"/>
  <c r="T15" i="122" s="1"/>
  <c r="T121" i="122"/>
  <c r="T124" i="122" s="1"/>
  <c r="T127" i="122" s="1"/>
  <c r="T30" i="122"/>
  <c r="T99" i="122"/>
  <c r="T40" i="122"/>
  <c r="S20" i="129"/>
  <c r="S34" i="129"/>
  <c r="S43" i="129" s="1"/>
  <c r="S53" i="129"/>
  <c r="S54" i="129"/>
  <c r="T63" i="122" s="1"/>
  <c r="S55" i="129"/>
  <c r="T64" i="122" s="1"/>
  <c r="S56" i="129"/>
  <c r="T65" i="122" s="1"/>
  <c r="S57" i="129"/>
  <c r="T66" i="122" s="1"/>
  <c r="S60" i="129"/>
  <c r="T69" i="122" s="1"/>
  <c r="S61" i="129"/>
  <c r="T70" i="122" s="1"/>
  <c r="S62" i="129"/>
  <c r="T71" i="122" s="1"/>
  <c r="S63" i="129"/>
  <c r="T72" i="122" s="1"/>
  <c r="S64" i="129"/>
  <c r="T73" i="122" s="1"/>
  <c r="S68" i="129"/>
  <c r="T77" i="122" s="1"/>
  <c r="S70" i="129"/>
  <c r="S71" i="129"/>
  <c r="T80" i="122" s="1"/>
  <c r="S75" i="129"/>
  <c r="S92" i="129"/>
  <c r="S103" i="129" s="1"/>
  <c r="T79" i="122" s="1"/>
  <c r="T50" i="122" s="1"/>
  <c r="S108" i="129"/>
  <c r="T16" i="133"/>
  <c r="T18" i="133" s="1"/>
  <c r="T27" i="133"/>
  <c r="T33" i="133"/>
  <c r="T43" i="133"/>
  <c r="T63" i="133"/>
  <c r="T70" i="133"/>
  <c r="U172" i="122" l="1"/>
  <c r="U188" i="122" s="1"/>
  <c r="U156" i="122"/>
  <c r="U128" i="122"/>
  <c r="I3" i="143"/>
  <c r="M20" i="120" s="1"/>
  <c r="T71" i="133"/>
  <c r="T74" i="133" s="1"/>
  <c r="T78" i="133" s="1"/>
  <c r="T82" i="122" s="1"/>
  <c r="T133" i="122" s="1"/>
  <c r="S58" i="129"/>
  <c r="T62" i="122"/>
  <c r="T67" i="122" s="1"/>
  <c r="T74" i="122"/>
  <c r="S65" i="129"/>
  <c r="S48" i="129"/>
  <c r="T22" i="122"/>
  <c r="S45" i="129"/>
  <c r="T44" i="133"/>
  <c r="T46" i="133" s="1"/>
  <c r="T54" i="133" s="1"/>
  <c r="T79" i="133" s="1"/>
  <c r="U176" i="122" l="1"/>
  <c r="U192" i="122" s="1"/>
  <c r="U160" i="122"/>
  <c r="U134" i="122"/>
  <c r="S66" i="129"/>
  <c r="S69" i="129" s="1"/>
  <c r="S73" i="129" s="1"/>
  <c r="T75" i="122"/>
  <c r="T78" i="122" s="1"/>
  <c r="T115" i="122"/>
  <c r="T117" i="122" s="1"/>
  <c r="T21" i="122"/>
  <c r="I3" i="144" l="1"/>
  <c r="T83" i="122"/>
  <c r="T130" i="122"/>
  <c r="T108" i="122"/>
  <c r="T111" i="122" s="1"/>
  <c r="T24" i="122"/>
  <c r="T41" i="122" s="1"/>
  <c r="T43" i="122" s="1"/>
  <c r="T51" i="122" s="1"/>
  <c r="F13" i="110"/>
  <c r="U174" i="122" l="1"/>
  <c r="U190" i="122" s="1"/>
  <c r="U158" i="122"/>
  <c r="U131" i="122"/>
  <c r="U170" i="122"/>
  <c r="U186" i="122" s="1"/>
  <c r="U112" i="122"/>
  <c r="U154" i="122"/>
  <c r="I3" i="142"/>
  <c r="M18" i="120" s="1"/>
  <c r="F17" i="120"/>
  <c r="K17" i="120" s="1"/>
  <c r="T21" i="134"/>
  <c r="D36" i="135"/>
  <c r="D33" i="139"/>
  <c r="D33" i="78"/>
  <c r="F15" i="139" l="1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5" i="139" s="1"/>
  <c r="F18" i="139"/>
  <c r="F17" i="139"/>
  <c r="F13" i="139"/>
  <c r="F12" i="139"/>
  <c r="F11" i="139"/>
  <c r="F33" i="139" l="1"/>
  <c r="H19" i="103" s="1"/>
  <c r="H20" i="103"/>
  <c r="F19" i="139"/>
  <c r="H12" i="103"/>
  <c r="H13" i="103" l="1"/>
  <c r="H24" i="103"/>
  <c r="H41" i="103" s="1"/>
  <c r="H14" i="103"/>
  <c r="H15" i="103" s="1"/>
  <c r="F35" i="139"/>
  <c r="F37" i="139" s="1"/>
  <c r="F39" i="139" s="1"/>
  <c r="J30" i="120"/>
  <c r="F15" i="135"/>
  <c r="H43" i="103" l="1"/>
  <c r="H46" i="103" s="1"/>
  <c r="H51" i="103" s="1"/>
  <c r="F39" i="110"/>
  <c r="E28" i="120" l="1"/>
  <c r="G140" i="122" l="1"/>
  <c r="R17" i="130" l="1"/>
  <c r="R19" i="130" s="1"/>
  <c r="S139" i="122" s="1"/>
  <c r="S140" i="122"/>
  <c r="Q16" i="130"/>
  <c r="R140" i="122" s="1"/>
  <c r="R14" i="130"/>
  <c r="R21" i="130" l="1"/>
  <c r="R10" i="130"/>
  <c r="R29" i="134"/>
  <c r="R23" i="130" l="1"/>
  <c r="S90" i="122" l="1"/>
  <c r="S100" i="122"/>
  <c r="S101" i="122"/>
  <c r="S102" i="122"/>
  <c r="S116" i="122"/>
  <c r="S125" i="122"/>
  <c r="S126" i="122"/>
  <c r="R103" i="129"/>
  <c r="R94" i="129"/>
  <c r="R93" i="129"/>
  <c r="R92" i="129"/>
  <c r="Q92" i="129"/>
  <c r="R75" i="129"/>
  <c r="R53" i="129"/>
  <c r="S62" i="122" s="1"/>
  <c r="R54" i="129"/>
  <c r="S63" i="122" s="1"/>
  <c r="R55" i="129"/>
  <c r="S64" i="122" s="1"/>
  <c r="R56" i="129"/>
  <c r="S65" i="122" s="1"/>
  <c r="R57" i="129"/>
  <c r="S66" i="122" s="1"/>
  <c r="R60" i="129"/>
  <c r="S69" i="122" s="1"/>
  <c r="R61" i="129"/>
  <c r="S70" i="122" s="1"/>
  <c r="R62" i="129"/>
  <c r="S71" i="122" s="1"/>
  <c r="R63" i="129"/>
  <c r="R64" i="129"/>
  <c r="S73" i="122" s="1"/>
  <c r="R68" i="129"/>
  <c r="S77" i="122" s="1"/>
  <c r="R70" i="129"/>
  <c r="R108" i="129" s="1"/>
  <c r="R71" i="129"/>
  <c r="S80" i="122" s="1"/>
  <c r="R34" i="129"/>
  <c r="R35" i="129"/>
  <c r="R20" i="129"/>
  <c r="S59" i="122"/>
  <c r="S11" i="122"/>
  <c r="S10" i="122"/>
  <c r="S12" i="122"/>
  <c r="S14" i="122"/>
  <c r="S137" i="122" s="1"/>
  <c r="S19" i="122"/>
  <c r="S92" i="122" s="1"/>
  <c r="S20" i="122"/>
  <c r="S93" i="122" s="1"/>
  <c r="S23" i="122"/>
  <c r="S121" i="122" s="1"/>
  <c r="S27" i="122"/>
  <c r="S94" i="122" s="1"/>
  <c r="S28" i="122"/>
  <c r="S109" i="122" s="1"/>
  <c r="S29" i="122"/>
  <c r="S122" i="122" s="1"/>
  <c r="S32" i="122"/>
  <c r="S95" i="122" s="1"/>
  <c r="S33" i="122"/>
  <c r="S96" i="122" s="1"/>
  <c r="S34" i="122"/>
  <c r="S97" i="122" s="1"/>
  <c r="S37" i="122"/>
  <c r="S38" i="122"/>
  <c r="S110" i="122" s="1"/>
  <c r="S39" i="122"/>
  <c r="S123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3" i="129" l="1"/>
  <c r="R45" i="129" s="1"/>
  <c r="S71" i="133"/>
  <c r="S40" i="122"/>
  <c r="S124" i="122"/>
  <c r="S127" i="122" s="1"/>
  <c r="T172" i="122" s="1"/>
  <c r="R65" i="129"/>
  <c r="R58" i="129"/>
  <c r="S98" i="122"/>
  <c r="S99" i="122" s="1"/>
  <c r="S104" i="122" s="1"/>
  <c r="S30" i="122"/>
  <c r="S72" i="122"/>
  <c r="S74" i="122" s="1"/>
  <c r="S141" i="122"/>
  <c r="S67" i="122"/>
  <c r="S13" i="122"/>
  <c r="S15" i="122" s="1"/>
  <c r="S74" i="133"/>
  <c r="S78" i="133" s="1"/>
  <c r="S82" i="122" s="1"/>
  <c r="S133" i="122" s="1"/>
  <c r="T176" i="122" s="1"/>
  <c r="S44" i="133"/>
  <c r="S46" i="133" s="1"/>
  <c r="S54" i="133" s="1"/>
  <c r="H3" i="157" l="1"/>
  <c r="R48" i="129"/>
  <c r="S22" i="122"/>
  <c r="S21" i="122" s="1"/>
  <c r="S24" i="122" s="1"/>
  <c r="S41" i="122" s="1"/>
  <c r="S43" i="122" s="1"/>
  <c r="S51" i="122" s="1"/>
  <c r="F2" i="145"/>
  <c r="H3" i="143"/>
  <c r="T188" i="122"/>
  <c r="T156" i="122"/>
  <c r="T128" i="122"/>
  <c r="T192" i="122"/>
  <c r="T134" i="122"/>
  <c r="T160" i="122"/>
  <c r="R66" i="129"/>
  <c r="R69" i="129" s="1"/>
  <c r="R73" i="129" s="1"/>
  <c r="S75" i="122"/>
  <c r="S78" i="122" s="1"/>
  <c r="S79" i="122"/>
  <c r="S79" i="133"/>
  <c r="B44" i="120"/>
  <c r="S108" i="122" l="1"/>
  <c r="S111" i="122" s="1"/>
  <c r="T170" i="122" s="1"/>
  <c r="T186" i="122" s="1"/>
  <c r="S115" i="122"/>
  <c r="S117" i="122" s="1"/>
  <c r="S130" i="122"/>
  <c r="H3" i="144"/>
  <c r="S83" i="122"/>
  <c r="H3" i="142" l="1"/>
  <c r="T154" i="122"/>
  <c r="T112" i="122"/>
  <c r="T174" i="122"/>
  <c r="T190" i="122" s="1"/>
  <c r="T158" i="122"/>
  <c r="T131" i="122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5" i="122"/>
  <c r="E55" i="122"/>
  <c r="F139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6" i="122"/>
  <c r="H116" i="122"/>
  <c r="I116" i="122"/>
  <c r="K116" i="122"/>
  <c r="M116" i="122"/>
  <c r="N116" i="122"/>
  <c r="O116" i="122"/>
  <c r="P116" i="122"/>
  <c r="R116" i="122"/>
  <c r="F116" i="122"/>
  <c r="F75" i="129" l="1"/>
  <c r="G75" i="129"/>
  <c r="H75" i="129"/>
  <c r="I75" i="129"/>
  <c r="J75" i="129"/>
  <c r="K75" i="129"/>
  <c r="L75" i="129"/>
  <c r="M75" i="129"/>
  <c r="N75" i="129"/>
  <c r="O75" i="129"/>
  <c r="P75" i="129"/>
  <c r="Q75" i="129"/>
  <c r="E75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V88" i="120" l="1"/>
  <c r="H24" i="126"/>
  <c r="R10" i="122"/>
  <c r="R11" i="122"/>
  <c r="F34" i="135" l="1"/>
  <c r="T27" i="134" s="1"/>
  <c r="F23" i="135"/>
  <c r="T18" i="134" s="1"/>
  <c r="F24" i="135"/>
  <c r="T19" i="134" s="1"/>
  <c r="F25" i="135"/>
  <c r="T20" i="134" s="1"/>
  <c r="F27" i="135"/>
  <c r="T22" i="134" s="1"/>
  <c r="F28" i="135"/>
  <c r="T23" i="134" s="1"/>
  <c r="F29" i="135"/>
  <c r="T24" i="134" s="1"/>
  <c r="F22" i="135"/>
  <c r="T17" i="134" s="1"/>
  <c r="F18" i="135"/>
  <c r="T13" i="134" s="1"/>
  <c r="F13" i="135"/>
  <c r="T11" i="134" s="1"/>
  <c r="F14" i="135"/>
  <c r="F17" i="135"/>
  <c r="T12" i="134" s="1"/>
  <c r="F12" i="135"/>
  <c r="T10" i="134" s="1"/>
  <c r="T9" i="130" l="1"/>
  <c r="T9" i="134"/>
  <c r="T6" i="130" s="1"/>
  <c r="F11" i="120"/>
  <c r="R14" i="134"/>
  <c r="R31" i="134" s="1"/>
  <c r="R33" i="134" s="1"/>
  <c r="I16" i="130"/>
  <c r="J140" i="122" s="1"/>
  <c r="T14" i="134" l="1"/>
  <c r="T17" i="130"/>
  <c r="T21" i="130" s="1"/>
  <c r="T10" i="130"/>
  <c r="R35" i="134"/>
  <c r="R54" i="134"/>
  <c r="P16" i="130"/>
  <c r="Q140" i="122" s="1"/>
  <c r="J16" i="130"/>
  <c r="K140" i="122" s="1"/>
  <c r="K16" i="130"/>
  <c r="L140" i="122" s="1"/>
  <c r="L16" i="130"/>
  <c r="M140" i="122" s="1"/>
  <c r="M16" i="130"/>
  <c r="N140" i="122" s="1"/>
  <c r="N16" i="130"/>
  <c r="O140" i="122" s="1"/>
  <c r="O16" i="130"/>
  <c r="P140" i="122" s="1"/>
  <c r="T19" i="130" l="1"/>
  <c r="T23" i="130"/>
  <c r="E17" i="130"/>
  <c r="E19" i="130" s="1"/>
  <c r="F140" i="122" s="1"/>
  <c r="Q9" i="130"/>
  <c r="T141" i="122" l="1"/>
  <c r="U139" i="122"/>
  <c r="U141" i="122" s="1"/>
  <c r="F12" i="78"/>
  <c r="U178" i="122" l="1"/>
  <c r="U194" i="122" s="1"/>
  <c r="U142" i="122"/>
  <c r="T142" i="122"/>
  <c r="G2" i="145"/>
  <c r="U162" i="122"/>
  <c r="T178" i="122"/>
  <c r="T194" i="122" s="1"/>
  <c r="T162" i="122"/>
  <c r="F14" i="78"/>
  <c r="T25" i="134"/>
  <c r="B6" i="145" l="1"/>
  <c r="B7" i="145" s="1"/>
  <c r="F31" i="135"/>
  <c r="T26" i="134" s="1"/>
  <c r="T29" i="134" s="1"/>
  <c r="U100" i="122" s="1"/>
  <c r="U104" i="122" s="1"/>
  <c r="D19" i="135"/>
  <c r="Q72" i="120"/>
  <c r="L72" i="120"/>
  <c r="L75" i="120" s="1"/>
  <c r="N72" i="120"/>
  <c r="N75" i="120" s="1"/>
  <c r="F70" i="120"/>
  <c r="F63" i="120"/>
  <c r="J3" i="157" l="1"/>
  <c r="T166" i="122"/>
  <c r="T104" i="122"/>
  <c r="T31" i="134"/>
  <c r="T33" i="134" s="1"/>
  <c r="T54" i="134" s="1"/>
  <c r="F72" i="120"/>
  <c r="F75" i="120" s="1"/>
  <c r="F79" i="120" s="1"/>
  <c r="K74" i="120"/>
  <c r="O74" i="120" s="1"/>
  <c r="P74" i="120" s="1"/>
  <c r="V74" i="120" s="1"/>
  <c r="K66" i="120"/>
  <c r="K11" i="120"/>
  <c r="K32" i="120"/>
  <c r="K37" i="120"/>
  <c r="K61" i="120"/>
  <c r="K69" i="120"/>
  <c r="K36" i="120"/>
  <c r="K35" i="120"/>
  <c r="K52" i="120"/>
  <c r="K67" i="120"/>
  <c r="G21" i="120"/>
  <c r="K30" i="120"/>
  <c r="K51" i="120"/>
  <c r="K8" i="120"/>
  <c r="P8" i="120" s="1"/>
  <c r="K59" i="120"/>
  <c r="K9" i="120"/>
  <c r="K31" i="120"/>
  <c r="K58" i="120"/>
  <c r="K60" i="120"/>
  <c r="K68" i="120"/>
  <c r="K27" i="120"/>
  <c r="K28" i="120" s="1"/>
  <c r="G38" i="120"/>
  <c r="G12" i="120"/>
  <c r="K65" i="120"/>
  <c r="G63" i="120"/>
  <c r="G70" i="120"/>
  <c r="J63" i="120"/>
  <c r="J70" i="120"/>
  <c r="F19" i="135"/>
  <c r="F36" i="135"/>
  <c r="D38" i="135"/>
  <c r="D11" i="110"/>
  <c r="F11" i="110" s="1"/>
  <c r="P11" i="120" l="1"/>
  <c r="I3" i="157"/>
  <c r="U166" i="122"/>
  <c r="U182" i="122" s="1"/>
  <c r="B7" i="157"/>
  <c r="B8" i="157" s="1"/>
  <c r="M16" i="120" s="1"/>
  <c r="P10" i="120"/>
  <c r="O65" i="120"/>
  <c r="P65" i="120" s="1"/>
  <c r="V65" i="120" s="1"/>
  <c r="U152" i="122"/>
  <c r="T152" i="122"/>
  <c r="U105" i="122"/>
  <c r="T182" i="122"/>
  <c r="T105" i="122"/>
  <c r="T35" i="134"/>
  <c r="D15" i="110"/>
  <c r="F15" i="110"/>
  <c r="V85" i="120" s="1"/>
  <c r="F16" i="120"/>
  <c r="K16" i="120" s="1"/>
  <c r="K21" i="120" s="1"/>
  <c r="G72" i="120"/>
  <c r="K10" i="120"/>
  <c r="G39" i="120"/>
  <c r="G41" i="120" s="1"/>
  <c r="G49" i="120" s="1"/>
  <c r="J72" i="120"/>
  <c r="J75" i="120" s="1"/>
  <c r="J79" i="120" s="1"/>
  <c r="F38" i="135"/>
  <c r="T82" i="120" l="1"/>
  <c r="U82" i="120"/>
  <c r="P12" i="120"/>
  <c r="H28" i="126"/>
  <c r="M36" i="120"/>
  <c r="F21" i="120"/>
  <c r="G75" i="120"/>
  <c r="G79" i="120" s="1"/>
  <c r="G50" i="120" s="1"/>
  <c r="F40" i="135"/>
  <c r="F42" i="135" s="1"/>
  <c r="K47" i="120"/>
  <c r="L47" i="120"/>
  <c r="M47" i="120"/>
  <c r="N47" i="120"/>
  <c r="O47" i="120"/>
  <c r="P47" i="120"/>
  <c r="Q47" i="120"/>
  <c r="R47" i="120"/>
  <c r="S47" i="120"/>
  <c r="V47" i="120"/>
  <c r="F47" i="120"/>
  <c r="G47" i="120"/>
  <c r="J47" i="120"/>
  <c r="E47" i="120"/>
  <c r="F46" i="120"/>
  <c r="J46" i="120"/>
  <c r="K46" i="120"/>
  <c r="L46" i="120"/>
  <c r="M46" i="120"/>
  <c r="N46" i="120"/>
  <c r="O46" i="120"/>
  <c r="P46" i="120"/>
  <c r="Q46" i="120"/>
  <c r="R46" i="120"/>
  <c r="S46" i="120"/>
  <c r="H14" i="126" l="1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3" i="122" s="1"/>
  <c r="H82" i="122"/>
  <c r="H133" i="122" s="1"/>
  <c r="I82" i="122"/>
  <c r="I133" i="122" s="1"/>
  <c r="J82" i="122"/>
  <c r="J133" i="122" s="1"/>
  <c r="K82" i="122"/>
  <c r="K133" i="122" s="1"/>
  <c r="L82" i="122"/>
  <c r="L133" i="122" s="1"/>
  <c r="M176" i="122" s="1"/>
  <c r="M82" i="122"/>
  <c r="M133" i="122" s="1"/>
  <c r="N176" i="122" s="1"/>
  <c r="N82" i="122"/>
  <c r="N133" i="122" s="1"/>
  <c r="O176" i="122" s="1"/>
  <c r="O82" i="122"/>
  <c r="O133" i="122" s="1"/>
  <c r="P176" i="122" s="1"/>
  <c r="P82" i="122"/>
  <c r="P133" i="122" s="1"/>
  <c r="Q176" i="122" s="1"/>
  <c r="Q82" i="122"/>
  <c r="Q133" i="122" s="1"/>
  <c r="R176" i="122" s="1"/>
  <c r="R82" i="122"/>
  <c r="R133" i="122" s="1"/>
  <c r="F82" i="122"/>
  <c r="F133" i="122" s="1"/>
  <c r="F70" i="129"/>
  <c r="G70" i="129"/>
  <c r="H70" i="129"/>
  <c r="I70" i="129"/>
  <c r="J70" i="129"/>
  <c r="K70" i="129"/>
  <c r="L70" i="129"/>
  <c r="M70" i="129"/>
  <c r="N70" i="129"/>
  <c r="O70" i="129"/>
  <c r="P70" i="129"/>
  <c r="P108" i="129" s="1"/>
  <c r="Q70" i="129"/>
  <c r="Q108" i="129" s="1"/>
  <c r="F71" i="129"/>
  <c r="G71" i="129"/>
  <c r="H71" i="129"/>
  <c r="I71" i="129"/>
  <c r="J71" i="129"/>
  <c r="K71" i="129"/>
  <c r="L71" i="129"/>
  <c r="M71" i="129"/>
  <c r="N71" i="129"/>
  <c r="O71" i="129"/>
  <c r="P71" i="129"/>
  <c r="Q71" i="129"/>
  <c r="E71" i="129"/>
  <c r="Q60" i="129"/>
  <c r="R69" i="122" s="1"/>
  <c r="Q61" i="129"/>
  <c r="R70" i="122" s="1"/>
  <c r="Q62" i="129"/>
  <c r="R71" i="122" s="1"/>
  <c r="Q63" i="129"/>
  <c r="R72" i="122" s="1"/>
  <c r="Q64" i="129"/>
  <c r="R73" i="122" s="1"/>
  <c r="P61" i="129"/>
  <c r="Q70" i="122" s="1"/>
  <c r="P62" i="129"/>
  <c r="Q71" i="122" s="1"/>
  <c r="P63" i="129"/>
  <c r="Q72" i="122" s="1"/>
  <c r="P64" i="129"/>
  <c r="Q73" i="122" s="1"/>
  <c r="P60" i="129"/>
  <c r="Q69" i="122" s="1"/>
  <c r="P53" i="129"/>
  <c r="Q53" i="129"/>
  <c r="P54" i="129"/>
  <c r="Q54" i="129"/>
  <c r="P55" i="129"/>
  <c r="Q55" i="129"/>
  <c r="P56" i="129"/>
  <c r="Q56" i="129"/>
  <c r="P57" i="129"/>
  <c r="Q57" i="129"/>
  <c r="P68" i="129"/>
  <c r="Q77" i="122" s="1"/>
  <c r="Q68" i="129"/>
  <c r="R77" i="122" s="1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57" i="129"/>
  <c r="G57" i="129"/>
  <c r="H57" i="129"/>
  <c r="I57" i="129"/>
  <c r="J57" i="129"/>
  <c r="K57" i="129"/>
  <c r="L57" i="129"/>
  <c r="M57" i="129"/>
  <c r="N57" i="129"/>
  <c r="O57" i="129"/>
  <c r="F65" i="129"/>
  <c r="G65" i="129"/>
  <c r="H65" i="129"/>
  <c r="I65" i="129"/>
  <c r="J65" i="129"/>
  <c r="K65" i="129"/>
  <c r="L65" i="129"/>
  <c r="M65" i="129"/>
  <c r="N65" i="129"/>
  <c r="O65" i="129"/>
  <c r="F68" i="129"/>
  <c r="G68" i="129"/>
  <c r="H68" i="129"/>
  <c r="I68" i="129"/>
  <c r="J68" i="129"/>
  <c r="K68" i="129"/>
  <c r="L68" i="129"/>
  <c r="M68" i="129"/>
  <c r="N68" i="129"/>
  <c r="O68" i="129"/>
  <c r="E70" i="129"/>
  <c r="E68" i="129"/>
  <c r="E65" i="129"/>
  <c r="E54" i="129"/>
  <c r="E55" i="129"/>
  <c r="E56" i="129"/>
  <c r="E57" i="129"/>
  <c r="E53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7" i="122" s="1"/>
  <c r="H14" i="122"/>
  <c r="H137" i="122" s="1"/>
  <c r="I14" i="122"/>
  <c r="I137" i="122" s="1"/>
  <c r="J14" i="122"/>
  <c r="J137" i="122" s="1"/>
  <c r="K14" i="122"/>
  <c r="K137" i="122" s="1"/>
  <c r="L14" i="122"/>
  <c r="L137" i="122" s="1"/>
  <c r="M14" i="122"/>
  <c r="M137" i="122" s="1"/>
  <c r="N14" i="122"/>
  <c r="N137" i="122" s="1"/>
  <c r="O14" i="122"/>
  <c r="O137" i="122" s="1"/>
  <c r="P14" i="122"/>
  <c r="P137" i="122" s="1"/>
  <c r="Q14" i="122"/>
  <c r="Q137" i="122" s="1"/>
  <c r="R14" i="122"/>
  <c r="R137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1" i="122" s="1"/>
  <c r="H23" i="122"/>
  <c r="H121" i="122" s="1"/>
  <c r="I23" i="122"/>
  <c r="I121" i="122" s="1"/>
  <c r="J23" i="122"/>
  <c r="J121" i="122" s="1"/>
  <c r="K23" i="122"/>
  <c r="K121" i="122" s="1"/>
  <c r="L23" i="122"/>
  <c r="L121" i="122" s="1"/>
  <c r="M23" i="122"/>
  <c r="M121" i="122" s="1"/>
  <c r="N23" i="122"/>
  <c r="N121" i="122" s="1"/>
  <c r="O23" i="122"/>
  <c r="O121" i="122" s="1"/>
  <c r="P23" i="122"/>
  <c r="P121" i="122" s="1"/>
  <c r="Q23" i="122"/>
  <c r="Q121" i="122" s="1"/>
  <c r="R23" i="122"/>
  <c r="R121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9" i="122" s="1"/>
  <c r="H28" i="122"/>
  <c r="H109" i="122" s="1"/>
  <c r="I28" i="122"/>
  <c r="I109" i="122" s="1"/>
  <c r="J28" i="122"/>
  <c r="J109" i="122" s="1"/>
  <c r="K28" i="122"/>
  <c r="K109" i="122" s="1"/>
  <c r="L28" i="122"/>
  <c r="L109" i="122" s="1"/>
  <c r="M28" i="122"/>
  <c r="M109" i="122" s="1"/>
  <c r="N28" i="122"/>
  <c r="N109" i="122" s="1"/>
  <c r="O28" i="122"/>
  <c r="O109" i="122" s="1"/>
  <c r="P28" i="122"/>
  <c r="P109" i="122" s="1"/>
  <c r="Q28" i="122"/>
  <c r="Q109" i="122" s="1"/>
  <c r="R28" i="122"/>
  <c r="R109" i="122" s="1"/>
  <c r="G29" i="122"/>
  <c r="G122" i="122" s="1"/>
  <c r="H29" i="122"/>
  <c r="H122" i="122" s="1"/>
  <c r="I29" i="122"/>
  <c r="I122" i="122" s="1"/>
  <c r="J29" i="122"/>
  <c r="J122" i="122" s="1"/>
  <c r="K29" i="122"/>
  <c r="K122" i="122" s="1"/>
  <c r="L29" i="122"/>
  <c r="L122" i="122" s="1"/>
  <c r="M29" i="122"/>
  <c r="M122" i="122" s="1"/>
  <c r="N29" i="122"/>
  <c r="N122" i="122" s="1"/>
  <c r="O29" i="122"/>
  <c r="O122" i="122" s="1"/>
  <c r="P29" i="122"/>
  <c r="P122" i="122" s="1"/>
  <c r="Q29" i="122"/>
  <c r="Q122" i="122" s="1"/>
  <c r="R29" i="122"/>
  <c r="R122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10" i="122" s="1"/>
  <c r="H38" i="122"/>
  <c r="H110" i="122" s="1"/>
  <c r="I38" i="122"/>
  <c r="I110" i="122" s="1"/>
  <c r="J38" i="122"/>
  <c r="J110" i="122" s="1"/>
  <c r="K38" i="122"/>
  <c r="K110" i="122" s="1"/>
  <c r="L38" i="122"/>
  <c r="L110" i="122" s="1"/>
  <c r="M38" i="122"/>
  <c r="M110" i="122" s="1"/>
  <c r="N38" i="122"/>
  <c r="N110" i="122" s="1"/>
  <c r="O38" i="122"/>
  <c r="O110" i="122" s="1"/>
  <c r="P38" i="122"/>
  <c r="P110" i="122" s="1"/>
  <c r="Q38" i="122"/>
  <c r="Q110" i="122" s="1"/>
  <c r="R38" i="122"/>
  <c r="R110" i="122" s="1"/>
  <c r="G39" i="122"/>
  <c r="G123" i="122" s="1"/>
  <c r="H39" i="122"/>
  <c r="H123" i="122" s="1"/>
  <c r="I39" i="122"/>
  <c r="I123" i="122" s="1"/>
  <c r="J39" i="122"/>
  <c r="J123" i="122" s="1"/>
  <c r="K39" i="122"/>
  <c r="K123" i="122" s="1"/>
  <c r="L39" i="122"/>
  <c r="L123" i="122" s="1"/>
  <c r="M39" i="122"/>
  <c r="M123" i="122" s="1"/>
  <c r="N39" i="122"/>
  <c r="N123" i="122" s="1"/>
  <c r="O39" i="122"/>
  <c r="O123" i="122" s="1"/>
  <c r="P39" i="122"/>
  <c r="P123" i="122" s="1"/>
  <c r="Q39" i="122"/>
  <c r="Q123" i="122" s="1"/>
  <c r="R39" i="122"/>
  <c r="R123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10" i="122" s="1"/>
  <c r="F39" i="122"/>
  <c r="F123" i="122" s="1"/>
  <c r="F37" i="122"/>
  <c r="F98" i="122" s="1"/>
  <c r="F34" i="122"/>
  <c r="F97" i="122" s="1"/>
  <c r="F33" i="122"/>
  <c r="F96" i="122" s="1"/>
  <c r="F32" i="122"/>
  <c r="F95" i="122" s="1"/>
  <c r="F28" i="122"/>
  <c r="F109" i="122" s="1"/>
  <c r="F29" i="122"/>
  <c r="F122" i="122" s="1"/>
  <c r="F27" i="122"/>
  <c r="F94" i="122" s="1"/>
  <c r="F23" i="122"/>
  <c r="F121" i="122" s="1"/>
  <c r="F20" i="122"/>
  <c r="F93" i="122" s="1"/>
  <c r="F19" i="122"/>
  <c r="F92" i="122" s="1"/>
  <c r="F12" i="122"/>
  <c r="F14" i="122"/>
  <c r="F137" i="122" s="1"/>
  <c r="F141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U49" i="122" l="1"/>
  <c r="Q74" i="122"/>
  <c r="S176" i="122"/>
  <c r="S192" i="122" s="1"/>
  <c r="R192" i="122"/>
  <c r="N192" i="122"/>
  <c r="J176" i="122"/>
  <c r="J192" i="122" s="1"/>
  <c r="O192" i="122"/>
  <c r="K176" i="122"/>
  <c r="K192" i="122" s="1"/>
  <c r="P192" i="122"/>
  <c r="L176" i="122"/>
  <c r="L192" i="122" s="1"/>
  <c r="H176" i="122"/>
  <c r="H192" i="122" s="1"/>
  <c r="Q192" i="122"/>
  <c r="M192" i="122"/>
  <c r="I176" i="122"/>
  <c r="I192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8" i="129"/>
  <c r="N66" i="129" s="1"/>
  <c r="N69" i="129" s="1"/>
  <c r="N73" i="129" s="1"/>
  <c r="F58" i="129"/>
  <c r="F66" i="129" s="1"/>
  <c r="F69" i="129" s="1"/>
  <c r="F73" i="129" s="1"/>
  <c r="S134" i="122"/>
  <c r="S160" i="122"/>
  <c r="E35" i="134"/>
  <c r="E58" i="129"/>
  <c r="J58" i="129"/>
  <c r="J66" i="129" s="1"/>
  <c r="J69" i="129" s="1"/>
  <c r="J73" i="129" s="1"/>
  <c r="I58" i="129"/>
  <c r="I66" i="129" s="1"/>
  <c r="I69" i="129" s="1"/>
  <c r="I73" i="129" s="1"/>
  <c r="M58" i="129"/>
  <c r="M66" i="129" s="1"/>
  <c r="M69" i="129" s="1"/>
  <c r="M73" i="129" s="1"/>
  <c r="R74" i="122"/>
  <c r="I30" i="122"/>
  <c r="N30" i="122"/>
  <c r="G30" i="122"/>
  <c r="R40" i="122"/>
  <c r="J30" i="122"/>
  <c r="P160" i="122"/>
  <c r="H160" i="122"/>
  <c r="Q160" i="122"/>
  <c r="M160" i="122"/>
  <c r="I160" i="122"/>
  <c r="O160" i="122"/>
  <c r="K160" i="122"/>
  <c r="R30" i="122"/>
  <c r="M30" i="122"/>
  <c r="L160" i="122"/>
  <c r="N160" i="122"/>
  <c r="J160" i="122"/>
  <c r="P124" i="122"/>
  <c r="P30" i="122"/>
  <c r="Q30" i="122"/>
  <c r="L30" i="122"/>
  <c r="R160" i="122"/>
  <c r="O30" i="122"/>
  <c r="K30" i="122"/>
  <c r="H30" i="122"/>
  <c r="G13" i="122"/>
  <c r="G15" i="122" s="1"/>
  <c r="O13" i="122"/>
  <c r="O15" i="122" s="1"/>
  <c r="F124" i="122"/>
  <c r="R134" i="122"/>
  <c r="N134" i="122"/>
  <c r="J134" i="122"/>
  <c r="Q134" i="122"/>
  <c r="M134" i="122"/>
  <c r="I134" i="122"/>
  <c r="K134" i="122"/>
  <c r="G134" i="122"/>
  <c r="P134" i="122"/>
  <c r="L134" i="122"/>
  <c r="H134" i="122"/>
  <c r="O134" i="122"/>
  <c r="M124" i="122"/>
  <c r="R124" i="122"/>
  <c r="J124" i="122"/>
  <c r="J127" i="122" s="1"/>
  <c r="K172" i="122" s="1"/>
  <c r="K188" i="122" s="1"/>
  <c r="O124" i="122"/>
  <c r="K124" i="122"/>
  <c r="G124" i="122"/>
  <c r="Q124" i="122"/>
  <c r="I124" i="122"/>
  <c r="N124" i="122"/>
  <c r="L124" i="122"/>
  <c r="L127" i="122" s="1"/>
  <c r="H124" i="122"/>
  <c r="N99" i="122"/>
  <c r="K99" i="122"/>
  <c r="Q99" i="122"/>
  <c r="M99" i="122"/>
  <c r="I99" i="122"/>
  <c r="R99" i="122"/>
  <c r="J99" i="122"/>
  <c r="J104" i="122" s="1"/>
  <c r="F99" i="122"/>
  <c r="O99" i="122"/>
  <c r="G99" i="122"/>
  <c r="P99" i="122"/>
  <c r="L99" i="122"/>
  <c r="L104" i="122" s="1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8" i="129"/>
  <c r="O66" i="129" s="1"/>
  <c r="O69" i="129" s="1"/>
  <c r="O73" i="129" s="1"/>
  <c r="K58" i="129"/>
  <c r="K66" i="129" s="1"/>
  <c r="K69" i="129" s="1"/>
  <c r="K73" i="129" s="1"/>
  <c r="G58" i="129"/>
  <c r="G66" i="129" s="1"/>
  <c r="G69" i="129" s="1"/>
  <c r="G73" i="129" s="1"/>
  <c r="Q58" i="129"/>
  <c r="Q65" i="129"/>
  <c r="F13" i="122"/>
  <c r="F15" i="122" s="1"/>
  <c r="P13" i="122"/>
  <c r="P15" i="122" s="1"/>
  <c r="L13" i="122"/>
  <c r="L15" i="122" s="1"/>
  <c r="H13" i="122"/>
  <c r="H15" i="122" s="1"/>
  <c r="L58" i="129"/>
  <c r="L66" i="129" s="1"/>
  <c r="L69" i="129" s="1"/>
  <c r="L73" i="129" s="1"/>
  <c r="H58" i="129"/>
  <c r="H66" i="129" s="1"/>
  <c r="H69" i="129" s="1"/>
  <c r="H73" i="129" s="1"/>
  <c r="P65" i="129"/>
  <c r="P58" i="129"/>
  <c r="E72" i="120"/>
  <c r="E75" i="120" s="1"/>
  <c r="E79" i="120" s="1"/>
  <c r="R15" i="122"/>
  <c r="U51" i="122" l="1"/>
  <c r="M166" i="122"/>
  <c r="M182" i="122" s="1"/>
  <c r="M172" i="122"/>
  <c r="M188" i="122" s="1"/>
  <c r="Q66" i="129"/>
  <c r="Q69" i="129" s="1"/>
  <c r="Q73" i="129" s="1"/>
  <c r="P66" i="129"/>
  <c r="P69" i="129" s="1"/>
  <c r="P73" i="129" s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9" i="122" s="1"/>
  <c r="G17" i="130"/>
  <c r="G19" i="130" s="1"/>
  <c r="H139" i="122" s="1"/>
  <c r="F17" i="130"/>
  <c r="H16" i="130"/>
  <c r="I140" i="122" s="1"/>
  <c r="G16" i="130"/>
  <c r="H140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M63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M77" i="122"/>
  <c r="O74" i="129"/>
  <c r="J74" i="129"/>
  <c r="I74" i="129"/>
  <c r="G74" i="129"/>
  <c r="H74" i="129"/>
  <c r="L74" i="129"/>
  <c r="M74" i="129"/>
  <c r="N74" i="129"/>
  <c r="P74" i="129"/>
  <c r="Q74" i="129"/>
  <c r="F66" i="122"/>
  <c r="F64" i="122"/>
  <c r="F62" i="122"/>
  <c r="L74" i="122"/>
  <c r="L64" i="122"/>
  <c r="L66" i="122"/>
  <c r="L62" i="122"/>
  <c r="K74" i="129"/>
  <c r="E66" i="129"/>
  <c r="F104" i="129"/>
  <c r="G63" i="122" s="1"/>
  <c r="G104" i="129"/>
  <c r="H63" i="122" s="1"/>
  <c r="H104" i="129"/>
  <c r="I63" i="122" s="1"/>
  <c r="I104" i="129"/>
  <c r="J63" i="122" s="1"/>
  <c r="J104" i="129"/>
  <c r="K63" i="122" s="1"/>
  <c r="K104" i="129"/>
  <c r="L63" i="122" s="1"/>
  <c r="L104" i="129"/>
  <c r="M104" i="129"/>
  <c r="N63" i="122" s="1"/>
  <c r="F105" i="129"/>
  <c r="G65" i="122" s="1"/>
  <c r="G105" i="129"/>
  <c r="H65" i="122" s="1"/>
  <c r="H105" i="129"/>
  <c r="I65" i="122" s="1"/>
  <c r="I105" i="129"/>
  <c r="J65" i="122" s="1"/>
  <c r="J105" i="129"/>
  <c r="K65" i="122" s="1"/>
  <c r="K105" i="129"/>
  <c r="L65" i="122" s="1"/>
  <c r="L105" i="129"/>
  <c r="M65" i="122" s="1"/>
  <c r="M105" i="129"/>
  <c r="N65" i="122" s="1"/>
  <c r="N105" i="129"/>
  <c r="O65" i="122" s="1"/>
  <c r="O105" i="129"/>
  <c r="P65" i="122" s="1"/>
  <c r="F106" i="129"/>
  <c r="G74" i="122" s="1"/>
  <c r="G106" i="129"/>
  <c r="H74" i="122" s="1"/>
  <c r="H106" i="129"/>
  <c r="I74" i="122" s="1"/>
  <c r="I106" i="129"/>
  <c r="J74" i="122" s="1"/>
  <c r="J106" i="129"/>
  <c r="K74" i="122" s="1"/>
  <c r="K106" i="129"/>
  <c r="L106" i="129"/>
  <c r="M74" i="122" s="1"/>
  <c r="M106" i="129"/>
  <c r="N74" i="122" s="1"/>
  <c r="N106" i="129"/>
  <c r="O74" i="122" s="1"/>
  <c r="O106" i="129"/>
  <c r="P74" i="122" s="1"/>
  <c r="F107" i="129"/>
  <c r="G77" i="122" s="1"/>
  <c r="G107" i="129"/>
  <c r="H77" i="122" s="1"/>
  <c r="H107" i="129"/>
  <c r="I77" i="122" s="1"/>
  <c r="I107" i="129"/>
  <c r="J77" i="122" s="1"/>
  <c r="J107" i="129"/>
  <c r="K77" i="122" s="1"/>
  <c r="K107" i="129"/>
  <c r="L77" i="122" s="1"/>
  <c r="L107" i="129"/>
  <c r="M107" i="129"/>
  <c r="N77" i="122" s="1"/>
  <c r="F108" i="129"/>
  <c r="G108" i="129"/>
  <c r="H108" i="129"/>
  <c r="I108" i="129"/>
  <c r="J108" i="129"/>
  <c r="K108" i="129"/>
  <c r="L108" i="129"/>
  <c r="M108" i="129"/>
  <c r="N108" i="129"/>
  <c r="O108" i="129"/>
  <c r="E107" i="129"/>
  <c r="F77" i="122" s="1"/>
  <c r="E106" i="129"/>
  <c r="F74" i="122" s="1"/>
  <c r="E105" i="129"/>
  <c r="F65" i="122" s="1"/>
  <c r="E104" i="129"/>
  <c r="F63" i="122" s="1"/>
  <c r="N94" i="129"/>
  <c r="N107" i="129" s="1"/>
  <c r="O77" i="122" s="1"/>
  <c r="N92" i="129"/>
  <c r="N104" i="129" s="1"/>
  <c r="O63" i="122" s="1"/>
  <c r="E108" i="129"/>
  <c r="M103" i="129"/>
  <c r="N79" i="122" s="1"/>
  <c r="L103" i="129"/>
  <c r="M79" i="122" s="1"/>
  <c r="K103" i="129"/>
  <c r="L79" i="122" s="1"/>
  <c r="J103" i="129"/>
  <c r="K79" i="122" s="1"/>
  <c r="I103" i="129"/>
  <c r="J79" i="122" s="1"/>
  <c r="H103" i="129"/>
  <c r="I79" i="122" s="1"/>
  <c r="G103" i="129"/>
  <c r="H79" i="122" s="1"/>
  <c r="F103" i="129"/>
  <c r="G79" i="122" s="1"/>
  <c r="E103" i="129"/>
  <c r="F79" i="122" s="1"/>
  <c r="O94" i="129"/>
  <c r="O107" i="129" s="1"/>
  <c r="P77" i="122" s="1"/>
  <c r="O92" i="129"/>
  <c r="O103" i="129" s="1"/>
  <c r="P79" i="122" s="1"/>
  <c r="Q94" i="129"/>
  <c r="Q93" i="129"/>
  <c r="P100" i="129"/>
  <c r="P94" i="129"/>
  <c r="P92" i="129"/>
  <c r="T24" i="94"/>
  <c r="Q116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3" i="129" s="1"/>
  <c r="N22" i="122" s="1"/>
  <c r="M16" i="129"/>
  <c r="L23" i="129"/>
  <c r="L16" i="129"/>
  <c r="K23" i="129"/>
  <c r="K16" i="129"/>
  <c r="J23" i="129"/>
  <c r="J43" i="129" s="1"/>
  <c r="K22" i="122" s="1"/>
  <c r="I23" i="129"/>
  <c r="H23" i="129"/>
  <c r="G23" i="129"/>
  <c r="F23" i="129"/>
  <c r="E23" i="129"/>
  <c r="L43" i="129"/>
  <c r="M22" i="122" s="1"/>
  <c r="Q35" i="129"/>
  <c r="Q34" i="129"/>
  <c r="Q31" i="129"/>
  <c r="P31" i="129"/>
  <c r="P43" i="129" s="1"/>
  <c r="P18" i="129"/>
  <c r="P20" i="129" s="1"/>
  <c r="O33" i="129"/>
  <c r="O18" i="129"/>
  <c r="O31" i="129"/>
  <c r="N18" i="129"/>
  <c r="N20" i="129" s="1"/>
  <c r="N31" i="129"/>
  <c r="N43" i="129" s="1"/>
  <c r="O22" i="122" s="1"/>
  <c r="M18" i="129"/>
  <c r="L17" i="129"/>
  <c r="L18" i="129"/>
  <c r="K28" i="129"/>
  <c r="K43" i="129" s="1"/>
  <c r="K18" i="129"/>
  <c r="K17" i="129"/>
  <c r="J18" i="129"/>
  <c r="J20" i="129" s="1"/>
  <c r="I28" i="129"/>
  <c r="I18" i="129"/>
  <c r="I22" i="129"/>
  <c r="I17" i="129"/>
  <c r="I20" i="129" s="1"/>
  <c r="H22" i="129"/>
  <c r="H43" i="129" s="1"/>
  <c r="I22" i="122" s="1"/>
  <c r="H18" i="129"/>
  <c r="H17" i="129"/>
  <c r="G26" i="129"/>
  <c r="G22" i="129"/>
  <c r="G18" i="129"/>
  <c r="G17" i="129"/>
  <c r="G20" i="129" s="1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G43" i="129" l="1"/>
  <c r="H22" i="122" s="1"/>
  <c r="H115" i="122" s="1"/>
  <c r="H117" i="122" s="1"/>
  <c r="N103" i="129"/>
  <c r="O79" i="122" s="1"/>
  <c r="M20" i="129"/>
  <c r="M45" i="129" s="1"/>
  <c r="M46" i="129" s="1"/>
  <c r="O20" i="129"/>
  <c r="N115" i="122"/>
  <c r="N117" i="122" s="1"/>
  <c r="N21" i="122"/>
  <c r="K21" i="122"/>
  <c r="K115" i="122"/>
  <c r="K117" i="122" s="1"/>
  <c r="H21" i="122"/>
  <c r="O21" i="122"/>
  <c r="O115" i="122"/>
  <c r="O117" i="122" s="1"/>
  <c r="J45" i="129"/>
  <c r="J46" i="129" s="1"/>
  <c r="E20" i="129"/>
  <c r="F43" i="129"/>
  <c r="G22" i="122" s="1"/>
  <c r="H20" i="129"/>
  <c r="I43" i="129"/>
  <c r="J22" i="122" s="1"/>
  <c r="K20" i="129"/>
  <c r="K45" i="129" s="1"/>
  <c r="K46" i="129" s="1"/>
  <c r="L20" i="129"/>
  <c r="L45" i="129" s="1"/>
  <c r="O43" i="129"/>
  <c r="P22" i="122" s="1"/>
  <c r="P48" i="129"/>
  <c r="Q22" i="122"/>
  <c r="I115" i="122"/>
  <c r="I117" i="122" s="1"/>
  <c r="I21" i="122"/>
  <c r="K48" i="129"/>
  <c r="L22" i="122"/>
  <c r="E43" i="129"/>
  <c r="F22" i="122" s="1"/>
  <c r="F115" i="122" s="1"/>
  <c r="F117" i="122" s="1"/>
  <c r="M21" i="122"/>
  <c r="M115" i="122"/>
  <c r="M117" i="122" s="1"/>
  <c r="R139" i="122"/>
  <c r="R141" i="122" s="1"/>
  <c r="S178" i="122" s="1"/>
  <c r="S194" i="122" s="1"/>
  <c r="L19" i="130"/>
  <c r="L21" i="130"/>
  <c r="L23" i="130" s="1"/>
  <c r="I141" i="122"/>
  <c r="J178" i="122" s="1"/>
  <c r="J194" i="122" s="1"/>
  <c r="H21" i="130"/>
  <c r="H23" i="130" s="1"/>
  <c r="I19" i="130"/>
  <c r="I21" i="130"/>
  <c r="I23" i="130" s="1"/>
  <c r="M19" i="130"/>
  <c r="M21" i="130"/>
  <c r="M23" i="130" s="1"/>
  <c r="H141" i="122"/>
  <c r="I178" i="122" s="1"/>
  <c r="I194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9" i="129"/>
  <c r="E73" i="129" s="1"/>
  <c r="E74" i="129" s="1"/>
  <c r="J67" i="122"/>
  <c r="F67" i="122"/>
  <c r="O67" i="122"/>
  <c r="N67" i="122"/>
  <c r="I67" i="122"/>
  <c r="K67" i="122"/>
  <c r="G67" i="122"/>
  <c r="Q67" i="122"/>
  <c r="M67" i="122"/>
  <c r="H67" i="122"/>
  <c r="R67" i="122"/>
  <c r="L67" i="122"/>
  <c r="F74" i="129"/>
  <c r="P103" i="129"/>
  <c r="Q103" i="129"/>
  <c r="O104" i="129"/>
  <c r="P63" i="122" s="1"/>
  <c r="P67" i="122" s="1"/>
  <c r="F20" i="129"/>
  <c r="Q43" i="129"/>
  <c r="Q45" i="129" s="1"/>
  <c r="Q46" i="129" s="1"/>
  <c r="G48" i="129"/>
  <c r="H48" i="129"/>
  <c r="N45" i="129"/>
  <c r="N46" i="129" s="1"/>
  <c r="P45" i="129"/>
  <c r="F48" i="129"/>
  <c r="N48" i="129"/>
  <c r="G45" i="129"/>
  <c r="G46" i="129" s="1"/>
  <c r="H45" i="129"/>
  <c r="H46" i="129" s="1"/>
  <c r="L46" i="129"/>
  <c r="P46" i="129"/>
  <c r="M48" i="129"/>
  <c r="L48" i="129"/>
  <c r="J48" i="129"/>
  <c r="F45" i="129" l="1"/>
  <c r="F46" i="129" s="1"/>
  <c r="R75" i="122"/>
  <c r="R78" i="122" s="1"/>
  <c r="G3" i="144" s="1"/>
  <c r="Q75" i="122"/>
  <c r="Q78" i="122" s="1"/>
  <c r="F3" i="144" s="1"/>
  <c r="I48" i="129"/>
  <c r="I45" i="129"/>
  <c r="I46" i="129" s="1"/>
  <c r="E2" i="145"/>
  <c r="P115" i="122"/>
  <c r="P117" i="122" s="1"/>
  <c r="P21" i="122"/>
  <c r="O48" i="129"/>
  <c r="E48" i="129"/>
  <c r="E45" i="129"/>
  <c r="E46" i="129" s="1"/>
  <c r="K139" i="122"/>
  <c r="K141" i="122" s="1"/>
  <c r="P139" i="122"/>
  <c r="P141" i="122" s="1"/>
  <c r="Q178" i="122" s="1"/>
  <c r="Q194" i="122" s="1"/>
  <c r="Q139" i="122"/>
  <c r="Q141" i="122" s="1"/>
  <c r="N139" i="122"/>
  <c r="N141" i="122" s="1"/>
  <c r="G21" i="122"/>
  <c r="G115" i="122"/>
  <c r="G117" i="122" s="1"/>
  <c r="O108" i="122"/>
  <c r="O111" i="122" s="1"/>
  <c r="P170" i="122" s="1"/>
  <c r="O24" i="122"/>
  <c r="O41" i="122" s="1"/>
  <c r="O43" i="122" s="1"/>
  <c r="O51" i="122" s="1"/>
  <c r="K108" i="122"/>
  <c r="K111" i="122" s="1"/>
  <c r="K24" i="122"/>
  <c r="K41" i="122" s="1"/>
  <c r="K43" i="122" s="1"/>
  <c r="K51" i="122" s="1"/>
  <c r="Q48" i="129"/>
  <c r="R22" i="122"/>
  <c r="P110" i="129"/>
  <c r="P111" i="129" s="1"/>
  <c r="Q80" i="122" s="1"/>
  <c r="Q79" i="122"/>
  <c r="I108" i="122"/>
  <c r="I111" i="122" s="1"/>
  <c r="I24" i="122"/>
  <c r="I41" i="122" s="1"/>
  <c r="I43" i="122" s="1"/>
  <c r="I51" i="122" s="1"/>
  <c r="M108" i="122"/>
  <c r="M111" i="122" s="1"/>
  <c r="M24" i="122"/>
  <c r="M41" i="122" s="1"/>
  <c r="M43" i="122" s="1"/>
  <c r="M51" i="122" s="1"/>
  <c r="L21" i="122"/>
  <c r="L115" i="122"/>
  <c r="L117" i="122" s="1"/>
  <c r="Q115" i="122"/>
  <c r="Q117" i="122" s="1"/>
  <c r="Q21" i="122"/>
  <c r="N108" i="122"/>
  <c r="N111" i="122" s="1"/>
  <c r="N24" i="122"/>
  <c r="N41" i="122" s="1"/>
  <c r="N43" i="122" s="1"/>
  <c r="N51" i="122" s="1"/>
  <c r="O45" i="129"/>
  <c r="O46" i="129" s="1"/>
  <c r="O139" i="122"/>
  <c r="O141" i="122" s="1"/>
  <c r="P178" i="122" s="1"/>
  <c r="P194" i="122" s="1"/>
  <c r="G139" i="122"/>
  <c r="G141" i="122" s="1"/>
  <c r="L139" i="122"/>
  <c r="L141" i="122" s="1"/>
  <c r="J139" i="122"/>
  <c r="J141" i="122" s="1"/>
  <c r="M139" i="122"/>
  <c r="M141" i="122" s="1"/>
  <c r="N178" i="122" s="1"/>
  <c r="N194" i="122" s="1"/>
  <c r="J21" i="122"/>
  <c r="J115" i="122"/>
  <c r="J117" i="122" s="1"/>
  <c r="H108" i="122"/>
  <c r="H111" i="122" s="1"/>
  <c r="H24" i="122"/>
  <c r="H41" i="122" s="1"/>
  <c r="H43" i="122" s="1"/>
  <c r="H51" i="122" s="1"/>
  <c r="S162" i="122"/>
  <c r="S142" i="122"/>
  <c r="I162" i="122"/>
  <c r="I142" i="122"/>
  <c r="R79" i="122"/>
  <c r="F21" i="122"/>
  <c r="R83" i="122" l="1"/>
  <c r="R130" i="122"/>
  <c r="S174" i="122" s="1"/>
  <c r="S190" i="122" s="1"/>
  <c r="C3" i="142"/>
  <c r="O170" i="122"/>
  <c r="O186" i="122" s="1"/>
  <c r="B3" i="142"/>
  <c r="N170" i="122"/>
  <c r="N186" i="122" s="1"/>
  <c r="D2" i="145"/>
  <c r="R178" i="122"/>
  <c r="R194" i="122" s="1"/>
  <c r="M178" i="122"/>
  <c r="M194" i="122" s="1"/>
  <c r="O178" i="122"/>
  <c r="O194" i="122" s="1"/>
  <c r="D3" i="142"/>
  <c r="Q83" i="122"/>
  <c r="O142" i="122"/>
  <c r="M162" i="122"/>
  <c r="B2" i="145"/>
  <c r="C2" i="145"/>
  <c r="K178" i="122"/>
  <c r="K194" i="122" s="1"/>
  <c r="J142" i="122"/>
  <c r="J162" i="122"/>
  <c r="L178" i="122"/>
  <c r="L194" i="122" s="1"/>
  <c r="K142" i="122"/>
  <c r="K162" i="122"/>
  <c r="H178" i="122"/>
  <c r="H194" i="122" s="1"/>
  <c r="G142" i="122"/>
  <c r="H142" i="122"/>
  <c r="H162" i="122"/>
  <c r="Q142" i="122"/>
  <c r="R142" i="122"/>
  <c r="R162" i="122"/>
  <c r="Q162" i="122"/>
  <c r="N154" i="122"/>
  <c r="N112" i="122"/>
  <c r="I154" i="122"/>
  <c r="I112" i="122"/>
  <c r="J170" i="122"/>
  <c r="J186" i="122" s="1"/>
  <c r="O162" i="122"/>
  <c r="J14" i="103"/>
  <c r="Q108" i="122"/>
  <c r="Q111" i="122" s="1"/>
  <c r="R170" i="122" s="1"/>
  <c r="Q24" i="122"/>
  <c r="Q41" i="122" s="1"/>
  <c r="Q43" i="122" s="1"/>
  <c r="Q51" i="122" s="1"/>
  <c r="L108" i="122"/>
  <c r="L111" i="122" s="1"/>
  <c r="M154" i="122" s="1"/>
  <c r="L24" i="122"/>
  <c r="L41" i="122" s="1"/>
  <c r="L43" i="122" s="1"/>
  <c r="L51" i="122" s="1"/>
  <c r="P186" i="122"/>
  <c r="O154" i="122"/>
  <c r="O112" i="122"/>
  <c r="N162" i="122"/>
  <c r="P142" i="122"/>
  <c r="M142" i="122"/>
  <c r="L162" i="122"/>
  <c r="J108" i="122"/>
  <c r="J111" i="122" s="1"/>
  <c r="K154" i="122" s="1"/>
  <c r="J24" i="122"/>
  <c r="J41" i="122" s="1"/>
  <c r="J43" i="122" s="1"/>
  <c r="J51" i="122" s="1"/>
  <c r="L170" i="122"/>
  <c r="L186" i="122" s="1"/>
  <c r="G108" i="122"/>
  <c r="G111" i="122" s="1"/>
  <c r="H170" i="122" s="1"/>
  <c r="H186" i="122" s="1"/>
  <c r="G24" i="122"/>
  <c r="G41" i="122" s="1"/>
  <c r="G43" i="122" s="1"/>
  <c r="G51" i="122" s="1"/>
  <c r="P24" i="122"/>
  <c r="P41" i="122" s="1"/>
  <c r="P43" i="122" s="1"/>
  <c r="P51" i="122" s="1"/>
  <c r="P108" i="122"/>
  <c r="P111" i="122" s="1"/>
  <c r="Q170" i="122" s="1"/>
  <c r="I170" i="122"/>
  <c r="I186" i="122" s="1"/>
  <c r="N142" i="122"/>
  <c r="P162" i="122"/>
  <c r="L142" i="122"/>
  <c r="R21" i="122"/>
  <c r="R115" i="122"/>
  <c r="R117" i="122" s="1"/>
  <c r="F24" i="122"/>
  <c r="F41" i="122" s="1"/>
  <c r="F43" i="122" s="1"/>
  <c r="F51" i="122" s="1"/>
  <c r="F108" i="122"/>
  <c r="F111" i="122" s="1"/>
  <c r="U12" i="91"/>
  <c r="U15" i="91" s="1"/>
  <c r="U17" i="91" s="1"/>
  <c r="U12" i="94"/>
  <c r="U15" i="94" s="1"/>
  <c r="U17" i="94" s="1"/>
  <c r="U26" i="94"/>
  <c r="U26" i="91"/>
  <c r="S158" i="122" l="1"/>
  <c r="S131" i="122"/>
  <c r="M112" i="122"/>
  <c r="M170" i="122"/>
  <c r="M186" i="122" s="1"/>
  <c r="E3" i="142"/>
  <c r="F3" i="142"/>
  <c r="H112" i="122"/>
  <c r="H154" i="122"/>
  <c r="R186" i="122"/>
  <c r="Q154" i="122"/>
  <c r="Q112" i="122"/>
  <c r="K170" i="122"/>
  <c r="K186" i="122" s="1"/>
  <c r="J112" i="122"/>
  <c r="J154" i="122"/>
  <c r="P112" i="122"/>
  <c r="P154" i="122"/>
  <c r="Q186" i="122"/>
  <c r="K112" i="122"/>
  <c r="L154" i="122"/>
  <c r="L112" i="122"/>
  <c r="R108" i="122"/>
  <c r="R111" i="122" s="1"/>
  <c r="S170" i="122" s="1"/>
  <c r="R24" i="122"/>
  <c r="R41" i="122" s="1"/>
  <c r="R43" i="122" s="1"/>
  <c r="R51" i="122" s="1"/>
  <c r="U39" i="94"/>
  <c r="U42" i="94" s="1"/>
  <c r="G112" i="122"/>
  <c r="U34" i="94"/>
  <c r="U31" i="94"/>
  <c r="R126" i="122" s="1"/>
  <c r="U34" i="91"/>
  <c r="R101" i="122" s="1"/>
  <c r="U39" i="91"/>
  <c r="U42" i="91" s="1"/>
  <c r="U31" i="91"/>
  <c r="R125" i="122" s="1"/>
  <c r="K22" i="87"/>
  <c r="R28" i="120"/>
  <c r="R38" i="120"/>
  <c r="O52" i="120"/>
  <c r="P52" i="120" s="1"/>
  <c r="V52" i="120" s="1"/>
  <c r="K75" i="122"/>
  <c r="N75" i="122"/>
  <c r="N78" i="122" s="1"/>
  <c r="C3" i="144" s="1"/>
  <c r="M75" i="122"/>
  <c r="M78" i="122" s="1"/>
  <c r="B3" i="144" s="1"/>
  <c r="H75" i="122"/>
  <c r="H78" i="122" s="1"/>
  <c r="G75" i="122"/>
  <c r="G78" i="122" s="1"/>
  <c r="F75" i="122"/>
  <c r="F78" i="122" s="1"/>
  <c r="V64" i="120"/>
  <c r="Q41" i="120"/>
  <c r="F38" i="120"/>
  <c r="D37" i="110"/>
  <c r="F37" i="11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6" i="122" s="1"/>
  <c r="S12" i="94"/>
  <c r="S34" i="94" s="1"/>
  <c r="R12" i="94"/>
  <c r="R39" i="94" s="1"/>
  <c r="R42" i="94" s="1"/>
  <c r="Q12" i="94"/>
  <c r="P12" i="94"/>
  <c r="O12" i="94"/>
  <c r="O15" i="94" s="1"/>
  <c r="O17" i="94" s="1"/>
  <c r="N12" i="94"/>
  <c r="N31" i="94" s="1"/>
  <c r="K126" i="122" s="1"/>
  <c r="M12" i="94"/>
  <c r="M34" i="94" s="1"/>
  <c r="L12" i="94"/>
  <c r="L31" i="94" s="1"/>
  <c r="K12" i="94"/>
  <c r="K39" i="94" s="1"/>
  <c r="J12" i="94"/>
  <c r="J31" i="94" s="1"/>
  <c r="I12" i="94"/>
  <c r="I34" i="94" s="1"/>
  <c r="N15" i="94"/>
  <c r="N17" i="94" s="1"/>
  <c r="P15" i="94"/>
  <c r="P17" i="94" s="1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G12" i="103" s="1"/>
  <c r="I12" i="103" s="1"/>
  <c r="E12" i="103" s="1"/>
  <c r="F30" i="78"/>
  <c r="N39" i="91"/>
  <c r="N42" i="91" s="1"/>
  <c r="P39" i="91"/>
  <c r="P42" i="91" s="1"/>
  <c r="Q39" i="91"/>
  <c r="Q42" i="91"/>
  <c r="R39" i="91"/>
  <c r="R42" i="91" s="1"/>
  <c r="T39" i="91"/>
  <c r="P15" i="91"/>
  <c r="P17" i="91" s="1"/>
  <c r="Q15" i="91"/>
  <c r="Q17" i="91" s="1"/>
  <c r="T15" i="91"/>
  <c r="T17" i="91" s="1"/>
  <c r="N31" i="91"/>
  <c r="K125" i="122" s="1"/>
  <c r="N32" i="91"/>
  <c r="P31" i="91"/>
  <c r="M125" i="122" s="1"/>
  <c r="Q31" i="91"/>
  <c r="N125" i="122" s="1"/>
  <c r="R31" i="91"/>
  <c r="O125" i="122" s="1"/>
  <c r="T31" i="91"/>
  <c r="Q125" i="122" s="1"/>
  <c r="P34" i="94"/>
  <c r="P31" i="94"/>
  <c r="M126" i="122" s="1"/>
  <c r="R34" i="94"/>
  <c r="O31" i="94"/>
  <c r="O32" i="94"/>
  <c r="T34" i="91"/>
  <c r="Q101" i="122" s="1"/>
  <c r="P39" i="94"/>
  <c r="P42" i="94" s="1"/>
  <c r="T34" i="94"/>
  <c r="Q102" i="122" s="1"/>
  <c r="Q32" i="91"/>
  <c r="T42" i="91"/>
  <c r="O51" i="120"/>
  <c r="P51" i="120" s="1"/>
  <c r="V51" i="120" s="1"/>
  <c r="O17" i="120"/>
  <c r="P17" i="120" s="1"/>
  <c r="R32" i="91"/>
  <c r="R43" i="91" s="1"/>
  <c r="T39" i="94"/>
  <c r="T42" i="94" s="1"/>
  <c r="F10" i="120"/>
  <c r="J28" i="120"/>
  <c r="I75" i="122"/>
  <c r="I78" i="122" s="1"/>
  <c r="J21" i="120"/>
  <c r="O39" i="94"/>
  <c r="O42" i="94" s="1"/>
  <c r="N32" i="94" l="1"/>
  <c r="P32" i="94"/>
  <c r="P43" i="94" s="1"/>
  <c r="Q43" i="91"/>
  <c r="Q45" i="91" s="1"/>
  <c r="R31" i="94"/>
  <c r="O126" i="122" s="1"/>
  <c r="N34" i="94"/>
  <c r="R15" i="91"/>
  <c r="R17" i="91" s="1"/>
  <c r="R45" i="91" s="1"/>
  <c r="R48" i="91" s="1"/>
  <c r="R53" i="91" s="1"/>
  <c r="N39" i="94"/>
  <c r="N42" i="94" s="1"/>
  <c r="N43" i="94" s="1"/>
  <c r="N45" i="94" s="1"/>
  <c r="N48" i="94" s="1"/>
  <c r="N53" i="94" s="1"/>
  <c r="O34" i="94"/>
  <c r="O43" i="94" s="1"/>
  <c r="O45" i="94" s="1"/>
  <c r="N15" i="91"/>
  <c r="N17" i="91" s="1"/>
  <c r="M101" i="122"/>
  <c r="R15" i="94"/>
  <c r="R17" i="94" s="1"/>
  <c r="Q127" i="122"/>
  <c r="R172" i="122" s="1"/>
  <c r="R188" i="122" s="1"/>
  <c r="F50" i="120"/>
  <c r="I50" i="120"/>
  <c r="I54" i="120" s="1"/>
  <c r="Q104" i="122"/>
  <c r="G3" i="142"/>
  <c r="K127" i="122"/>
  <c r="L156" i="122" s="1"/>
  <c r="M127" i="122"/>
  <c r="N172" i="122" s="1"/>
  <c r="R127" i="122"/>
  <c r="S172" i="122" s="1"/>
  <c r="S188" i="122" s="1"/>
  <c r="P45" i="94"/>
  <c r="P48" i="94" s="1"/>
  <c r="P101" i="122"/>
  <c r="O102" i="122"/>
  <c r="S31" i="91"/>
  <c r="P125" i="122" s="1"/>
  <c r="S15" i="91"/>
  <c r="S17" i="91" s="1"/>
  <c r="O15" i="91"/>
  <c r="O17" i="91" s="1"/>
  <c r="S39" i="91"/>
  <c r="S42" i="91" s="1"/>
  <c r="R102" i="122"/>
  <c r="R104" i="122" s="1"/>
  <c r="Q34" i="94"/>
  <c r="N102" i="122" s="1"/>
  <c r="Q31" i="94"/>
  <c r="N126" i="122" s="1"/>
  <c r="N127" i="122" s="1"/>
  <c r="Q39" i="94"/>
  <c r="Q42" i="94" s="1"/>
  <c r="P32" i="91"/>
  <c r="P43" i="91" s="1"/>
  <c r="P45" i="91" s="1"/>
  <c r="P48" i="91" s="1"/>
  <c r="P53" i="91" s="1"/>
  <c r="O127" i="122"/>
  <c r="P172" i="122" s="1"/>
  <c r="N43" i="91"/>
  <c r="N101" i="122"/>
  <c r="S15" i="94"/>
  <c r="S17" i="94" s="1"/>
  <c r="S31" i="94"/>
  <c r="S186" i="122"/>
  <c r="S154" i="122"/>
  <c r="R154" i="122"/>
  <c r="R112" i="122"/>
  <c r="S112" i="122"/>
  <c r="O34" i="91"/>
  <c r="O31" i="91"/>
  <c r="O32" i="91" s="1"/>
  <c r="O43" i="91" s="1"/>
  <c r="O45" i="91" s="1"/>
  <c r="R32" i="94"/>
  <c r="R43" i="94" s="1"/>
  <c r="R45" i="94" s="1"/>
  <c r="Q15" i="94"/>
  <c r="Q17" i="94" s="1"/>
  <c r="M102" i="122"/>
  <c r="T32" i="91"/>
  <c r="T43" i="91" s="1"/>
  <c r="T45" i="91" s="1"/>
  <c r="T48" i="91" s="1"/>
  <c r="T53" i="91" s="1"/>
  <c r="K101" i="122"/>
  <c r="O101" i="122"/>
  <c r="R9" i="120"/>
  <c r="R17" i="120"/>
  <c r="G20" i="103"/>
  <c r="I20" i="103" s="1"/>
  <c r="F33" i="78"/>
  <c r="M39" i="91"/>
  <c r="M42" i="91" s="1"/>
  <c r="J50" i="120"/>
  <c r="H130" i="122"/>
  <c r="H83" i="122"/>
  <c r="G130" i="122"/>
  <c r="G83" i="122"/>
  <c r="F130" i="122"/>
  <c r="F83" i="122"/>
  <c r="N130" i="122"/>
  <c r="O174" i="122" s="1"/>
  <c r="N83" i="122"/>
  <c r="I130" i="122"/>
  <c r="J174" i="122" s="1"/>
  <c r="J190" i="122" s="1"/>
  <c r="I83" i="122"/>
  <c r="M130" i="122"/>
  <c r="N174" i="122" s="1"/>
  <c r="M83" i="122"/>
  <c r="J39" i="91"/>
  <c r="J42" i="91" s="1"/>
  <c r="I126" i="122"/>
  <c r="G126" i="122"/>
  <c r="L39" i="94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5" i="122" s="1"/>
  <c r="M15" i="91"/>
  <c r="M17" i="91" s="1"/>
  <c r="I39" i="91"/>
  <c r="I42" i="91" s="1"/>
  <c r="J32" i="94"/>
  <c r="L31" i="91"/>
  <c r="I125" i="122" s="1"/>
  <c r="L39" i="91"/>
  <c r="L42" i="91" s="1"/>
  <c r="K42" i="94"/>
  <c r="K15" i="94"/>
  <c r="K17" i="94" s="1"/>
  <c r="I31" i="94"/>
  <c r="F126" i="122" s="1"/>
  <c r="K31" i="94"/>
  <c r="H126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5" i="122" s="1"/>
  <c r="J15" i="91"/>
  <c r="J17" i="91" s="1"/>
  <c r="K39" i="91"/>
  <c r="K42" i="91" s="1"/>
  <c r="F39" i="120"/>
  <c r="F12" i="120"/>
  <c r="K20" i="87"/>
  <c r="Q130" i="122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5" i="78"/>
  <c r="K21" i="87"/>
  <c r="K63" i="120"/>
  <c r="K70" i="120"/>
  <c r="P53" i="94"/>
  <c r="R48" i="94"/>
  <c r="R53" i="94" s="1"/>
  <c r="T43" i="94"/>
  <c r="T45" i="94" s="1"/>
  <c r="J10" i="120"/>
  <c r="J12" i="120" s="1"/>
  <c r="J38" i="120"/>
  <c r="J39" i="120" s="1"/>
  <c r="K38" i="120"/>
  <c r="S32" i="91"/>
  <c r="S43" i="91" s="1"/>
  <c r="S39" i="94"/>
  <c r="P102" i="122" s="1"/>
  <c r="M104" i="122" l="1"/>
  <c r="B3" i="157" s="1"/>
  <c r="O48" i="94"/>
  <c r="O53" i="94" s="1"/>
  <c r="G3" i="157"/>
  <c r="S166" i="122"/>
  <c r="S182" i="122" s="1"/>
  <c r="N104" i="122"/>
  <c r="K102" i="122"/>
  <c r="K104" i="122" s="1"/>
  <c r="L166" i="122" s="1"/>
  <c r="L182" i="122" s="1"/>
  <c r="E20" i="103"/>
  <c r="S17" i="120" s="1"/>
  <c r="V17" i="120" s="1"/>
  <c r="N45" i="91"/>
  <c r="F3" i="157"/>
  <c r="R166" i="122"/>
  <c r="R182" i="122" s="1"/>
  <c r="F3" i="143"/>
  <c r="R128" i="122"/>
  <c r="C3" i="143"/>
  <c r="O172" i="122"/>
  <c r="O188" i="122" s="1"/>
  <c r="R156" i="122"/>
  <c r="P104" i="122"/>
  <c r="O104" i="122"/>
  <c r="R174" i="122"/>
  <c r="R190" i="122" s="1"/>
  <c r="M156" i="122"/>
  <c r="B3" i="143"/>
  <c r="D3" i="143"/>
  <c r="G3" i="143"/>
  <c r="S152" i="122"/>
  <c r="K156" i="122"/>
  <c r="L128" i="122"/>
  <c r="N188" i="122"/>
  <c r="M128" i="122"/>
  <c r="S156" i="122"/>
  <c r="K128" i="122"/>
  <c r="L172" i="122"/>
  <c r="L188" i="122" s="1"/>
  <c r="R152" i="122"/>
  <c r="S128" i="122"/>
  <c r="M105" i="122"/>
  <c r="O48" i="91"/>
  <c r="O53" i="91" s="1"/>
  <c r="R105" i="122"/>
  <c r="P188" i="122"/>
  <c r="O156" i="122"/>
  <c r="O128" i="122"/>
  <c r="S105" i="122"/>
  <c r="N128" i="122"/>
  <c r="N156" i="122"/>
  <c r="P126" i="122"/>
  <c r="P127" i="122" s="1"/>
  <c r="Q172" i="122" s="1"/>
  <c r="S32" i="94"/>
  <c r="S45" i="91"/>
  <c r="N48" i="91"/>
  <c r="N53" i="91"/>
  <c r="N190" i="122"/>
  <c r="O190" i="122"/>
  <c r="H174" i="122"/>
  <c r="H190" i="122" s="1"/>
  <c r="I174" i="122"/>
  <c r="I190" i="122" s="1"/>
  <c r="R16" i="120"/>
  <c r="R21" i="120" s="1"/>
  <c r="R39" i="120" s="1"/>
  <c r="G13" i="103"/>
  <c r="G14" i="103" s="1"/>
  <c r="G131" i="122"/>
  <c r="G19" i="103"/>
  <c r="I19" i="103" s="1"/>
  <c r="R11" i="120"/>
  <c r="M43" i="91"/>
  <c r="M45" i="91" s="1"/>
  <c r="M48" i="91" s="1"/>
  <c r="N158" i="122"/>
  <c r="H131" i="122"/>
  <c r="H158" i="122"/>
  <c r="I158" i="122"/>
  <c r="N131" i="122"/>
  <c r="K130" i="122"/>
  <c r="L174" i="122" s="1"/>
  <c r="L190" i="122" s="1"/>
  <c r="K83" i="122"/>
  <c r="I131" i="122"/>
  <c r="G101" i="122"/>
  <c r="F101" i="122"/>
  <c r="F104" i="122" s="1"/>
  <c r="M43" i="94"/>
  <c r="M45" i="94" s="1"/>
  <c r="M48" i="94" s="1"/>
  <c r="M53" i="94" s="1"/>
  <c r="K166" i="122"/>
  <c r="K182" i="122" s="1"/>
  <c r="I127" i="122"/>
  <c r="J172" i="122" s="1"/>
  <c r="J188" i="122" s="1"/>
  <c r="R158" i="122"/>
  <c r="G127" i="122"/>
  <c r="H172" i="122" s="1"/>
  <c r="H188" i="122" s="1"/>
  <c r="H125" i="122"/>
  <c r="H127" i="122" s="1"/>
  <c r="I172" i="122" s="1"/>
  <c r="I188" i="122" s="1"/>
  <c r="G102" i="122"/>
  <c r="H102" i="122"/>
  <c r="I101" i="122"/>
  <c r="I102" i="122"/>
  <c r="F127" i="122"/>
  <c r="H101" i="122"/>
  <c r="H104" i="122" s="1"/>
  <c r="R131" i="122"/>
  <c r="L42" i="94"/>
  <c r="L43" i="94" s="1"/>
  <c r="L45" i="94" s="1"/>
  <c r="L48" i="94" s="1"/>
  <c r="L53" i="94" s="1"/>
  <c r="K72" i="120"/>
  <c r="K75" i="120" s="1"/>
  <c r="L32" i="91"/>
  <c r="L43" i="91" s="1"/>
  <c r="I32" i="91"/>
  <c r="I43" i="91" s="1"/>
  <c r="K32" i="91"/>
  <c r="K43" i="91" s="1"/>
  <c r="K45" i="91" s="1"/>
  <c r="K48" i="91" s="1"/>
  <c r="K53" i="91" s="1"/>
  <c r="F35" i="78"/>
  <c r="R10" i="120"/>
  <c r="I42" i="94"/>
  <c r="J42" i="94"/>
  <c r="J43" i="94" s="1"/>
  <c r="J45" i="94" s="1"/>
  <c r="I32" i="94"/>
  <c r="K32" i="94"/>
  <c r="K43" i="94" s="1"/>
  <c r="K45" i="94" s="1"/>
  <c r="J32" i="91"/>
  <c r="J43" i="91" s="1"/>
  <c r="F41" i="120"/>
  <c r="K8" i="87"/>
  <c r="K7" i="87"/>
  <c r="U45" i="91"/>
  <c r="U48" i="91" s="1"/>
  <c r="U53" i="91" s="1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K12" i="120"/>
  <c r="T48" i="94"/>
  <c r="T53" i="94" s="1"/>
  <c r="O75" i="122"/>
  <c r="O78" i="122" s="1"/>
  <c r="D3" i="144" s="1"/>
  <c r="J41" i="120"/>
  <c r="J49" i="120" s="1"/>
  <c r="Q48" i="91"/>
  <c r="Q53" i="91" s="1"/>
  <c r="M152" i="122" l="1"/>
  <c r="L105" i="122"/>
  <c r="N166" i="122"/>
  <c r="N182" i="122" s="1"/>
  <c r="E3" i="157"/>
  <c r="Q166" i="122"/>
  <c r="C3" i="157"/>
  <c r="O166" i="122"/>
  <c r="O182" i="122" s="1"/>
  <c r="L152" i="122"/>
  <c r="D3" i="157"/>
  <c r="P166" i="122"/>
  <c r="P182" i="122" s="1"/>
  <c r="G104" i="122"/>
  <c r="I104" i="122"/>
  <c r="J166" i="122" s="1"/>
  <c r="J182" i="122" s="1"/>
  <c r="Q182" i="122"/>
  <c r="E3" i="143"/>
  <c r="O105" i="122"/>
  <c r="Q152" i="122"/>
  <c r="Q188" i="122"/>
  <c r="P156" i="122"/>
  <c r="P128" i="122"/>
  <c r="Q156" i="122"/>
  <c r="Q128" i="122"/>
  <c r="N152" i="122"/>
  <c r="N105" i="122"/>
  <c r="P152" i="122"/>
  <c r="P105" i="122"/>
  <c r="O152" i="122"/>
  <c r="Q105" i="122"/>
  <c r="S9" i="120"/>
  <c r="V9" i="120" s="1"/>
  <c r="I13" i="103"/>
  <c r="G24" i="103"/>
  <c r="G41" i="103" s="1"/>
  <c r="I14" i="103"/>
  <c r="G15" i="103"/>
  <c r="R12" i="120"/>
  <c r="R41" i="120" s="1"/>
  <c r="F49" i="120"/>
  <c r="F54" i="120" s="1"/>
  <c r="J156" i="122"/>
  <c r="O130" i="122"/>
  <c r="P174" i="122" s="1"/>
  <c r="O83" i="122"/>
  <c r="L130" i="122"/>
  <c r="M174" i="122" s="1"/>
  <c r="L83" i="122"/>
  <c r="I166" i="122"/>
  <c r="I182" i="122" s="1"/>
  <c r="J128" i="122"/>
  <c r="I156" i="122"/>
  <c r="K152" i="122"/>
  <c r="G128" i="122"/>
  <c r="H128" i="122"/>
  <c r="H156" i="122"/>
  <c r="I128" i="122"/>
  <c r="M53" i="91"/>
  <c r="K79" i="120"/>
  <c r="L45" i="91"/>
  <c r="L48" i="91" s="1"/>
  <c r="L53" i="91" s="1"/>
  <c r="I45" i="91"/>
  <c r="I48" i="91" s="1"/>
  <c r="I53" i="91" s="1"/>
  <c r="F37" i="78"/>
  <c r="F39" i="78" s="1"/>
  <c r="K39" i="120"/>
  <c r="K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E3" i="144" s="1"/>
  <c r="L17" i="87"/>
  <c r="M17" i="87" s="1"/>
  <c r="L15" i="87"/>
  <c r="M15" i="87" s="1"/>
  <c r="L21" i="87"/>
  <c r="M21" i="87" s="1"/>
  <c r="O11" i="87"/>
  <c r="L7" i="87"/>
  <c r="M7" i="87" s="1"/>
  <c r="L14" i="87"/>
  <c r="M14" i="87" s="1"/>
  <c r="L8" i="87"/>
  <c r="M8" i="87" s="1"/>
  <c r="S48" i="94"/>
  <c r="S53" i="94" s="1"/>
  <c r="Q48" i="94"/>
  <c r="Q53" i="94" s="1"/>
  <c r="O18" i="87"/>
  <c r="L13" i="87"/>
  <c r="M13" i="87" s="1"/>
  <c r="L16" i="87"/>
  <c r="M16" i="87" s="1"/>
  <c r="L20" i="87"/>
  <c r="M20" i="87" s="1"/>
  <c r="O22" i="87"/>
  <c r="L11" i="87"/>
  <c r="M11" i="87" s="1"/>
  <c r="L18" i="87"/>
  <c r="M18" i="87" s="1"/>
  <c r="L22" i="87"/>
  <c r="M22" i="87" s="1"/>
  <c r="R49" i="120" l="1"/>
  <c r="R54" i="120" s="1"/>
  <c r="P190" i="122"/>
  <c r="H166" i="122"/>
  <c r="H182" i="122" s="1"/>
  <c r="L158" i="122"/>
  <c r="M190" i="122"/>
  <c r="M131" i="122"/>
  <c r="L131" i="122"/>
  <c r="E19" i="103"/>
  <c r="S16" i="120" s="1"/>
  <c r="I24" i="103"/>
  <c r="I41" i="103" s="1"/>
  <c r="G43" i="103"/>
  <c r="G46" i="103" s="1"/>
  <c r="G51" i="103" s="1"/>
  <c r="I15" i="103"/>
  <c r="E14" i="103"/>
  <c r="S11" i="120" s="1"/>
  <c r="V11" i="120" s="1"/>
  <c r="M158" i="122"/>
  <c r="P130" i="122"/>
  <c r="P83" i="122"/>
  <c r="O131" i="122"/>
  <c r="O158" i="122"/>
  <c r="J130" i="122"/>
  <c r="K174" i="122" s="1"/>
  <c r="K190" i="122" s="1"/>
  <c r="J83" i="122"/>
  <c r="H152" i="122"/>
  <c r="I152" i="122"/>
  <c r="J152" i="122"/>
  <c r="J48" i="91"/>
  <c r="J53" i="91" s="1"/>
  <c r="N22" i="87"/>
  <c r="P22" i="87" s="1"/>
  <c r="N18" i="87"/>
  <c r="P18" i="87" s="1"/>
  <c r="N11" i="87"/>
  <c r="P11" i="87" s="1"/>
  <c r="O24" i="87"/>
  <c r="X11" i="120" l="1"/>
  <c r="Q174" i="122"/>
  <c r="Q190" i="122" s="1"/>
  <c r="V90" i="120"/>
  <c r="S21" i="120"/>
  <c r="P158" i="122"/>
  <c r="M59" i="120"/>
  <c r="O58" i="120"/>
  <c r="I43" i="103"/>
  <c r="I46" i="103" s="1"/>
  <c r="I51" i="103" s="1"/>
  <c r="E24" i="103"/>
  <c r="J131" i="122"/>
  <c r="J158" i="122"/>
  <c r="K131" i="122"/>
  <c r="Q158" i="122"/>
  <c r="K158" i="122"/>
  <c r="P131" i="122"/>
  <c r="Q131" i="122"/>
  <c r="J10" i="103"/>
  <c r="E10" i="103" s="1"/>
  <c r="P24" i="87"/>
  <c r="P25" i="87" s="1"/>
  <c r="W74" i="120" l="1"/>
  <c r="AA74" i="120" s="1"/>
  <c r="X9" i="120"/>
  <c r="Z9" i="120" s="1"/>
  <c r="G12" i="126"/>
  <c r="G18" i="126" s="1"/>
  <c r="X53" i="120"/>
  <c r="X26" i="120"/>
  <c r="Z26" i="120" s="1"/>
  <c r="Z74" i="120"/>
  <c r="Z65" i="120"/>
  <c r="X51" i="120"/>
  <c r="Z51" i="120" s="1"/>
  <c r="X52" i="120"/>
  <c r="Z52" i="120" s="1"/>
  <c r="X17" i="120"/>
  <c r="Z17" i="120" s="1"/>
  <c r="Z11" i="120"/>
  <c r="S7" i="120"/>
  <c r="V7" i="120" s="1"/>
  <c r="X7" i="120" s="1"/>
  <c r="J29" i="103"/>
  <c r="J32" i="103"/>
  <c r="E32" i="103" s="1"/>
  <c r="S30" i="120" s="1"/>
  <c r="J37" i="103"/>
  <c r="M8" i="120"/>
  <c r="M37" i="120"/>
  <c r="O37" i="120" s="1"/>
  <c r="P37" i="120" s="1"/>
  <c r="M27" i="120"/>
  <c r="V37" i="120" l="1"/>
  <c r="X37" i="120" s="1"/>
  <c r="Z37" i="120" s="1"/>
  <c r="Z7" i="120"/>
  <c r="E37" i="103"/>
  <c r="S35" i="120" s="1"/>
  <c r="J40" i="103"/>
  <c r="J11" i="103"/>
  <c r="E29" i="103"/>
  <c r="S27" i="120" s="1"/>
  <c r="J30" i="103"/>
  <c r="M25" i="120"/>
  <c r="O25" i="120" s="1"/>
  <c r="P25" i="120" s="1"/>
  <c r="V25" i="120" s="1"/>
  <c r="M61" i="120"/>
  <c r="O68" i="120"/>
  <c r="M62" i="120"/>
  <c r="M60" i="120"/>
  <c r="O27" i="120"/>
  <c r="P27" i="120" s="1"/>
  <c r="O20" i="120"/>
  <c r="P20" i="120" s="1"/>
  <c r="O19" i="120"/>
  <c r="P19" i="120" s="1"/>
  <c r="V20" i="120" l="1"/>
  <c r="X20" i="120" s="1"/>
  <c r="Z20" i="120" s="1"/>
  <c r="V27" i="120"/>
  <c r="X27" i="120" s="1"/>
  <c r="Z27" i="120" s="1"/>
  <c r="V19" i="120"/>
  <c r="X19" i="120" s="1"/>
  <c r="Z19" i="120" s="1"/>
  <c r="J41" i="103"/>
  <c r="E11" i="103"/>
  <c r="S8" i="120" s="1"/>
  <c r="V8" i="120" s="1"/>
  <c r="J13" i="103"/>
  <c r="J15" i="103" s="1"/>
  <c r="M30" i="120"/>
  <c r="O18" i="120"/>
  <c r="P18" i="120" s="1"/>
  <c r="X25" i="120"/>
  <c r="Z25" i="120" s="1"/>
  <c r="O36" i="120"/>
  <c r="P36" i="120" s="1"/>
  <c r="V10" i="120" l="1"/>
  <c r="V12" i="120" s="1"/>
  <c r="X8" i="120"/>
  <c r="V18" i="120"/>
  <c r="X18" i="120" s="1"/>
  <c r="Z18" i="120" s="1"/>
  <c r="V36" i="120"/>
  <c r="X36" i="120" s="1"/>
  <c r="Z36" i="120" s="1"/>
  <c r="J43" i="103"/>
  <c r="J46" i="103" s="1"/>
  <c r="J51" i="103" s="1"/>
  <c r="E13" i="103"/>
  <c r="E15" i="103" s="1"/>
  <c r="S10" i="120"/>
  <c r="S12" i="120" s="1"/>
  <c r="E30" i="103"/>
  <c r="E40" i="103"/>
  <c r="S38" i="120"/>
  <c r="M35" i="120"/>
  <c r="M32" i="120"/>
  <c r="M31" i="120"/>
  <c r="M24" i="120"/>
  <c r="O24" i="120" s="1"/>
  <c r="O28" i="120" s="1"/>
  <c r="AB16" i="120" l="1"/>
  <c r="X10" i="120"/>
  <c r="Z8" i="120"/>
  <c r="S28" i="120"/>
  <c r="S39" i="120" s="1"/>
  <c r="S41" i="120" s="1"/>
  <c r="S49" i="120" s="1"/>
  <c r="E41" i="103"/>
  <c r="E43" i="103" s="1"/>
  <c r="E46" i="103" s="1"/>
  <c r="E51" i="103" s="1"/>
  <c r="O32" i="120"/>
  <c r="P32" i="120" s="1"/>
  <c r="O31" i="120"/>
  <c r="P31" i="120" s="1"/>
  <c r="O35" i="120"/>
  <c r="P35" i="120" s="1"/>
  <c r="V35" i="120" s="1"/>
  <c r="V38" i="120" s="1"/>
  <c r="O16" i="120"/>
  <c r="O30" i="120"/>
  <c r="P30" i="120" s="1"/>
  <c r="P24" i="120"/>
  <c r="V24" i="120" l="1"/>
  <c r="X24" i="120" s="1"/>
  <c r="V31" i="120"/>
  <c r="X31" i="120" s="1"/>
  <c r="Z31" i="120" s="1"/>
  <c r="V30" i="120"/>
  <c r="X30" i="120" s="1"/>
  <c r="Z30" i="120" s="1"/>
  <c r="V32" i="120"/>
  <c r="X32" i="120" s="1"/>
  <c r="Z32" i="120" s="1"/>
  <c r="X12" i="120"/>
  <c r="Z10" i="120"/>
  <c r="P28" i="120"/>
  <c r="P16" i="120"/>
  <c r="V16" i="120" s="1"/>
  <c r="S54" i="120"/>
  <c r="O21" i="120"/>
  <c r="O38" i="120"/>
  <c r="P38" i="120"/>
  <c r="O76" i="120"/>
  <c r="P76" i="120" s="1"/>
  <c r="O77" i="120"/>
  <c r="P77" i="120" s="1"/>
  <c r="O62" i="120"/>
  <c r="P62" i="120" s="1"/>
  <c r="V28" i="120" l="1"/>
  <c r="X28" i="120"/>
  <c r="Z28" i="120" s="1"/>
  <c r="Z24" i="120"/>
  <c r="V62" i="120"/>
  <c r="Z62" i="120" s="1"/>
  <c r="V76" i="120"/>
  <c r="X76" i="120" s="1"/>
  <c r="Z76" i="120" s="1"/>
  <c r="V77" i="120"/>
  <c r="X77" i="120" s="1"/>
  <c r="Z77" i="120" s="1"/>
  <c r="Z12" i="120"/>
  <c r="V21" i="120"/>
  <c r="X16" i="120"/>
  <c r="X35" i="120"/>
  <c r="P21" i="120"/>
  <c r="P39" i="120" s="1"/>
  <c r="P41" i="120" s="1"/>
  <c r="O39" i="120"/>
  <c r="O41" i="120" s="1"/>
  <c r="O61" i="120"/>
  <c r="P61" i="120" s="1"/>
  <c r="O69" i="120"/>
  <c r="P69" i="120" s="1"/>
  <c r="V39" i="120" l="1"/>
  <c r="V41" i="120" s="1"/>
  <c r="V61" i="120"/>
  <c r="Z61" i="120" s="1"/>
  <c r="V69" i="120"/>
  <c r="Z69" i="120" s="1"/>
  <c r="X38" i="120"/>
  <c r="Z38" i="120" s="1"/>
  <c r="Z35" i="120"/>
  <c r="AB14" i="120" s="1"/>
  <c r="X21" i="120"/>
  <c r="Z21" i="120" s="1"/>
  <c r="Z16" i="120"/>
  <c r="AB19" i="120" s="1"/>
  <c r="O49" i="120"/>
  <c r="P68" i="120"/>
  <c r="O60" i="120"/>
  <c r="P60" i="120" s="1"/>
  <c r="V60" i="120" l="1"/>
  <c r="Z60" i="120" s="1"/>
  <c r="V68" i="120"/>
  <c r="Z68" i="120" s="1"/>
  <c r="X39" i="120"/>
  <c r="X41" i="120" s="1"/>
  <c r="O59" i="120"/>
  <c r="P59" i="120" s="1"/>
  <c r="O67" i="120"/>
  <c r="P67" i="120" s="1"/>
  <c r="V67" i="120" l="1"/>
  <c r="Z67" i="120" s="1"/>
  <c r="V59" i="120"/>
  <c r="Z39" i="120"/>
  <c r="O66" i="120"/>
  <c r="P66" i="120" s="1"/>
  <c r="V66" i="120" s="1"/>
  <c r="P58" i="120"/>
  <c r="V58" i="120" s="1"/>
  <c r="O63" i="120"/>
  <c r="V70" i="120" l="1"/>
  <c r="W70" i="120" s="1"/>
  <c r="AA70" i="120" s="1"/>
  <c r="V63" i="120"/>
  <c r="Z59" i="120"/>
  <c r="Z41" i="120"/>
  <c r="P70" i="120"/>
  <c r="O70" i="120"/>
  <c r="O72" i="120" s="1"/>
  <c r="P63" i="120"/>
  <c r="V72" i="120" l="1"/>
  <c r="V75" i="120" s="1"/>
  <c r="W63" i="120"/>
  <c r="AA63" i="120" s="1"/>
  <c r="X63" i="120"/>
  <c r="Z58" i="120"/>
  <c r="Z63" i="120" s="1"/>
  <c r="X70" i="120"/>
  <c r="Z66" i="120"/>
  <c r="Z70" i="120" s="1"/>
  <c r="O79" i="120"/>
  <c r="O50" i="120" s="1"/>
  <c r="P72" i="120"/>
  <c r="P75" i="120" s="1"/>
  <c r="V79" i="120" l="1"/>
  <c r="X72" i="120"/>
  <c r="X75" i="120" s="1"/>
  <c r="Z72" i="120"/>
  <c r="Z75" i="120" s="1"/>
  <c r="O54" i="120"/>
  <c r="P79" i="120"/>
  <c r="W79" i="120" l="1"/>
  <c r="AA79" i="120" s="1"/>
  <c r="X79" i="120"/>
  <c r="X80" i="120" s="1"/>
  <c r="J54" i="120"/>
  <c r="W82" i="120" l="1"/>
  <c r="Z79" i="120"/>
  <c r="F12" i="126"/>
  <c r="H12" i="126" s="1"/>
  <c r="H16" i="126" s="1"/>
  <c r="V86" i="120"/>
  <c r="G54" i="120"/>
  <c r="K49" i="120" l="1"/>
  <c r="P49" i="120" l="1"/>
  <c r="V49" i="120" l="1"/>
  <c r="E54" i="120"/>
  <c r="E82" i="120" s="1"/>
  <c r="K50" i="120"/>
  <c r="X49" i="120" l="1"/>
  <c r="Z49" i="120" s="1"/>
  <c r="K54" i="120"/>
  <c r="P50" i="120"/>
  <c r="V50" i="120" l="1"/>
  <c r="V54" i="120" s="1"/>
  <c r="W54" i="120" s="1"/>
  <c r="P54" i="120"/>
  <c r="X50" i="120" l="1"/>
  <c r="F18" i="126"/>
  <c r="H18" i="126" s="1"/>
  <c r="H20" i="126" s="1"/>
  <c r="V82" i="120"/>
  <c r="V87" i="120"/>
  <c r="V89" i="120" l="1"/>
  <c r="V91" i="120" s="1"/>
  <c r="W87" i="120"/>
  <c r="Z50" i="120"/>
  <c r="Z54" i="120" s="1"/>
  <c r="X54" i="120"/>
  <c r="H22" i="126"/>
  <c r="H26" i="126" s="1"/>
  <c r="H30" i="126" s="1"/>
  <c r="H32" i="126" l="1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10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comments2.xml><?xml version="1.0" encoding="utf-8"?>
<comments xmlns="http://schemas.openxmlformats.org/spreadsheetml/2006/main">
  <authors>
    <author>gzhkw6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tlk:  Lighting Schedules based on fixed per light charges, number of lights not captured in forecast hold flat.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4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8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T33" authorId="1" shapeId="0">
      <text>
        <r>
          <rPr>
            <b/>
            <sz val="9"/>
            <color indexed="81"/>
            <rFont val="Tahoma"/>
            <family val="2"/>
          </rPr>
          <t>Liz Andrews:</t>
        </r>
        <r>
          <rPr>
            <sz val="9"/>
            <color indexed="81"/>
            <rFont val="Tahoma"/>
            <family val="2"/>
          </rPr>
          <t xml:space="preserve">
Removed in Commission Basis Report adj. 
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5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5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5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sharedStrings.xml><?xml version="1.0" encoding="utf-8"?>
<sst xmlns="http://schemas.openxmlformats.org/spreadsheetml/2006/main" count="1908" uniqueCount="748">
  <si>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</si>
  <si>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</si>
  <si>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</si>
  <si>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</si>
  <si>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</si>
  <si>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</si>
  <si>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</si>
  <si>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</si>
  <si>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</si>
  <si>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</si>
  <si>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</si>
  <si>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</si>
  <si>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</si>
  <si>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</si>
  <si>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</si>
  <si>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</si>
  <si>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</si>
  <si>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</si>
  <si>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</si>
  <si>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</si>
  <si>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</si>
  <si>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</si>
  <si>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</si>
  <si>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</si>
  <si>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</si>
  <si>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</si>
  <si>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</si>
  <si>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</si>
  <si>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</si>
  <si>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</si>
  <si>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</si>
  <si>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</si>
  <si>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</si>
  <si>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</si>
  <si>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</si>
  <si>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</si>
  <si>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</si>
  <si>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</si>
  <si>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</si>
  <si>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</si>
  <si>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</si>
  <si>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</si>
  <si>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</si>
  <si>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</si>
  <si>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</si>
  <si>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</si>
  <si>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</si>
  <si>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</si>
  <si>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</si>
  <si>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</si>
  <si>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</si>
  <si>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</si>
  <si>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</si>
  <si>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</si>
  <si>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</si>
  <si>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</si>
  <si>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</si>
  <si>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</si>
  <si>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</si>
  <si>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</si>
  <si>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</si>
  <si>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</si>
  <si>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</si>
  <si>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</si>
  <si>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</si>
  <si>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</si>
  <si>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</si>
  <si>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</si>
  <si>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</si>
  <si>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</si>
  <si>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</si>
  <si>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</si>
  <si>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</si>
  <si>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</si>
  <si>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</si>
  <si>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</si>
  <si>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</si>
  <si>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</si>
  <si>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</si>
  <si>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</si>
  <si>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</si>
  <si>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</si>
  <si>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</si>
  <si>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</si>
  <si>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</si>
  <si>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</si>
  <si>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</si>
  <si>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</si>
  <si>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</si>
  <si>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</si>
  <si>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</si>
  <si>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</si>
  <si>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</si>
  <si>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</si>
  <si>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</si>
  <si>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</si>
  <si>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</si>
  <si>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</si>
  <si>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</si>
  <si>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</si>
  <si>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</si>
  <si>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</si>
  <si>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</si>
  <si>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</si>
  <si>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</si>
  <si>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</si>
  <si>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</si>
  <si>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</si>
  <si>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</si>
  <si>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</si>
  <si>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</si>
  <si>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</si>
  <si>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</si>
  <si>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</si>
  <si>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</si>
  <si>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</si>
  <si>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</si>
  <si>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</si>
  <si>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</si>
  <si>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</si>
  <si>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</si>
  <si>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</si>
  <si>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</si>
  <si>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</si>
  <si>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</si>
  <si>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</si>
  <si>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</si>
  <si>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</si>
  <si>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</si>
  <si>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</si>
  <si>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</si>
  <si>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</si>
  <si>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</si>
  <si>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</si>
  <si>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</si>
  <si>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</si>
  <si>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</si>
  <si>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</si>
  <si>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</si>
  <si>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</si>
  <si>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</si>
  <si>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</si>
  <si>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</si>
  <si>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</si>
  <si>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</si>
  <si>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</si>
  <si>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</si>
  <si>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</si>
  <si>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</si>
  <si>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</si>
  <si>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</si>
  <si>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</si>
  <si>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</si>
  <si>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</si>
  <si>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</si>
  <si>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</si>
  <si>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</si>
  <si>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</si>
  <si>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</si>
  <si>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</si>
  <si>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</si>
  <si>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</si>
  <si>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</si>
  <si>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</si>
  <si>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</si>
  <si>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</si>
  <si>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</si>
  <si>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</si>
  <si>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</si>
  <si>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</si>
  <si>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</si>
  <si>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</si>
  <si>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</si>
  <si>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</si>
  <si>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</si>
  <si>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</si>
  <si>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</si>
  <si>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</si>
  <si>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</si>
  <si>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</si>
  <si>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</si>
  <si>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</si>
  <si>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</si>
  <si>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</si>
  <si>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</si>
  <si>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</si>
  <si>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</si>
  <si>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</si>
  <si>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</si>
  <si>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</si>
  <si>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</si>
  <si>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</si>
  <si>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</si>
  <si>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</si>
  <si>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</si>
  <si>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</si>
  <si>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</si>
  <si>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</si>
  <si>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</si>
  <si>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</si>
  <si>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</si>
  <si>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</si>
  <si>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</si>
  <si>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</si>
  <si>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</si>
  <si>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</si>
  <si>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</si>
  <si>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</si>
  <si>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</si>
  <si>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</si>
  <si>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</si>
  <si>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</si>
  <si>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</si>
  <si>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</si>
  <si>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</si>
  <si>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</si>
  <si>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</si>
  <si>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</si>
  <si>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</si>
  <si>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</si>
  <si>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</si>
  <si>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</si>
  <si>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</si>
  <si>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</si>
  <si>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</si>
  <si>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</si>
  <si>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</si>
  <si>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</si>
  <si>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</si>
  <si>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</si>
  <si>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</si>
  <si>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</si>
  <si>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</si>
  <si>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</si>
  <si>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</si>
  <si>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</si>
  <si>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</si>
  <si>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</si>
  <si>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</si>
  <si>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</si>
  <si>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</si>
  <si>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</si>
  <si>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</si>
  <si>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</si>
  <si>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</si>
  <si>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</si>
  <si>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</si>
  <si>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</si>
  <si>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</si>
  <si>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</si>
  <si>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</si>
  <si>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</si>
  <si>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</si>
  <si>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</si>
  <si>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</si>
  <si>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</si>
  <si>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</si>
  <si>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</si>
  <si>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</si>
  <si>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</si>
  <si>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</si>
  <si>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</si>
  <si>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</si>
  <si>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</si>
  <si>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</si>
  <si>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</si>
  <si>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</si>
  <si>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</si>
  <si>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</si>
  <si>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</si>
  <si>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</si>
  <si>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</si>
  <si>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</si>
  <si>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</si>
  <si>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</si>
  <si>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</si>
  <si>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</si>
  <si>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</si>
  <si>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</si>
  <si>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</si>
  <si>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</si>
  <si>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</si>
  <si>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</si>
  <si>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</si>
  <si>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</si>
  <si>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</si>
  <si>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</si>
  <si>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</si>
  <si>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</si>
  <si>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</si>
  <si>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</si>
  <si>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</si>
  <si>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</si>
  <si>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</si>
  <si>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</si>
  <si>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</si>
  <si>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</si>
  <si>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</si>
  <si>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</si>
  <si>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</si>
  <si>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</si>
  <si>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</si>
  <si>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</si>
  <si>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</si>
  <si>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</si>
  <si>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</si>
  <si>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</si>
  <si>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</si>
  <si>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</si>
  <si>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</si>
  <si>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</si>
  <si>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</si>
  <si>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</si>
  <si>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</si>
  <si>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</si>
  <si>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</si>
  <si>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</si>
  <si>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</si>
  <si>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</si>
  <si>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</si>
  <si>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</si>
  <si>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</si>
  <si>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</si>
  <si>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</si>
  <si>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</si>
  <si>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</si>
  <si>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</si>
  <si>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</si>
  <si>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</si>
  <si>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</si>
  <si>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</si>
  <si>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</si>
  <si>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</si>
  <si>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</si>
  <si>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</si>
  <si>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</si>
  <si>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</si>
  <si>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</si>
  <si>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</si>
  <si>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</si>
  <si>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</si>
  <si>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</si>
  <si>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</si>
  <si>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</si>
  <si>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</si>
  <si>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</si>
  <si>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</si>
  <si>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</si>
  <si>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</si>
  <si>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</si>
  <si>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</si>
  <si>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</si>
  <si>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</si>
  <si>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</si>
  <si>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</si>
  <si>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</si>
  <si>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</si>
  <si>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kw &gt; 20</t>
  </si>
  <si>
    <t>kw &gt; 50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</si>
  <si>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</si>
  <si>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</si>
  <si>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</si>
  <si>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</si>
  <si>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</si>
  <si>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</si>
  <si>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</si>
  <si>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</si>
  <si>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</si>
  <si>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</si>
  <si>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</si>
  <si>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</si>
  <si>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</si>
  <si>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</si>
  <si>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</si>
  <si>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</si>
  <si>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</si>
  <si>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</si>
  <si>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</si>
  <si>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</si>
  <si>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</si>
  <si>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</si>
  <si>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</si>
  <si>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</si>
  <si>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</si>
  <si>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</si>
  <si>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</si>
  <si>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</si>
  <si>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</si>
  <si>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</si>
  <si>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</si>
  <si>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</si>
  <si>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</si>
  <si>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</si>
  <si>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</si>
  <si>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</si>
  <si>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</si>
  <si>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</si>
  <si>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</si>
  <si>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</si>
  <si>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</si>
  <si>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</si>
  <si>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</si>
  <si>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</si>
  <si>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</si>
  <si>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</si>
  <si>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</si>
  <si>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</si>
  <si>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</si>
  <si>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</si>
  <si>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</si>
  <si>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</si>
  <si>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</si>
  <si>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</si>
  <si>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</si>
  <si>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</si>
  <si>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</si>
  <si>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</si>
  <si>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</si>
  <si>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</si>
  <si>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</si>
  <si>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</si>
  <si>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</si>
  <si>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</si>
  <si>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</si>
  <si>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</si>
  <si>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</si>
  <si>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</si>
  <si>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</si>
  <si>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</si>
  <si>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</si>
  <si>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</si>
  <si>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</si>
  <si>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</si>
  <si>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</si>
  <si>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</si>
  <si>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</si>
  <si>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</si>
  <si>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</si>
  <si>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</si>
  <si>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</si>
  <si>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</si>
  <si>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</si>
  <si>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</si>
  <si>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</si>
  <si>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</si>
  <si>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</si>
  <si>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</si>
  <si>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</si>
  <si>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</si>
  <si>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</si>
  <si>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</si>
  <si>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</si>
  <si>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</si>
  <si>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</si>
  <si>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</si>
  <si>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</si>
  <si>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</si>
  <si>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</si>
  <si>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</si>
  <si>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</si>
  <si>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</si>
  <si>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</si>
  <si>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</si>
  <si>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</si>
  <si>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</si>
  <si>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</si>
  <si>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</si>
  <si>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</si>
  <si>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</si>
  <si>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</si>
  <si>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</si>
  <si>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</si>
  <si>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</si>
  <si>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</si>
  <si>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</si>
  <si>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</si>
  <si>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</si>
  <si>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</si>
  <si>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</si>
  <si>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2012-2013</t>
  </si>
  <si>
    <t>TWELVE MONTHS ENDED DECEMBER 31, 2000 - 2013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</si>
  <si>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</si>
  <si>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</si>
  <si>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</si>
  <si>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</si>
  <si>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</si>
  <si>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</si>
  <si>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</si>
  <si>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</si>
  <si>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</si>
  <si>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</si>
  <si>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Direct WA</t>
  </si>
  <si>
    <t>Direct ID</t>
  </si>
  <si>
    <t>Pro Forma Revenue Normalization Adjustment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</si>
  <si>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</si>
  <si>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</si>
  <si>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</si>
  <si>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</si>
  <si>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</si>
  <si>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</si>
  <si>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</si>
  <si>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Test Year</t>
  </si>
  <si>
    <t>Load</t>
  </si>
  <si>
    <t>Rate Year</t>
  </si>
  <si>
    <t>Incremental</t>
  </si>
  <si>
    <t>Retail</t>
  </si>
  <si>
    <t>546-562 CS2 O&amp;M</t>
  </si>
  <si>
    <t>500-514 Colstrip O&amp;M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</si>
  <si>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</si>
  <si>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</si>
  <si>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</si>
  <si>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</si>
  <si>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</si>
  <si>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</si>
  <si>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</si>
  <si>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</si>
  <si>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</si>
  <si>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</si>
  <si>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</si>
  <si>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</si>
  <si>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</si>
  <si>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</si>
  <si>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</si>
  <si>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</si>
  <si>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</si>
  <si>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</si>
  <si>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</si>
  <si>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</si>
  <si>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</si>
  <si>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</si>
  <si>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2013/2014 Removed in CBR</t>
  </si>
  <si>
    <t>2014</t>
  </si>
  <si>
    <t>2013-2014</t>
  </si>
  <si>
    <t>2001-2014</t>
  </si>
  <si>
    <t>2003-2014</t>
  </si>
  <si>
    <t>2004-2014</t>
  </si>
  <si>
    <t>2005-2014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</si>
  <si>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</si>
  <si>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</si>
  <si>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</si>
  <si>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</si>
  <si>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</si>
  <si>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</si>
  <si>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</si>
  <si>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</si>
  <si>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</si>
  <si>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</si>
  <si>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</si>
  <si>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</si>
  <si>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</si>
  <si>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</si>
  <si>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</si>
  <si>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</si>
  <si>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</si>
  <si>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</si>
  <si>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</si>
  <si>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</si>
  <si>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</si>
  <si>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</si>
  <si>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</si>
  <si>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</si>
  <si>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</si>
  <si>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</si>
  <si>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</si>
  <si>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</si>
  <si>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</si>
  <si>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</si>
  <si>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</si>
  <si>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</si>
  <si>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</si>
  <si>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</si>
  <si>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</si>
  <si>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</si>
  <si>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</si>
  <si>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</si>
  <si>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</si>
  <si>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</si>
  <si>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</si>
  <si>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Updated PF</t>
  </si>
  <si>
    <t>500-562 CS2 and Colstrip</t>
  </si>
  <si>
    <t>Restate for prior years tracking CS2 and Colstrip O&amp;M</t>
  </si>
  <si>
    <t>PS 456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</si>
  <si>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</si>
  <si>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</si>
  <si>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</si>
  <si>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</si>
  <si>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</si>
  <si>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</si>
  <si>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</si>
  <si>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</si>
  <si>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</si>
  <si>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</si>
  <si>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xxx Other Expenses-Direct WA</t>
  </si>
  <si>
    <t>XXX Other Expenses-Direct WA</t>
  </si>
  <si>
    <t>After Attrition - CS2-Colstrip 2016 Incramental Expense above trended historical expense.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</si>
  <si>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</si>
  <si>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</si>
  <si>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</si>
  <si>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</si>
  <si>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</si>
  <si>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</si>
  <si>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</si>
  <si>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</si>
  <si>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</si>
  <si>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Annual Increase (slope below)</t>
  </si>
  <si>
    <t>Subtotal: A&amp;G</t>
  </si>
  <si>
    <t>(Escalation Factor not used due to irregular growth)</t>
  </si>
  <si>
    <t>Linear 2-year Growth Rate</t>
  </si>
  <si>
    <t>Adjusted Operating Expenses (Avista)</t>
  </si>
  <si>
    <t>Compound Growth Rates to 2014</t>
  </si>
  <si>
    <t>Gross-up Conversion Factor</t>
  </si>
  <si>
    <t>Attrition Balances</t>
  </si>
  <si>
    <t>Attrition Study Results</t>
  </si>
  <si>
    <t>[L]</t>
  </si>
  <si>
    <t>[M]</t>
  </si>
  <si>
    <t>Per CBR</t>
  </si>
  <si>
    <t>Pro Forma</t>
  </si>
  <si>
    <t>ELECTRIC COST AND REVENUE TREND CALCULATIONS 2007-2015</t>
  </si>
  <si>
    <t>2014-2015</t>
  </si>
  <si>
    <t>2006-2015</t>
  </si>
  <si>
    <t>2007-2015</t>
  </si>
  <si>
    <t>2008-2015</t>
  </si>
  <si>
    <t>2009-2015</t>
  </si>
  <si>
    <t>2010-2015</t>
  </si>
  <si>
    <t>2011-2015</t>
  </si>
  <si>
    <t>2012-2015</t>
  </si>
  <si>
    <t>2013-2015</t>
  </si>
  <si>
    <t>Rate (2-year, to 2017)</t>
  </si>
  <si>
    <t xml:space="preserve">2017 Attrition Revenue Deficiency </t>
  </si>
  <si>
    <t>2017 Rate Base</t>
  </si>
  <si>
    <t>2017 WASHINGTON ELECTRIC ATTRITION STUDY</t>
  </si>
  <si>
    <t>2017 Net Operating Income Deficiency (Surplus)</t>
  </si>
  <si>
    <t>Attrition-based 2017 revenue requirement</t>
  </si>
  <si>
    <t>Twelve Months Ended September 30, 2015</t>
  </si>
  <si>
    <t>Actual Cost of Capital AMA 09/30/2015</t>
  </si>
  <si>
    <t>Proposed Cost of Capital</t>
  </si>
  <si>
    <t>(less) 09.2015 Normalized Net Power Supply  Cost</t>
  </si>
  <si>
    <t>Add 12.2015 Plant</t>
  </si>
  <si>
    <t>2017  ELECTRIC ATTRITION REVENUE REQUIREMENT</t>
  </si>
  <si>
    <t>09.2015</t>
  </si>
  <si>
    <t xml:space="preserve">2017 PF </t>
  </si>
  <si>
    <t>Rate Case Power Supply Adjustment Pro Forma - 09.2015 Historical Loads</t>
  </si>
  <si>
    <t>407 Amort of Spokane River TDG</t>
  </si>
  <si>
    <t>Deduct Decoupling Deferred Revenue and Provision for Rate Refund</t>
  </si>
  <si>
    <t>557 Other Expenses (Spokane Energy) -Direct WA</t>
  </si>
  <si>
    <t>557 Other Expenses (Spokane Energy) -Direct ID</t>
  </si>
  <si>
    <t>09.2015 TO 2017 WEIGHTED REVENUE GROWTH</t>
  </si>
  <si>
    <t>12 ME 09.2015</t>
  </si>
  <si>
    <t>pre-lim, replace when final</t>
  </si>
  <si>
    <t>PDE-E-20</t>
  </si>
  <si>
    <t>PDE-E-21</t>
  </si>
  <si>
    <t>PDE-E-22/23</t>
  </si>
  <si>
    <t>PDE-E-29/8</t>
  </si>
  <si>
    <t>PDE-E-15</t>
  </si>
  <si>
    <t>Note:  Total Base Load for Sch. 1 = Base Load per bill times total billings (base load per bill on PDE-E-18) =</t>
  </si>
  <si>
    <t>Note:  Total Base Load for Sch. 21 = Base Load per bill times total billings (base load per bill on PDE-E-18) =</t>
  </si>
  <si>
    <t>Excerpt from:  EREV December Mid Month 12.16.15.xlsm</t>
  </si>
  <si>
    <t>Customer Bills</t>
  </si>
  <si>
    <t>12 ME 06.2018</t>
  </si>
  <si>
    <t>W - AT 53</t>
  </si>
  <si>
    <t>W - AT 54</t>
  </si>
  <si>
    <t>W - AT 55</t>
  </si>
  <si>
    <t>W - AT 56</t>
  </si>
  <si>
    <t>W - AT 57</t>
  </si>
  <si>
    <t>W - AT 58</t>
  </si>
  <si>
    <t>W - AT 59</t>
  </si>
  <si>
    <t>W - AT 60</t>
  </si>
  <si>
    <t>W - AT 61</t>
  </si>
  <si>
    <t>W - AT 62</t>
  </si>
  <si>
    <t>W - AT 63</t>
  </si>
  <si>
    <t>W - AT 64</t>
  </si>
  <si>
    <t>W - AT 65</t>
  </si>
  <si>
    <t>W - AT 66</t>
  </si>
  <si>
    <t>W - AT 67</t>
  </si>
  <si>
    <t>W - AT 68</t>
  </si>
  <si>
    <t>W - AT 69</t>
  </si>
  <si>
    <t>W - AT 70</t>
  </si>
  <si>
    <t>W - AT 71</t>
  </si>
  <si>
    <t>W - AT 72</t>
  </si>
  <si>
    <t>W - AT 75</t>
  </si>
  <si>
    <t>W - AT 76</t>
  </si>
  <si>
    <t>W - AT 78</t>
  </si>
  <si>
    <t>W - AT 170</t>
  </si>
  <si>
    <t>W - AT 171</t>
  </si>
  <si>
    <t>W - AT 172</t>
  </si>
  <si>
    <t>W - AT 173</t>
  </si>
  <si>
    <t>kva &gt; 3000</t>
  </si>
  <si>
    <t>W - AT 174</t>
  </si>
  <si>
    <t>W - AT 175</t>
  </si>
  <si>
    <t>W - AT 176</t>
  </si>
  <si>
    <t>W - AT 177</t>
  </si>
  <si>
    <t>W - AT 178</t>
  </si>
  <si>
    <t>W - AT 179</t>
  </si>
  <si>
    <t>W - AT 180</t>
  </si>
  <si>
    <t>ID025P_2</t>
  </si>
  <si>
    <t>kva &gt; 52000</t>
  </si>
  <si>
    <t>W - AT 181</t>
  </si>
  <si>
    <t>W - AT 204</t>
  </si>
  <si>
    <t>W - AT 205</t>
  </si>
  <si>
    <t>W - AT 207</t>
  </si>
  <si>
    <t>kWh Sales</t>
  </si>
  <si>
    <t>W - AT 73</t>
  </si>
  <si>
    <t>W - AT 74</t>
  </si>
  <si>
    <t>W - AT 77</t>
  </si>
  <si>
    <t>W - AT 81</t>
  </si>
  <si>
    <t>W - AT 82</t>
  </si>
  <si>
    <t>W - AT 84</t>
  </si>
  <si>
    <t>W - AT 89</t>
  </si>
  <si>
    <t>W - AT 90</t>
  </si>
  <si>
    <t>W - AT 92</t>
  </si>
  <si>
    <t>W - AT 94</t>
  </si>
  <si>
    <t>Commission Basis Power Supply Adjustment - 09.2015 Historical Loads</t>
  </si>
  <si>
    <t>Rate Case Power Supply Adjustment Pro Forma - 2017 Forecast Loads</t>
  </si>
  <si>
    <t>2017 Net Operating Income (at 2016 rates)</t>
  </si>
  <si>
    <t>2017 Rate of Return (at 2016 rates)</t>
  </si>
  <si>
    <t>2017 Total General Business Revenues (at 2016 rates)</t>
  </si>
  <si>
    <t>Note 1:  09.2015 Washington electric revenue conversion factor amounts.</t>
  </si>
  <si>
    <t>Deferred Dr/Cr; Reg. Amorts &amp; Misc Adjs</t>
  </si>
  <si>
    <t>[N]</t>
  </si>
  <si>
    <t>Net Retired Meter Deferral &amp; Amort Adjustment</t>
  </si>
  <si>
    <t>Percent Revenue Requirement Change (vs. 2016)</t>
  </si>
  <si>
    <t>Grossed Down</t>
  </si>
  <si>
    <t>Attrition</t>
  </si>
  <si>
    <t>O&amp;M</t>
  </si>
  <si>
    <t>Depr</t>
  </si>
  <si>
    <t>EE</t>
  </si>
  <si>
    <t>Line Number</t>
  </si>
  <si>
    <t xml:space="preserve"> Non-Energy Cost Escalation Amount [G]*[H]=[I]</t>
  </si>
  <si>
    <t>Trended 2017 Non-Energy Cost [G]+[I]=[J]</t>
  </si>
  <si>
    <r>
      <t>12.2014 Commission Basis Report Restated Totals</t>
    </r>
    <r>
      <rPr>
        <vertAlign val="superscript"/>
        <sz val="11"/>
        <rFont val="Times New Roman"/>
        <family val="1"/>
      </rPr>
      <t>1</t>
    </r>
  </si>
  <si>
    <t>After Attrition Adj. Spokane River Projects</t>
  </si>
  <si>
    <t>After Attrition Adj AMI Capital Project</t>
  </si>
  <si>
    <t>[O]</t>
  </si>
  <si>
    <t>2017 Revenue and Cost [J]+[K]+[L]+ [M]+ [N] = [O]</t>
  </si>
  <si>
    <t>12ME 12.2015 AMA Escalation Base</t>
  </si>
  <si>
    <r>
      <t>12ME 09.2015 AMA Commission Basis Report Totals</t>
    </r>
    <r>
      <rPr>
        <vertAlign val="superscript"/>
        <sz val="11"/>
        <rFont val="Times New Roman"/>
        <family val="1"/>
      </rPr>
      <t>1</t>
    </r>
  </si>
  <si>
    <t>(plus) 2017 Pro-Formed Net Energy Cost</t>
  </si>
  <si>
    <t xml:space="preserve">AVISTA </t>
  </si>
  <si>
    <r>
      <t>Operating Expenses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</si>
  <si>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Workpapers for 9.2015 Commission Basis Reports provided with Andrews' workpapers.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</si>
  <si>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Used 12ME September 30, 2015 for operating expenses as being representative of calendar 2015, which may slightly understate O&amp;M expenses.</t>
    </r>
  </si>
  <si>
    <t>(3)</t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</si>
  <si>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Includes Plant Held for Furture Use - See Andrews' workpapers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</si>
  <si>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Workpapers for 09.2015 Commission Basis Reports provided with Andrews' workpapers.  </t>
    </r>
  </si>
  <si>
    <t>Avista Proposed O&amp;M Expense Growth Trend</t>
  </si>
  <si>
    <t xml:space="preserve"> Proposed Cap Structure*</t>
  </si>
  <si>
    <t>*Based on 2017 estimated capital structure and cost of debt.</t>
  </si>
  <si>
    <t>Avista Proposed Based on Commission Order No. 05 Docket, No. UE-150204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</si>
</sst>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</numFmts>
  <fonts count="2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00"/>
      <name val="Times New Roman"/>
      <family val="1"/>
    </font>
    <font>
      <u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2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41">
    <xf numFmtId="0" fontId="0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5" fillId="2" borderId="0"/>
    <xf numFmtId="0" fontId="70" fillId="0" borderId="0"/>
    <xf numFmtId="0" fontId="70" fillId="0" borderId="0"/>
    <xf numFmtId="0" fontId="20" fillId="0" borderId="0">
      <alignment readingOrder="1"/>
    </xf>
    <xf numFmtId="0" fontId="70" fillId="0" borderId="0"/>
    <xf numFmtId="0" fontId="20" fillId="0" borderId="0"/>
    <xf numFmtId="0" fontId="20" fillId="0" borderId="0"/>
    <xf numFmtId="0" fontId="20" fillId="0" borderId="0">
      <alignment readingOrder="1"/>
    </xf>
    <xf numFmtId="0" fontId="20" fillId="0" borderId="0"/>
    <xf numFmtId="0" fontId="20" fillId="0" borderId="0">
      <alignment readingOrder="1"/>
    </xf>
    <xf numFmtId="0" fontId="33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43" fontId="6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9" fillId="0" borderId="0"/>
    <xf numFmtId="9" fontId="35" fillId="0" borderId="0" applyFont="0" applyFill="0" applyBorder="0" applyAlignment="0" applyProtection="0"/>
    <xf numFmtId="9" fontId="39" fillId="0" borderId="0" applyFont="0" applyFill="0" applyBorder="0" applyAlignment="0" applyProtection="0"/>
    <xf numFmtId="38" fontId="83" fillId="0" borderId="0" applyNumberFormat="0" applyFont="0" applyFill="0" applyBorder="0">
      <alignment horizontal="left" indent="4"/>
      <protection locked="0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13">
      <alignment horizontal="center"/>
    </xf>
    <xf numFmtId="3" fontId="84" fillId="0" borderId="0" applyFont="0" applyFill="0" applyBorder="0" applyAlignment="0" applyProtection="0"/>
    <xf numFmtId="0" fontId="84" fillId="6" borderId="0" applyNumberFormat="0" applyFont="0" applyBorder="0" applyAlignment="0" applyProtection="0"/>
    <xf numFmtId="166" fontId="62" fillId="3" borderId="0" applyFont="0" applyFill="0" applyBorder="0" applyAlignment="0" applyProtection="0">
      <alignment wrapText="1"/>
    </xf>
    <xf numFmtId="0" fontId="20" fillId="7" borderId="0" applyNumberFormat="0" applyFont="0" applyFill="0" applyBorder="0" applyAlignment="0" applyProtection="0"/>
    <xf numFmtId="0" fontId="8" fillId="0" borderId="0"/>
    <xf numFmtId="3" fontId="73" fillId="0" borderId="0"/>
    <xf numFmtId="3" fontId="73" fillId="0" borderId="0"/>
    <xf numFmtId="0" fontId="2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7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0" fillId="0" borderId="0">
      <alignment readingOrder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7" applyNumberFormat="0" applyFill="0" applyAlignment="0" applyProtection="0"/>
    <xf numFmtId="0" fontId="99" fillId="0" borderId="28" applyNumberFormat="0" applyFill="0" applyAlignment="0" applyProtection="0"/>
    <xf numFmtId="0" fontId="100" fillId="0" borderId="29" applyNumberFormat="0" applyFill="0" applyAlignment="0" applyProtection="0"/>
    <xf numFmtId="0" fontId="100" fillId="0" borderId="0" applyNumberFormat="0" applyFill="0" applyBorder="0" applyAlignment="0" applyProtection="0"/>
    <xf numFmtId="0" fontId="101" fillId="10" borderId="0" applyNumberFormat="0" applyBorder="0" applyAlignment="0" applyProtection="0"/>
    <xf numFmtId="0" fontId="102" fillId="11" borderId="0" applyNumberFormat="0" applyBorder="0" applyAlignment="0" applyProtection="0"/>
    <xf numFmtId="0" fontId="103" fillId="12" borderId="0" applyNumberFormat="0" applyBorder="0" applyAlignment="0" applyProtection="0"/>
    <xf numFmtId="0" fontId="104" fillId="13" borderId="30" applyNumberFormat="0" applyAlignment="0" applyProtection="0"/>
    <xf numFmtId="0" fontId="105" fillId="14" borderId="31" applyNumberFormat="0" applyAlignment="0" applyProtection="0"/>
    <xf numFmtId="0" fontId="106" fillId="14" borderId="30" applyNumberFormat="0" applyAlignment="0" applyProtection="0"/>
    <xf numFmtId="0" fontId="107" fillId="0" borderId="32" applyNumberFormat="0" applyFill="0" applyAlignment="0" applyProtection="0"/>
    <xf numFmtId="0" fontId="108" fillId="15" borderId="33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5" applyNumberFormat="0" applyFill="0" applyAlignment="0" applyProtection="0"/>
    <xf numFmtId="0" fontId="11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12" fillId="36" borderId="0" applyNumberFormat="0" applyBorder="0" applyAlignment="0" applyProtection="0"/>
    <xf numFmtId="0" fontId="11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112" fillId="40" borderId="0" applyNumberFormat="0" applyBorder="0" applyAlignment="0" applyProtection="0"/>
    <xf numFmtId="40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62" fillId="0" borderId="0"/>
    <xf numFmtId="0" fontId="39" fillId="0" borderId="0"/>
    <xf numFmtId="0" fontId="62" fillId="0" borderId="0"/>
    <xf numFmtId="0" fontId="20" fillId="0" borderId="0"/>
    <xf numFmtId="0" fontId="113" fillId="0" borderId="0"/>
    <xf numFmtId="0" fontId="20" fillId="0" borderId="0"/>
    <xf numFmtId="9" fontId="6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3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20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3" fontId="20" fillId="42" borderId="0" applyFont="0" applyFill="0" applyBorder="0" applyAlignment="0" applyProtection="0"/>
    <xf numFmtId="5" fontId="20" fillId="42" borderId="0" applyFont="0" applyFill="0" applyBorder="0" applyAlignment="0" applyProtection="0"/>
    <xf numFmtId="0" fontId="20" fillId="42" borderId="0" applyFont="0" applyFill="0" applyBorder="0" applyAlignment="0" applyProtection="0"/>
    <xf numFmtId="2" fontId="20" fillId="42" borderId="0" applyFont="0" applyFill="0" applyBorder="0" applyAlignment="0" applyProtection="0"/>
    <xf numFmtId="41" fontId="115" fillId="3" borderId="37">
      <alignment horizontal="left"/>
      <protection locked="0"/>
    </xf>
    <xf numFmtId="0" fontId="39" fillId="0" borderId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/>
    <xf numFmtId="9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3" fillId="0" borderId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9" fillId="0" borderId="0"/>
    <xf numFmtId="9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3" fillId="0" borderId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73" fillId="0" borderId="0"/>
    <xf numFmtId="9" fontId="33" fillId="0" borderId="0" applyFont="0" applyFill="0" applyBorder="0" applyAlignment="0" applyProtection="0"/>
    <xf numFmtId="0" fontId="33" fillId="0" borderId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73" fillId="0" borderId="0"/>
    <xf numFmtId="0" fontId="73" fillId="0" borderId="0"/>
    <xf numFmtId="44" fontId="20" fillId="0" borderId="0" applyFont="0" applyFill="0" applyBorder="0" applyAlignment="0" applyProtection="0"/>
    <xf numFmtId="0" fontId="4" fillId="0" borderId="0"/>
    <xf numFmtId="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3" fillId="0" borderId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3" fillId="0" borderId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3" fillId="0" borderId="0"/>
    <xf numFmtId="43" fontId="39" fillId="0" borderId="0" applyFont="0" applyFill="0" applyBorder="0" applyAlignment="0" applyProtection="0"/>
    <xf numFmtId="0" fontId="39" fillId="0" borderId="0"/>
    <xf numFmtId="0" fontId="20" fillId="0" borderId="0"/>
    <xf numFmtId="43" fontId="33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20" fillId="0" borderId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0" borderId="0"/>
    <xf numFmtId="44" fontId="20" fillId="0" borderId="0" applyFont="0" applyFill="0" applyBorder="0" applyAlignment="0" applyProtection="0"/>
    <xf numFmtId="0" fontId="33" fillId="0" borderId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43" fontId="2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9" fontId="7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20" fillId="0" borderId="0" applyFont="0" applyFill="0" applyBorder="0" applyAlignment="0" applyProtection="0"/>
    <xf numFmtId="0" fontId="33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9" fontId="7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9" fontId="20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/>
    <xf numFmtId="0" fontId="20" fillId="0" borderId="0"/>
    <xf numFmtId="0" fontId="73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33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9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43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39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0" borderId="0"/>
    <xf numFmtId="44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33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44" fontId="20" fillId="0" borderId="0" applyFont="0" applyFill="0" applyBorder="0" applyAlignment="0" applyProtection="0"/>
    <xf numFmtId="0" fontId="33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0" borderId="0"/>
    <xf numFmtId="9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39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73" fillId="0" borderId="0"/>
    <xf numFmtId="44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/>
    <xf numFmtId="44" fontId="39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0" borderId="0"/>
    <xf numFmtId="43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9" fontId="7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20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20" fillId="0" borderId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19" fillId="0" borderId="0"/>
    <xf numFmtId="44" fontId="20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>
      <alignment readingOrder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73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3" fillId="0" borderId="0"/>
    <xf numFmtId="3" fontId="73" fillId="0" borderId="0"/>
    <xf numFmtId="0" fontId="120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121" fillId="0" borderId="0" applyBorder="0">
      <alignment horizontal="centerContinuous"/>
    </xf>
    <xf numFmtId="0" fontId="122" fillId="0" borderId="0" applyBorder="0">
      <alignment horizontal="centerContinuous"/>
    </xf>
    <xf numFmtId="0" fontId="123" fillId="43" borderId="0">
      <alignment horizontal="right"/>
    </xf>
    <xf numFmtId="0" fontId="122" fillId="43" borderId="36"/>
    <xf numFmtId="44" fontId="73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24" fillId="44" borderId="0">
      <alignment horizontal="left"/>
    </xf>
    <xf numFmtId="0" fontId="125" fillId="44" borderId="0">
      <alignment horizontal="right"/>
    </xf>
    <xf numFmtId="0" fontId="125" fillId="44" borderId="0">
      <alignment horizontal="center"/>
    </xf>
    <xf numFmtId="0" fontId="125" fillId="44" borderId="0">
      <alignment horizontal="right"/>
    </xf>
    <xf numFmtId="0" fontId="126" fillId="44" borderId="0">
      <alignment horizontal="left"/>
    </xf>
    <xf numFmtId="41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4" fillId="23" borderId="0" applyNumberFormat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4" fillId="44" borderId="0">
      <alignment horizontal="left"/>
    </xf>
    <xf numFmtId="0" fontId="124" fillId="44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66" fillId="43" borderId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4" fillId="44" borderId="0">
      <alignment horizontal="center"/>
    </xf>
    <xf numFmtId="49" fontId="128" fillId="44" borderId="0">
      <alignment horizontal="center"/>
    </xf>
    <xf numFmtId="0" fontId="125" fillId="44" borderId="0">
      <alignment horizontal="center"/>
    </xf>
    <xf numFmtId="0" fontId="125" fillId="44" borderId="0">
      <alignment horizontal="centerContinuous"/>
    </xf>
    <xf numFmtId="0" fontId="129" fillId="44" borderId="0">
      <alignment horizontal="left"/>
    </xf>
    <xf numFmtId="49" fontId="129" fillId="44" borderId="0">
      <alignment horizontal="center"/>
    </xf>
    <xf numFmtId="0" fontId="124" fillId="44" borderId="0">
      <alignment horizontal="left"/>
    </xf>
    <xf numFmtId="49" fontId="129" fillId="44" borderId="0">
      <alignment horizontal="left"/>
    </xf>
    <xf numFmtId="0" fontId="124" fillId="44" borderId="0">
      <alignment horizontal="centerContinuous"/>
    </xf>
    <xf numFmtId="0" fontId="124" fillId="44" borderId="0">
      <alignment horizontal="right"/>
    </xf>
    <xf numFmtId="49" fontId="124" fillId="44" borderId="0">
      <alignment horizontal="left"/>
    </xf>
    <xf numFmtId="0" fontId="125" fillId="44" borderId="0">
      <alignment horizontal="right"/>
    </xf>
    <xf numFmtId="0" fontId="129" fillId="45" borderId="0">
      <alignment horizontal="center"/>
    </xf>
    <xf numFmtId="0" fontId="130" fillId="45" borderId="0">
      <alignment horizontal="center"/>
    </xf>
    <xf numFmtId="0" fontId="131" fillId="44" borderId="0">
      <alignment horizontal="center"/>
    </xf>
    <xf numFmtId="0" fontId="2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0" fillId="0" borderId="29" applyNumberFormat="0" applyFill="0" applyAlignment="0" applyProtection="0"/>
    <xf numFmtId="43" fontId="4" fillId="0" borderId="0" applyFont="0" applyFill="0" applyBorder="0" applyAlignment="0" applyProtection="0"/>
    <xf numFmtId="186" fontId="39" fillId="41" borderId="0" applyFont="0" applyFill="0" applyBorder="0" applyAlignment="0" applyProtection="0"/>
    <xf numFmtId="0" fontId="4" fillId="0" borderId="0"/>
    <xf numFmtId="0" fontId="73" fillId="0" borderId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" fillId="0" borderId="0"/>
    <xf numFmtId="0" fontId="63" fillId="0" borderId="0">
      <alignment vertical="top"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15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15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15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15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5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5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15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5" fillId="5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15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15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5" fillId="5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15" fillId="55" borderId="0" applyNumberFormat="0" applyBorder="0" applyAlignment="0" applyProtection="0"/>
    <xf numFmtId="0" fontId="112" fillId="20" borderId="0" applyNumberFormat="0" applyBorder="0" applyAlignment="0" applyProtection="0"/>
    <xf numFmtId="0" fontId="112" fillId="20" borderId="0" applyNumberFormat="0" applyBorder="0" applyAlignment="0" applyProtection="0"/>
    <xf numFmtId="0" fontId="112" fillId="20" borderId="0" applyNumberFormat="0" applyBorder="0" applyAlignment="0" applyProtection="0"/>
    <xf numFmtId="0" fontId="112" fillId="56" borderId="0" applyNumberFormat="0" applyBorder="0" applyAlignment="0" applyProtection="0"/>
    <xf numFmtId="0" fontId="132" fillId="56" borderId="0" applyNumberFormat="0" applyBorder="0" applyAlignment="0" applyProtection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32" fillId="53" borderId="0" applyNumberFormat="0" applyBorder="0" applyAlignment="0" applyProtection="0"/>
    <xf numFmtId="0" fontId="112" fillId="28" borderId="0" applyNumberFormat="0" applyBorder="0" applyAlignment="0" applyProtection="0"/>
    <xf numFmtId="0" fontId="112" fillId="28" borderId="0" applyNumberFormat="0" applyBorder="0" applyAlignment="0" applyProtection="0"/>
    <xf numFmtId="0" fontId="112" fillId="28" borderId="0" applyNumberFormat="0" applyBorder="0" applyAlignment="0" applyProtection="0"/>
    <xf numFmtId="0" fontId="112" fillId="54" borderId="0" applyNumberFormat="0" applyBorder="0" applyAlignment="0" applyProtection="0"/>
    <xf numFmtId="0" fontId="132" fillId="54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57" borderId="0" applyNumberFormat="0" applyBorder="0" applyAlignment="0" applyProtection="0"/>
    <xf numFmtId="0" fontId="132" fillId="57" borderId="0" applyNumberFormat="0" applyBorder="0" applyAlignment="0" applyProtection="0"/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132" fillId="58" borderId="0" applyNumberFormat="0" applyBorder="0" applyAlignment="0" applyProtection="0"/>
    <xf numFmtId="0" fontId="112" fillId="40" borderId="0" applyNumberFormat="0" applyBorder="0" applyAlignment="0" applyProtection="0"/>
    <xf numFmtId="0" fontId="112" fillId="40" borderId="0" applyNumberFormat="0" applyBorder="0" applyAlignment="0" applyProtection="0"/>
    <xf numFmtId="0" fontId="112" fillId="40" borderId="0" applyNumberFormat="0" applyBorder="0" applyAlignment="0" applyProtection="0"/>
    <xf numFmtId="0" fontId="112" fillId="59" borderId="0" applyNumberFormat="0" applyBorder="0" applyAlignment="0" applyProtection="0"/>
    <xf numFmtId="0" fontId="132" fillId="59" borderId="0" applyNumberFormat="0" applyBorder="0" applyAlignment="0" applyProtection="0"/>
    <xf numFmtId="0" fontId="112" fillId="17" borderId="0" applyNumberFormat="0" applyBorder="0" applyAlignment="0" applyProtection="0"/>
    <xf numFmtId="0" fontId="112" fillId="17" borderId="0" applyNumberFormat="0" applyBorder="0" applyAlignment="0" applyProtection="0"/>
    <xf numFmtId="0" fontId="112" fillId="17" borderId="0" applyNumberFormat="0" applyBorder="0" applyAlignment="0" applyProtection="0"/>
    <xf numFmtId="0" fontId="112" fillId="60" borderId="0" applyNumberFormat="0" applyBorder="0" applyAlignment="0" applyProtection="0"/>
    <xf numFmtId="0" fontId="132" fillId="60" borderId="0" applyNumberFormat="0" applyBorder="0" applyAlignment="0" applyProtection="0"/>
    <xf numFmtId="0" fontId="112" fillId="21" borderId="0" applyNumberFormat="0" applyBorder="0" applyAlignment="0" applyProtection="0"/>
    <xf numFmtId="0" fontId="112" fillId="21" borderId="0" applyNumberFormat="0" applyBorder="0" applyAlignment="0" applyProtection="0"/>
    <xf numFmtId="0" fontId="112" fillId="21" borderId="0" applyNumberFormat="0" applyBorder="0" applyAlignment="0" applyProtection="0"/>
    <xf numFmtId="0" fontId="112" fillId="61" borderId="0" applyNumberFormat="0" applyBorder="0" applyAlignment="0" applyProtection="0"/>
    <xf numFmtId="0" fontId="132" fillId="61" borderId="0" applyNumberFormat="0" applyBorder="0" applyAlignment="0" applyProtection="0"/>
    <xf numFmtId="0" fontId="112" fillId="25" borderId="0" applyNumberFormat="0" applyBorder="0" applyAlignment="0" applyProtection="0"/>
    <xf numFmtId="0" fontId="112" fillId="25" borderId="0" applyNumberFormat="0" applyBorder="0" applyAlignment="0" applyProtection="0"/>
    <xf numFmtId="0" fontId="112" fillId="25" borderId="0" applyNumberFormat="0" applyBorder="0" applyAlignment="0" applyProtection="0"/>
    <xf numFmtId="0" fontId="112" fillId="62" borderId="0" applyNumberFormat="0" applyBorder="0" applyAlignment="0" applyProtection="0"/>
    <xf numFmtId="0" fontId="132" fillId="62" borderId="0" applyNumberFormat="0" applyBorder="0" applyAlignment="0" applyProtection="0"/>
    <xf numFmtId="0" fontId="112" fillId="29" borderId="0" applyNumberFormat="0" applyBorder="0" applyAlignment="0" applyProtection="0"/>
    <xf numFmtId="0" fontId="112" fillId="29" borderId="0" applyNumberFormat="0" applyBorder="0" applyAlignment="0" applyProtection="0"/>
    <xf numFmtId="0" fontId="112" fillId="29" borderId="0" applyNumberFormat="0" applyBorder="0" applyAlignment="0" applyProtection="0"/>
    <xf numFmtId="0" fontId="112" fillId="57" borderId="0" applyNumberFormat="0" applyBorder="0" applyAlignment="0" applyProtection="0"/>
    <xf numFmtId="0" fontId="132" fillId="57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32" fillId="58" borderId="0" applyNumberFormat="0" applyBorder="0" applyAlignment="0" applyProtection="0"/>
    <xf numFmtId="0" fontId="112" fillId="37" borderId="0" applyNumberFormat="0" applyBorder="0" applyAlignment="0" applyProtection="0"/>
    <xf numFmtId="0" fontId="112" fillId="37" borderId="0" applyNumberFormat="0" applyBorder="0" applyAlignment="0" applyProtection="0"/>
    <xf numFmtId="0" fontId="112" fillId="37" borderId="0" applyNumberFormat="0" applyBorder="0" applyAlignment="0" applyProtection="0"/>
    <xf numFmtId="0" fontId="132" fillId="63" borderId="0" applyNumberFormat="0" applyBorder="0" applyAlignment="0" applyProtection="0"/>
    <xf numFmtId="189" fontId="133" fillId="64" borderId="0" applyNumberFormat="0" applyBorder="0" applyAlignment="0" applyProtection="0"/>
    <xf numFmtId="189" fontId="26" fillId="4" borderId="0" applyNumberFormat="0" applyBorder="0" applyAlignment="0" applyProtection="0"/>
    <xf numFmtId="189" fontId="26" fillId="4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34" fillId="11" borderId="0" applyNumberFormat="0" applyBorder="0" applyAlignment="0" applyProtection="0"/>
    <xf numFmtId="0" fontId="135" fillId="47" borderId="0" applyNumberFormat="0" applyBorder="0" applyAlignment="0" applyProtection="0"/>
    <xf numFmtId="0" fontId="39" fillId="0" borderId="0" applyFill="0" applyBorder="0" applyAlignment="0" applyProtection="0"/>
    <xf numFmtId="0" fontId="106" fillId="14" borderId="30" applyNumberFormat="0" applyAlignment="0" applyProtection="0"/>
    <xf numFmtId="0" fontId="106" fillId="14" borderId="30" applyNumberFormat="0" applyAlignment="0" applyProtection="0"/>
    <xf numFmtId="0" fontId="106" fillId="14" borderId="30" applyNumberFormat="0" applyAlignment="0" applyProtection="0"/>
    <xf numFmtId="0" fontId="106" fillId="65" borderId="30" applyNumberFormat="0" applyAlignment="0" applyProtection="0"/>
    <xf numFmtId="0" fontId="136" fillId="65" borderId="38" applyNumberFormat="0" applyAlignment="0" applyProtection="0"/>
    <xf numFmtId="0" fontId="137" fillId="0" borderId="0" applyFill="0" applyBorder="0" applyProtection="0">
      <alignment horizontal="center" vertical="center"/>
    </xf>
    <xf numFmtId="0" fontId="42" fillId="0" borderId="0" applyFill="0" applyBorder="0" applyProtection="0">
      <alignment horizontal="center"/>
      <protection locked="0"/>
    </xf>
    <xf numFmtId="0" fontId="137" fillId="0" borderId="0" applyFill="0" applyBorder="0" applyProtection="0">
      <alignment horizontal="center" vertical="center"/>
    </xf>
    <xf numFmtId="0" fontId="108" fillId="15" borderId="33" applyNumberFormat="0" applyAlignment="0" applyProtection="0"/>
    <xf numFmtId="0" fontId="108" fillId="15" borderId="33" applyNumberFormat="0" applyAlignment="0" applyProtection="0"/>
    <xf numFmtId="0" fontId="108" fillId="15" borderId="33" applyNumberFormat="0" applyAlignment="0" applyProtection="0"/>
    <xf numFmtId="0" fontId="138" fillId="66" borderId="39" applyNumberFormat="0" applyAlignment="0" applyProtection="0"/>
    <xf numFmtId="0" fontId="139" fillId="0" borderId="13">
      <alignment horizontal="center"/>
    </xf>
    <xf numFmtId="190" fontId="140" fillId="0" borderId="0" applyFont="0" applyFill="0" applyBorder="0" applyAlignment="0" applyProtection="0">
      <alignment horizontal="right"/>
    </xf>
    <xf numFmtId="191" fontId="21" fillId="0" borderId="0" applyFont="0" applyFill="0" applyBorder="0" applyAlignment="0" applyProtection="0"/>
    <xf numFmtId="192" fontId="141" fillId="0" borderId="0" applyFont="0" applyFill="0" applyBorder="0" applyAlignment="0" applyProtection="0"/>
    <xf numFmtId="193" fontId="1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4" fontId="9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21" fillId="0" borderId="0">
      <protection locked="0"/>
    </xf>
    <xf numFmtId="0" fontId="144" fillId="0" borderId="0" applyFill="0" applyBorder="0" applyAlignment="0" applyProtection="0"/>
    <xf numFmtId="0" fontId="116" fillId="0" borderId="0" applyFill="0" applyBorder="0" applyAlignment="0" applyProtection="0">
      <protection locked="0"/>
    </xf>
    <xf numFmtId="0" fontId="144" fillId="0" borderId="0" applyFill="0" applyBorder="0" applyAlignment="0" applyProtection="0"/>
    <xf numFmtId="196" fontId="141" fillId="0" borderId="0" applyFont="0" applyFill="0" applyBorder="0" applyAlignment="0" applyProtection="0"/>
    <xf numFmtId="197" fontId="141" fillId="0" borderId="0" applyFont="0" applyFill="0" applyBorder="0" applyAlignment="0" applyProtection="0"/>
    <xf numFmtId="198" fontId="1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42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9" fontId="21" fillId="0" borderId="0">
      <protection locked="0"/>
    </xf>
    <xf numFmtId="188" fontId="145" fillId="0" borderId="0" applyFont="0" applyFill="0" applyBorder="0" applyAlignment="0" applyProtection="0"/>
    <xf numFmtId="189" fontId="146" fillId="0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00" fontId="148" fillId="0" borderId="0"/>
    <xf numFmtId="201" fontId="148" fillId="0" borderId="0"/>
    <xf numFmtId="166" fontId="148" fillId="0" borderId="0"/>
    <xf numFmtId="201" fontId="148" fillId="0" borderId="0"/>
    <xf numFmtId="202" fontId="148" fillId="0" borderId="0"/>
    <xf numFmtId="202" fontId="148" fillId="0" borderId="0"/>
    <xf numFmtId="200" fontId="148" fillId="0" borderId="0"/>
    <xf numFmtId="203" fontId="148" fillId="0" borderId="0"/>
    <xf numFmtId="204" fontId="148" fillId="0" borderId="0"/>
    <xf numFmtId="205" fontId="148" fillId="0" borderId="0"/>
    <xf numFmtId="206" fontId="148" fillId="0" borderId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49" fillId="48" borderId="0" applyNumberFormat="0" applyBorder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150" fillId="0" borderId="40" applyNumberFormat="0" applyFill="0" applyAlignment="0" applyProtection="0"/>
    <xf numFmtId="0" fontId="151" fillId="0" borderId="40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152" fillId="0" borderId="28" applyNumberFormat="0" applyFill="0" applyAlignment="0" applyProtection="0"/>
    <xf numFmtId="0" fontId="153" fillId="0" borderId="41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54" fillId="0" borderId="42" applyNumberFormat="0" applyFill="0" applyAlignment="0" applyProtection="0"/>
    <xf numFmtId="0" fontId="155" fillId="0" borderId="42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7" fillId="0" borderId="0" applyFill="0" applyAlignment="0" applyProtection="0"/>
    <xf numFmtId="0" fontId="42" fillId="0" borderId="0" applyFill="0" applyAlignment="0" applyProtection="0">
      <protection locked="0"/>
    </xf>
    <xf numFmtId="0" fontId="27" fillId="0" borderId="0" applyFill="0" applyAlignment="0" applyProtection="0"/>
    <xf numFmtId="0" fontId="27" fillId="0" borderId="1" applyFill="0" applyAlignment="0" applyProtection="0"/>
    <xf numFmtId="0" fontId="42" fillId="0" borderId="1" applyFill="0" applyAlignment="0" applyProtection="0">
      <protection locked="0"/>
    </xf>
    <xf numFmtId="0" fontId="27" fillId="0" borderId="1" applyFill="0" applyAlignment="0" applyProtection="0"/>
    <xf numFmtId="0" fontId="42" fillId="0" borderId="0" applyFill="0" applyAlignment="0" applyProtection="0"/>
    <xf numFmtId="189" fontId="156" fillId="43" borderId="0" applyNumberFormat="0" applyBorder="0" applyAlignment="0" applyProtection="0"/>
    <xf numFmtId="0" fontId="104" fillId="13" borderId="30" applyNumberFormat="0" applyAlignment="0" applyProtection="0"/>
    <xf numFmtId="0" fontId="104" fillId="13" borderId="30" applyNumberFormat="0" applyAlignment="0" applyProtection="0"/>
    <xf numFmtId="0" fontId="104" fillId="13" borderId="30" applyNumberFormat="0" applyAlignment="0" applyProtection="0"/>
    <xf numFmtId="0" fontId="157" fillId="51" borderId="38" applyNumberFormat="0" applyAlignment="0" applyProtection="0"/>
    <xf numFmtId="189" fontId="26" fillId="3" borderId="0" applyNumberFormat="0" applyBorder="0" applyAlignment="0" applyProtection="0"/>
    <xf numFmtId="189" fontId="26" fillId="3" borderId="0" applyNumberFormat="0" applyBorder="0" applyAlignment="0" applyProtection="0"/>
    <xf numFmtId="0" fontId="107" fillId="0" borderId="32" applyNumberFormat="0" applyFill="0" applyAlignment="0" applyProtection="0"/>
    <xf numFmtId="0" fontId="107" fillId="0" borderId="32" applyNumberFormat="0" applyFill="0" applyAlignment="0" applyProtection="0"/>
    <xf numFmtId="0" fontId="107" fillId="0" borderId="32" applyNumberFormat="0" applyFill="0" applyAlignment="0" applyProtection="0"/>
    <xf numFmtId="0" fontId="158" fillId="0" borderId="43" applyNumberFormat="0" applyFill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59" fillId="67" borderId="0" applyNumberFormat="0" applyBorder="0" applyAlignment="0" applyProtection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189" fontId="20" fillId="0" borderId="0"/>
    <xf numFmtId="0" fontId="118" fillId="0" borderId="0"/>
    <xf numFmtId="0" fontId="4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20" fillId="0" borderId="0"/>
    <xf numFmtId="0" fontId="4" fillId="0" borderId="0"/>
    <xf numFmtId="0" fontId="4" fillId="0" borderId="0"/>
    <xf numFmtId="189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0" fillId="0" borderId="0"/>
    <xf numFmtId="0" fontId="20" fillId="0" borderId="0"/>
    <xf numFmtId="0" fontId="63" fillId="0" borderId="0">
      <alignment vertical="top"/>
    </xf>
    <xf numFmtId="0" fontId="20" fillId="0" borderId="0"/>
    <xf numFmtId="0" fontId="20" fillId="0" borderId="0"/>
    <xf numFmtId="189" fontId="20" fillId="0" borderId="0"/>
    <xf numFmtId="0" fontId="4" fillId="0" borderId="0"/>
    <xf numFmtId="0" fontId="4" fillId="0" borderId="0"/>
    <xf numFmtId="0" fontId="4" fillId="0" borderId="0"/>
    <xf numFmtId="189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8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7" fontId="20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189" fontId="73" fillId="0" borderId="0"/>
    <xf numFmtId="189" fontId="73" fillId="0" borderId="0"/>
    <xf numFmtId="0" fontId="63" fillId="0" borderId="0">
      <alignment vertical="top"/>
    </xf>
    <xf numFmtId="189" fontId="73" fillId="0" borderId="0"/>
    <xf numFmtId="189" fontId="73" fillId="0" borderId="0"/>
    <xf numFmtId="0" fontId="20" fillId="0" borderId="0"/>
    <xf numFmtId="0" fontId="4" fillId="0" borderId="0"/>
    <xf numFmtId="0" fontId="73" fillId="0" borderId="0"/>
    <xf numFmtId="0" fontId="63" fillId="0" borderId="0">
      <alignment vertical="top"/>
    </xf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189" fontId="1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15" fillId="16" borderId="34" applyNumberFormat="0" applyFont="0" applyAlignment="0" applyProtection="0"/>
    <xf numFmtId="0" fontId="20" fillId="68" borderId="44" applyNumberFormat="0" applyFont="0" applyAlignment="0" applyProtection="0"/>
    <xf numFmtId="0" fontId="4" fillId="16" borderId="34" applyNumberFormat="0" applyFont="0" applyAlignment="0" applyProtection="0"/>
    <xf numFmtId="0" fontId="105" fillId="14" borderId="31" applyNumberFormat="0" applyAlignment="0" applyProtection="0"/>
    <xf numFmtId="0" fontId="105" fillId="14" borderId="31" applyNumberFormat="0" applyAlignment="0" applyProtection="0"/>
    <xf numFmtId="0" fontId="105" fillId="14" borderId="31" applyNumberFormat="0" applyAlignment="0" applyProtection="0"/>
    <xf numFmtId="0" fontId="105" fillId="65" borderId="31" applyNumberFormat="0" applyAlignment="0" applyProtection="0"/>
    <xf numFmtId="0" fontId="161" fillId="65" borderId="45" applyNumberFormat="0" applyAlignment="0" applyProtection="0"/>
    <xf numFmtId="189" fontId="20" fillId="41" borderId="0" applyNumberFormat="0" applyBorder="0" applyAlignment="0" applyProtection="0"/>
    <xf numFmtId="189" fontId="20" fillId="41" borderId="0" applyNumberFormat="0" applyBorder="0" applyAlignment="0" applyProtection="0"/>
    <xf numFmtId="207" fontId="14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141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14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141" fillId="0" borderId="0" applyFont="0" applyFill="0" applyBorder="0" applyAlignment="0" applyProtection="0"/>
    <xf numFmtId="214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9" fontId="133" fillId="64" borderId="0" applyNumberFormat="0" applyBorder="0" applyAlignment="0" applyProtection="0"/>
    <xf numFmtId="0" fontId="162" fillId="0" borderId="0">
      <alignment horizontal="right"/>
    </xf>
    <xf numFmtId="0" fontId="163" fillId="0" borderId="0">
      <alignment horizontal="right"/>
    </xf>
    <xf numFmtId="0" fontId="148" fillId="0" borderId="0"/>
    <xf numFmtId="0" fontId="164" fillId="0" borderId="0" applyNumberFormat="0" applyBorder="0" applyAlignment="0"/>
    <xf numFmtId="0" fontId="164" fillId="0" borderId="0" applyNumberFormat="0" applyBorder="0" applyAlignment="0"/>
    <xf numFmtId="0" fontId="63" fillId="0" borderId="0" applyNumberFormat="0" applyBorder="0" applyAlignment="0"/>
    <xf numFmtId="189" fontId="63" fillId="0" borderId="0" applyNumberFormat="0" applyBorder="0" applyAlignment="0"/>
    <xf numFmtId="0" fontId="148" fillId="0" borderId="0"/>
    <xf numFmtId="189" fontId="63" fillId="0" borderId="0" applyNumberFormat="0" applyBorder="0" applyAlignment="0"/>
    <xf numFmtId="0" fontId="165" fillId="0" borderId="0"/>
    <xf numFmtId="0" fontId="166" fillId="0" borderId="0" applyNumberFormat="0" applyBorder="0" applyAlignment="0"/>
    <xf numFmtId="0" fontId="166" fillId="0" borderId="0" applyNumberFormat="0" applyBorder="0" applyAlignment="0"/>
    <xf numFmtId="0" fontId="165" fillId="0" borderId="0"/>
    <xf numFmtId="0" fontId="167" fillId="0" borderId="0"/>
    <xf numFmtId="189" fontId="168" fillId="0" borderId="0"/>
    <xf numFmtId="0" fontId="169" fillId="0" borderId="0"/>
    <xf numFmtId="0" fontId="170" fillId="0" borderId="0" applyNumberFormat="0" applyBorder="0" applyAlignment="0"/>
    <xf numFmtId="0" fontId="170" fillId="0" borderId="0" applyNumberFormat="0" applyBorder="0" applyAlignment="0"/>
    <xf numFmtId="0" fontId="169" fillId="0" borderId="0"/>
    <xf numFmtId="0" fontId="171" fillId="0" borderId="0" applyNumberFormat="0" applyBorder="0" applyAlignment="0"/>
    <xf numFmtId="0" fontId="172" fillId="0" borderId="0"/>
    <xf numFmtId="189" fontId="173" fillId="0" borderId="0"/>
    <xf numFmtId="0" fontId="174" fillId="0" borderId="0"/>
    <xf numFmtId="0" fontId="170" fillId="69" borderId="0" applyNumberFormat="0" applyBorder="0" applyAlignment="0"/>
    <xf numFmtId="0" fontId="175" fillId="0" borderId="0"/>
    <xf numFmtId="0" fontId="176" fillId="0" borderId="0"/>
    <xf numFmtId="0" fontId="177" fillId="0" borderId="0"/>
    <xf numFmtId="0" fontId="176" fillId="70" borderId="0"/>
    <xf numFmtId="0" fontId="97" fillId="0" borderId="0" applyNumberFormat="0" applyFill="0" applyBorder="0" applyAlignment="0" applyProtection="0"/>
    <xf numFmtId="0" fontId="178" fillId="71" borderId="46" applyNumberFormat="0">
      <alignment horizontal="left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8" fillId="71" borderId="47">
      <alignment horizontal="left"/>
    </xf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111" fillId="0" borderId="48" applyNumberFormat="0" applyFill="0" applyAlignment="0" applyProtection="0"/>
    <xf numFmtId="0" fontId="181" fillId="0" borderId="48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89" fontId="27" fillId="72" borderId="0" applyNumberFormat="0" applyBorder="0" applyAlignment="0" applyProtection="0"/>
    <xf numFmtId="21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39" fillId="0" borderId="0" applyFont="0" applyFill="0" applyBorder="0" applyAlignment="0" applyProtection="0">
      <alignment horizontal="right"/>
    </xf>
    <xf numFmtId="3" fontId="73" fillId="0" borderId="0"/>
    <xf numFmtId="0" fontId="120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20" fillId="0" borderId="29" applyNumberFormat="0" applyFill="0" applyAlignment="0" applyProtection="0"/>
    <xf numFmtId="0" fontId="73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61" fillId="65" borderId="45" applyNumberFormat="0" applyAlignment="0" applyProtection="0"/>
    <xf numFmtId="0" fontId="136" fillId="65" borderId="38" applyNumberFormat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36" fillId="65" borderId="38" applyNumberFormat="0" applyAlignment="0" applyProtection="0"/>
    <xf numFmtId="43" fontId="73" fillId="0" borderId="0" applyFont="0" applyFill="0" applyBorder="0" applyAlignment="0" applyProtection="0"/>
    <xf numFmtId="0" fontId="20" fillId="68" borderId="44" applyNumberFormat="0" applyFont="0" applyAlignment="0" applyProtection="0"/>
    <xf numFmtId="9" fontId="73" fillId="0" borderId="0" applyFont="0" applyFill="0" applyBorder="0" applyAlignment="0" applyProtection="0"/>
    <xf numFmtId="0" fontId="181" fillId="0" borderId="48" applyNumberFormat="0" applyFill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1" fillId="0" borderId="48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36" fillId="65" borderId="38" applyNumberFormat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7" fillId="51" borderId="38" applyNumberFormat="0" applyAlignment="0" applyProtection="0"/>
    <xf numFmtId="0" fontId="157" fillId="51" borderId="38" applyNumberFormat="0" applyAlignment="0" applyProtection="0"/>
    <xf numFmtId="0" fontId="157" fillId="51" borderId="38" applyNumberFormat="0" applyAlignment="0" applyProtection="0"/>
    <xf numFmtId="0" fontId="20" fillId="68" borderId="44" applyNumberFormat="0" applyFont="0" applyAlignment="0" applyProtection="0"/>
    <xf numFmtId="0" fontId="111" fillId="0" borderId="48" applyNumberFormat="0" applyFill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0" fillId="68" borderId="44" applyNumberFormat="0" applyFont="0" applyAlignment="0" applyProtection="0"/>
    <xf numFmtId="0" fontId="161" fillId="65" borderId="45" applyNumberFormat="0" applyAlignment="0" applyProtection="0"/>
    <xf numFmtId="44" fontId="73" fillId="0" borderId="0" applyFont="0" applyFill="0" applyBorder="0" applyAlignment="0" applyProtection="0"/>
    <xf numFmtId="0" fontId="111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1" fillId="0" borderId="48" applyNumberFormat="0" applyFill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0" fillId="68" borderId="44" applyNumberFormat="0" applyFont="0" applyAlignment="0" applyProtection="0"/>
    <xf numFmtId="0" fontId="161" fillId="65" borderId="45" applyNumberFormat="0" applyAlignment="0" applyProtection="0"/>
    <xf numFmtId="0" fontId="136" fillId="65" borderId="38" applyNumberFormat="0" applyAlignment="0" applyProtection="0"/>
    <xf numFmtId="9" fontId="73" fillId="0" borderId="0" applyFont="0" applyFill="0" applyBorder="0" applyAlignment="0" applyProtection="0"/>
    <xf numFmtId="0" fontId="161" fillId="65" borderId="45" applyNumberFormat="0" applyAlignment="0" applyProtection="0"/>
    <xf numFmtId="0" fontId="111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11" fillId="0" borderId="48" applyNumberFormat="0" applyFill="0" applyAlignment="0" applyProtection="0"/>
    <xf numFmtId="0" fontId="181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7" fillId="51" borderId="38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0" borderId="48" applyNumberFormat="0" applyFill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68" borderId="44" applyNumberFormat="0" applyFont="0" applyAlignment="0" applyProtection="0"/>
    <xf numFmtId="0" fontId="161" fillId="65" borderId="4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1" fillId="0" borderId="4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6" fillId="65" borderId="38" applyNumberFormat="0" applyAlignment="0" applyProtection="0"/>
    <xf numFmtId="0" fontId="181" fillId="0" borderId="48" applyNumberFormat="0" applyFill="0" applyAlignment="0" applyProtection="0"/>
    <xf numFmtId="0" fontId="181" fillId="0" borderId="48" applyNumberFormat="0" applyFill="0" applyAlignment="0" applyProtection="0"/>
    <xf numFmtId="0" fontId="136" fillId="65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7" fillId="51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68" borderId="4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68" borderId="4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68" borderId="44" applyNumberFormat="0" applyFont="0" applyAlignment="0" applyProtection="0"/>
    <xf numFmtId="0" fontId="136" fillId="65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7" fillId="51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68" borderId="4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0" borderId="48" applyNumberFormat="0" applyFill="0" applyAlignment="0" applyProtection="0"/>
    <xf numFmtId="0" fontId="161" fillId="65" borderId="45" applyNumberFormat="0" applyAlignment="0" applyProtection="0"/>
    <xf numFmtId="0" fontId="161" fillId="65" borderId="45" applyNumberFormat="0" applyAlignment="0" applyProtection="0"/>
    <xf numFmtId="0" fontId="181" fillId="0" borderId="48" applyNumberFormat="0" applyFill="0" applyAlignment="0" applyProtection="0"/>
    <xf numFmtId="0" fontId="111" fillId="0" borderId="48" applyNumberFormat="0" applyFill="0" applyAlignment="0" applyProtection="0"/>
    <xf numFmtId="0" fontId="161" fillId="65" borderId="45" applyNumberFormat="0" applyAlignment="0" applyProtection="0"/>
    <xf numFmtId="0" fontId="157" fillId="51" borderId="38" applyNumberFormat="0" applyAlignment="0" applyProtection="0"/>
    <xf numFmtId="0" fontId="157" fillId="51" borderId="38" applyNumberFormat="0" applyAlignment="0" applyProtection="0"/>
    <xf numFmtId="0" fontId="136" fillId="65" borderId="38" applyNumberFormat="0" applyAlignment="0" applyProtection="0"/>
    <xf numFmtId="0" fontId="161" fillId="65" borderId="45" applyNumberFormat="0" applyAlignment="0" applyProtection="0"/>
    <xf numFmtId="0" fontId="157" fillId="51" borderId="38" applyNumberFormat="0" applyAlignment="0" applyProtection="0"/>
    <xf numFmtId="0" fontId="136" fillId="65" borderId="38" applyNumberFormat="0" applyAlignment="0" applyProtection="0"/>
    <xf numFmtId="0" fontId="4" fillId="0" borderId="0"/>
    <xf numFmtId="0" fontId="73" fillId="0" borderId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9" fontId="183" fillId="0" borderId="0"/>
    <xf numFmtId="40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84" fillId="0" borderId="0"/>
    <xf numFmtId="44" fontId="184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26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0" fontId="54" fillId="0" borderId="0"/>
    <xf numFmtId="0" fontId="73" fillId="0" borderId="0"/>
    <xf numFmtId="0" fontId="4" fillId="0" borderId="0"/>
    <xf numFmtId="10" fontId="5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3" fillId="0" borderId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34" applyNumberFormat="0" applyFont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34" applyNumberFormat="0" applyFont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0" fontId="4" fillId="16" borderId="34" applyNumberFormat="0" applyFont="0" applyAlignment="0" applyProtection="0"/>
    <xf numFmtId="0" fontId="4" fillId="26" borderId="0" applyNumberFormat="0" applyBorder="0" applyAlignment="0" applyProtection="0"/>
    <xf numFmtId="43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9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6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16" borderId="34" applyNumberFormat="0" applyFont="0" applyAlignment="0" applyProtection="0"/>
    <xf numFmtId="0" fontId="4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16" borderId="34" applyNumberFormat="0" applyFont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22" borderId="0" applyNumberFormat="0" applyBorder="0" applyAlignment="0" applyProtection="0"/>
    <xf numFmtId="43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43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6" borderId="34" applyNumberFormat="0" applyFont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0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20" fillId="0" borderId="0"/>
    <xf numFmtId="0" fontId="20" fillId="0" borderId="0"/>
    <xf numFmtId="43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14" fillId="0" borderId="0"/>
    <xf numFmtId="0" fontId="20" fillId="0" borderId="0"/>
    <xf numFmtId="0" fontId="3" fillId="0" borderId="0"/>
    <xf numFmtId="0" fontId="3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14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43" fontId="95" fillId="0" borderId="0" applyFont="0" applyFill="0" applyBorder="0" applyAlignment="0" applyProtection="0"/>
    <xf numFmtId="0" fontId="20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6" fillId="0" borderId="0"/>
    <xf numFmtId="0" fontId="63" fillId="0" borderId="0"/>
    <xf numFmtId="0" fontId="63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6" fillId="0" borderId="0"/>
    <xf numFmtId="0" fontId="114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2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227" fontId="65" fillId="44" borderId="0" applyBorder="0">
      <alignment horizontal="right"/>
    </xf>
    <xf numFmtId="0" fontId="188" fillId="73" borderId="0" applyBorder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5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9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34" applyNumberFormat="0" applyFont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34" applyNumberFormat="0" applyFont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0" fontId="2" fillId="16" borderId="34" applyNumberFormat="0" applyFont="0" applyAlignment="0" applyProtection="0"/>
    <xf numFmtId="0" fontId="2" fillId="26" borderId="0" applyNumberFormat="0" applyBorder="0" applyAlignment="0" applyProtection="0"/>
    <xf numFmtId="43" fontId="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9" fontId="2" fillId="0" borderId="0" applyFont="0" applyFill="0" applyBorder="0" applyAlignment="0" applyProtection="0"/>
    <xf numFmtId="0" fontId="2" fillId="16" borderId="34" applyNumberFormat="0" applyFont="0" applyAlignment="0" applyProtection="0"/>
    <xf numFmtId="0" fontId="2" fillId="27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9" fontId="2" fillId="0" borderId="0" applyFont="0" applyFill="0" applyBorder="0" applyAlignment="0" applyProtection="0"/>
    <xf numFmtId="0" fontId="2" fillId="16" borderId="34" applyNumberFormat="0" applyFont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9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6" borderId="34" applyNumberFormat="0" applyFont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943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5" fillId="0" borderId="0" xfId="21" applyFont="1">
      <alignment readingOrder="1"/>
    </xf>
    <xf numFmtId="0" fontId="20" fillId="0" borderId="0" xfId="21">
      <alignment readingOrder="1"/>
    </xf>
    <xf numFmtId="0" fontId="20" fillId="0" borderId="0" xfId="21" applyFont="1">
      <alignment readingOrder="1"/>
    </xf>
    <xf numFmtId="0" fontId="27" fillId="0" borderId="0" xfId="21" applyFont="1">
      <alignment readingOrder="1"/>
    </xf>
    <xf numFmtId="0" fontId="26" fillId="0" borderId="0" xfId="21" applyFont="1">
      <alignment readingOrder="1"/>
    </xf>
    <xf numFmtId="0" fontId="20" fillId="0" borderId="0" xfId="21" applyBorder="1">
      <alignment readingOrder="1"/>
    </xf>
    <xf numFmtId="0" fontId="26" fillId="0" borderId="0" xfId="21" applyFont="1" applyBorder="1">
      <alignment readingOrder="1"/>
    </xf>
    <xf numFmtId="0" fontId="20" fillId="0" borderId="0" xfId="0" applyFont="1"/>
    <xf numFmtId="0" fontId="21" fillId="0" borderId="0" xfId="40" applyFont="1"/>
    <xf numFmtId="3" fontId="21" fillId="0" borderId="0" xfId="40" applyNumberFormat="1" applyFont="1" applyFill="1" applyBorder="1"/>
    <xf numFmtId="0" fontId="20" fillId="0" borderId="0" xfId="23"/>
    <xf numFmtId="0" fontId="21" fillId="0" borderId="0" xfId="40" applyFont="1" applyBorder="1"/>
    <xf numFmtId="0" fontId="21" fillId="0" borderId="0" xfId="40" applyNumberFormat="1" applyFont="1" applyAlignment="1">
      <alignment horizontal="center"/>
    </xf>
    <xf numFmtId="0" fontId="20" fillId="0" borderId="0" xfId="23" applyFill="1"/>
    <xf numFmtId="37" fontId="21" fillId="0" borderId="0" xfId="40" applyNumberFormat="1" applyFont="1" applyAlignment="1">
      <alignment horizontal="center"/>
    </xf>
    <xf numFmtId="5" fontId="21" fillId="0" borderId="0" xfId="40" applyNumberFormat="1" applyFont="1"/>
    <xf numFmtId="1" fontId="21" fillId="0" borderId="0" xfId="38" applyNumberFormat="1" applyFont="1" applyAlignment="1">
      <alignment horizontal="center"/>
    </xf>
    <xf numFmtId="37" fontId="21" fillId="0" borderId="0" xfId="40" applyNumberFormat="1" applyFont="1"/>
    <xf numFmtId="37" fontId="21" fillId="0" borderId="0" xfId="40" applyNumberFormat="1" applyFont="1" applyFill="1"/>
    <xf numFmtId="3" fontId="21" fillId="0" borderId="0" xfId="38" applyNumberFormat="1" applyFont="1" applyAlignment="1">
      <alignment horizontal="center"/>
    </xf>
    <xf numFmtId="0" fontId="22" fillId="0" borderId="0" xfId="40" applyFont="1" applyAlignment="1">
      <alignment horizontal="center"/>
    </xf>
    <xf numFmtId="3" fontId="22" fillId="0" borderId="0" xfId="40" applyNumberFormat="1" applyFont="1" applyFill="1" applyBorder="1" applyAlignment="1">
      <alignment horizontal="center"/>
    </xf>
    <xf numFmtId="0" fontId="22" fillId="0" borderId="0" xfId="40" applyFont="1" applyBorder="1" applyAlignment="1">
      <alignment horizontal="center"/>
    </xf>
    <xf numFmtId="0" fontId="22" fillId="0" borderId="0" xfId="40" applyNumberFormat="1" applyFont="1" applyAlignment="1">
      <alignment horizontal="center"/>
    </xf>
    <xf numFmtId="0" fontId="22" fillId="0" borderId="1" xfId="40" applyFont="1" applyBorder="1" applyAlignment="1">
      <alignment horizontal="center"/>
    </xf>
    <xf numFmtId="0" fontId="22" fillId="0" borderId="5" xfId="40" applyFont="1" applyBorder="1" applyAlignment="1">
      <alignment horizontal="center"/>
    </xf>
    <xf numFmtId="0" fontId="22" fillId="0" borderId="4" xfId="40" applyNumberFormat="1" applyFont="1" applyBorder="1" applyAlignment="1">
      <alignment horizontal="center"/>
    </xf>
    <xf numFmtId="0" fontId="22" fillId="0" borderId="7" xfId="40" applyFont="1" applyBorder="1" applyAlignment="1">
      <alignment horizontal="center"/>
    </xf>
    <xf numFmtId="0" fontId="22" fillId="0" borderId="6" xfId="40" applyNumberFormat="1" applyFont="1" applyBorder="1" applyAlignment="1">
      <alignment horizontal="center"/>
    </xf>
    <xf numFmtId="170" fontId="22" fillId="0" borderId="0" xfId="39" applyNumberFormat="1" applyFont="1" applyFill="1" applyBorder="1" applyAlignment="1">
      <alignment horizontal="center"/>
    </xf>
    <xf numFmtId="0" fontId="22" fillId="0" borderId="9" xfId="40" applyFont="1" applyBorder="1" applyAlignment="1">
      <alignment horizontal="center"/>
    </xf>
    <xf numFmtId="0" fontId="22" fillId="0" borderId="10" xfId="40" applyFont="1" applyBorder="1" applyAlignment="1">
      <alignment horizontal="center"/>
    </xf>
    <xf numFmtId="0" fontId="22" fillId="0" borderId="8" xfId="40" applyNumberFormat="1" applyFont="1" applyBorder="1" applyAlignment="1">
      <alignment horizontal="center"/>
    </xf>
    <xf numFmtId="0" fontId="20" fillId="0" borderId="0" xfId="23" applyFont="1" applyFill="1"/>
    <xf numFmtId="0" fontId="21" fillId="0" borderId="0" xfId="40" applyNumberFormat="1" applyFont="1" applyAlignment="1">
      <alignment horizontal="left"/>
    </xf>
    <xf numFmtId="3" fontId="21" fillId="0" borderId="0" xfId="0" applyNumberFormat="1" applyFont="1" applyFill="1"/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/>
    </xf>
    <xf numFmtId="10" fontId="21" fillId="0" borderId="0" xfId="42" applyNumberFormat="1" applyFont="1" applyFill="1" applyBorder="1"/>
    <xf numFmtId="37" fontId="21" fillId="0" borderId="0" xfId="0" applyNumberFormat="1" applyFont="1" applyFill="1" applyBorder="1"/>
    <xf numFmtId="10" fontId="21" fillId="0" borderId="0" xfId="42" applyNumberFormat="1" applyFont="1" applyFill="1"/>
    <xf numFmtId="0" fontId="27" fillId="0" borderId="0" xfId="0" applyFont="1"/>
    <xf numFmtId="0" fontId="39" fillId="0" borderId="0" xfId="23" applyFont="1" applyFill="1"/>
    <xf numFmtId="0" fontId="21" fillId="0" borderId="0" xfId="23" applyFont="1" applyFill="1" applyBorder="1"/>
    <xf numFmtId="172" fontId="21" fillId="0" borderId="0" xfId="23" applyNumberFormat="1" applyFont="1" applyFill="1" applyAlignment="1">
      <alignment horizontal="center"/>
    </xf>
    <xf numFmtId="3" fontId="21" fillId="0" borderId="0" xfId="23" applyNumberFormat="1" applyFont="1" applyFill="1"/>
    <xf numFmtId="0" fontId="21" fillId="0" borderId="0" xfId="23" applyFont="1" applyFill="1"/>
    <xf numFmtId="3" fontId="39" fillId="0" borderId="0" xfId="23" applyNumberFormat="1" applyFont="1" applyFill="1"/>
    <xf numFmtId="168" fontId="21" fillId="0" borderId="0" xfId="23" applyNumberFormat="1" applyFont="1" applyFill="1"/>
    <xf numFmtId="3" fontId="21" fillId="0" borderId="0" xfId="0" applyNumberFormat="1" applyFont="1" applyFill="1" applyAlignment="1">
      <alignment horizontal="center"/>
    </xf>
    <xf numFmtId="0" fontId="20" fillId="0" borderId="0" xfId="23" applyAlignment="1">
      <alignment horizontal="centerContinuous"/>
    </xf>
    <xf numFmtId="0" fontId="23" fillId="0" borderId="0" xfId="23" applyFont="1" applyAlignment="1">
      <alignment horizontal="centerContinuous"/>
    </xf>
    <xf numFmtId="0" fontId="20" fillId="0" borderId="0" xfId="23" applyAlignment="1">
      <alignment horizontal="center"/>
    </xf>
    <xf numFmtId="0" fontId="23" fillId="0" borderId="0" xfId="23" applyFont="1" applyAlignment="1">
      <alignment horizontal="center"/>
    </xf>
    <xf numFmtId="164" fontId="20" fillId="0" borderId="0" xfId="23" applyNumberFormat="1"/>
    <xf numFmtId="3" fontId="20" fillId="0" borderId="0" xfId="23" applyNumberFormat="1"/>
    <xf numFmtId="3" fontId="20" fillId="0" borderId="1" xfId="23" applyNumberFormat="1" applyBorder="1"/>
    <xf numFmtId="3" fontId="20" fillId="0" borderId="0" xfId="23" applyNumberFormat="1" applyBorder="1"/>
    <xf numFmtId="3" fontId="20" fillId="0" borderId="2" xfId="23" applyNumberFormat="1" applyBorder="1"/>
    <xf numFmtId="9" fontId="20" fillId="0" borderId="0" xfId="23" applyNumberFormat="1"/>
    <xf numFmtId="164" fontId="20" fillId="0" borderId="0" xfId="23" applyNumberFormat="1" applyBorder="1"/>
    <xf numFmtId="0" fontId="70" fillId="0" borderId="0" xfId="34"/>
    <xf numFmtId="0" fontId="44" fillId="0" borderId="0" xfId="34" applyFont="1"/>
    <xf numFmtId="0" fontId="44" fillId="0" borderId="0" xfId="34" applyFont="1" applyFill="1"/>
    <xf numFmtId="0" fontId="70" fillId="0" borderId="0" xfId="34" applyFill="1"/>
    <xf numFmtId="9" fontId="21" fillId="0" borderId="0" xfId="42" applyFont="1"/>
    <xf numFmtId="10" fontId="21" fillId="0" borderId="0" xfId="42" applyNumberFormat="1" applyFont="1" applyFill="1" applyBorder="1" applyAlignment="1">
      <alignment horizontal="center"/>
    </xf>
    <xf numFmtId="0" fontId="20" fillId="0" borderId="0" xfId="23" applyBorder="1"/>
    <xf numFmtId="0" fontId="23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20" fillId="0" borderId="0" xfId="23" applyFont="1"/>
    <xf numFmtId="2" fontId="22" fillId="0" borderId="0" xfId="40" applyNumberFormat="1" applyFont="1" applyAlignment="1">
      <alignment horizontal="center"/>
    </xf>
    <xf numFmtId="2" fontId="21" fillId="0" borderId="0" xfId="40" applyNumberFormat="1" applyFont="1" applyAlignment="1">
      <alignment horizontal="left"/>
    </xf>
    <xf numFmtId="2" fontId="22" fillId="0" borderId="0" xfId="40" applyNumberFormat="1" applyFont="1" applyFill="1" applyBorder="1" applyAlignment="1">
      <alignment horizontal="center"/>
    </xf>
    <xf numFmtId="2" fontId="22" fillId="0" borderId="0" xfId="14" applyNumberFormat="1" applyFont="1" applyFill="1" applyBorder="1" applyAlignment="1" applyProtection="1">
      <alignment horizontal="center"/>
    </xf>
    <xf numFmtId="2" fontId="22" fillId="0" borderId="0" xfId="40" applyNumberFormat="1" applyFont="1" applyBorder="1" applyAlignment="1">
      <alignment horizontal="center"/>
    </xf>
    <xf numFmtId="37" fontId="21" fillId="0" borderId="0" xfId="40" applyNumberFormat="1" applyFont="1" applyFill="1" applyAlignment="1">
      <alignment horizontal="center"/>
    </xf>
    <xf numFmtId="3" fontId="21" fillId="0" borderId="0" xfId="38" applyNumberFormat="1" applyFont="1" applyFill="1" applyAlignment="1">
      <alignment horizontal="center"/>
    </xf>
    <xf numFmtId="0" fontId="21" fillId="0" borderId="0" xfId="40" applyNumberFormat="1" applyFont="1" applyBorder="1" applyAlignment="1">
      <alignment horizontal="center"/>
    </xf>
    <xf numFmtId="3" fontId="21" fillId="0" borderId="0" xfId="0" applyNumberFormat="1" applyFont="1" applyFill="1" applyAlignment="1">
      <alignment horizontal="left"/>
    </xf>
    <xf numFmtId="0" fontId="39" fillId="0" borderId="0" xfId="23" applyFont="1" applyFill="1" applyBorder="1"/>
    <xf numFmtId="172" fontId="21" fillId="0" borderId="0" xfId="23" applyNumberFormat="1" applyFont="1" applyFill="1"/>
    <xf numFmtId="172" fontId="21" fillId="0" borderId="0" xfId="23" applyNumberFormat="1" applyFont="1" applyFill="1" applyBorder="1"/>
    <xf numFmtId="0" fontId="38" fillId="0" borderId="0" xfId="23" applyFont="1" applyAlignment="1">
      <alignment horizontal="left"/>
    </xf>
    <xf numFmtId="0" fontId="38" fillId="0" borderId="0" xfId="23" applyFont="1"/>
    <xf numFmtId="0" fontId="38" fillId="0" borderId="0" xfId="23" applyFont="1" applyAlignment="1">
      <alignment horizontal="center"/>
    </xf>
    <xf numFmtId="0" fontId="47" fillId="0" borderId="0" xfId="23" applyFont="1" applyAlignment="1"/>
    <xf numFmtId="0" fontId="38" fillId="0" borderId="0" xfId="23" applyFont="1" applyAlignment="1"/>
    <xf numFmtId="0" fontId="38" fillId="0" borderId="0" xfId="23" applyFont="1" applyAlignment="1">
      <alignment horizontal="right"/>
    </xf>
    <xf numFmtId="37" fontId="38" fillId="0" borderId="0" xfId="23" applyNumberFormat="1" applyFont="1"/>
    <xf numFmtId="0" fontId="49" fillId="0" borderId="0" xfId="23" applyFont="1" applyAlignment="1">
      <alignment horizontal="left" indent="1"/>
    </xf>
    <xf numFmtId="5" fontId="38" fillId="0" borderId="0" xfId="23" applyNumberFormat="1" applyFont="1"/>
    <xf numFmtId="0" fontId="38" fillId="0" borderId="0" xfId="1" applyNumberFormat="1" applyFont="1"/>
    <xf numFmtId="166" fontId="38" fillId="0" borderId="0" xfId="1" applyNumberFormat="1" applyFont="1"/>
    <xf numFmtId="37" fontId="38" fillId="0" borderId="0" xfId="1" applyNumberFormat="1" applyFont="1"/>
    <xf numFmtId="3" fontId="38" fillId="0" borderId="0" xfId="23" applyNumberFormat="1" applyFont="1"/>
    <xf numFmtId="0" fontId="52" fillId="0" borderId="0" xfId="23" applyFont="1"/>
    <xf numFmtId="166" fontId="38" fillId="0" borderId="0" xfId="1" applyNumberFormat="1" applyFont="1" applyAlignment="1">
      <alignment horizontal="left"/>
    </xf>
    <xf numFmtId="0" fontId="38" fillId="0" borderId="0" xfId="1" applyNumberFormat="1" applyFont="1" applyFill="1"/>
    <xf numFmtId="177" fontId="38" fillId="0" borderId="0" xfId="23" applyNumberFormat="1" applyFont="1" applyAlignment="1">
      <alignment horizontal="center"/>
    </xf>
    <xf numFmtId="0" fontId="38" fillId="0" borderId="0" xfId="23" quotePrefix="1" applyFont="1"/>
    <xf numFmtId="0" fontId="51" fillId="0" borderId="0" xfId="23" applyFont="1"/>
    <xf numFmtId="7" fontId="38" fillId="0" borderId="0" xfId="23" applyNumberFormat="1" applyFont="1"/>
    <xf numFmtId="180" fontId="38" fillId="0" borderId="0" xfId="23" applyNumberFormat="1" applyFont="1"/>
    <xf numFmtId="10" fontId="51" fillId="0" borderId="0" xfId="23" applyNumberFormat="1" applyFont="1"/>
    <xf numFmtId="37" fontId="51" fillId="0" borderId="0" xfId="1" applyNumberFormat="1" applyFont="1"/>
    <xf numFmtId="5" fontId="52" fillId="0" borderId="0" xfId="23" applyNumberFormat="1" applyFont="1"/>
    <xf numFmtId="10" fontId="52" fillId="0" borderId="0" xfId="23" applyNumberFormat="1" applyFont="1"/>
    <xf numFmtId="166" fontId="21" fillId="0" borderId="0" xfId="1" applyNumberFormat="1" applyFont="1" applyFill="1" applyBorder="1" applyAlignment="1">
      <alignment horizontal="center"/>
    </xf>
    <xf numFmtId="0" fontId="73" fillId="0" borderId="0" xfId="36"/>
    <xf numFmtId="0" fontId="73" fillId="0" borderId="1" xfId="36" applyBorder="1" applyAlignment="1">
      <alignment horizontal="centerContinuous"/>
    </xf>
    <xf numFmtId="0" fontId="73" fillId="0" borderId="0" xfId="36" applyAlignment="1">
      <alignment horizontal="center"/>
    </xf>
    <xf numFmtId="0" fontId="55" fillId="0" borderId="0" xfId="36" applyFont="1" applyAlignment="1">
      <alignment horizontal="center"/>
    </xf>
    <xf numFmtId="0" fontId="55" fillId="0" borderId="0" xfId="36" applyFont="1"/>
    <xf numFmtId="171" fontId="73" fillId="0" borderId="0" xfId="36" applyNumberFormat="1"/>
    <xf numFmtId="3" fontId="73" fillId="0" borderId="0" xfId="36" applyNumberFormat="1"/>
    <xf numFmtId="3" fontId="73" fillId="0" borderId="1" xfId="36" applyNumberFormat="1" applyBorder="1"/>
    <xf numFmtId="3" fontId="73" fillId="0" borderId="2" xfId="36" applyNumberFormat="1" applyBorder="1"/>
    <xf numFmtId="0" fontId="73" fillId="0" borderId="1" xfId="36" applyBorder="1" applyAlignment="1">
      <alignment horizontal="center"/>
    </xf>
    <xf numFmtId="3" fontId="21" fillId="0" borderId="0" xfId="23" applyNumberFormat="1" applyFont="1" applyFill="1" applyBorder="1"/>
    <xf numFmtId="0" fontId="73" fillId="0" borderId="0" xfId="36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37" fontId="38" fillId="0" borderId="0" xfId="1" applyNumberFormat="1" applyFont="1" applyAlignment="1"/>
    <xf numFmtId="0" fontId="57" fillId="4" borderId="0" xfId="34" applyFont="1" applyFill="1"/>
    <xf numFmtId="0" fontId="70" fillId="4" borderId="0" xfId="34" applyFill="1"/>
    <xf numFmtId="10" fontId="70" fillId="4" borderId="0" xfId="34" applyNumberFormat="1" applyFill="1"/>
    <xf numFmtId="165" fontId="58" fillId="4" borderId="0" xfId="42" applyNumberFormat="1" applyFont="1" applyFill="1" applyAlignment="1">
      <alignment horizontal="center"/>
    </xf>
    <xf numFmtId="10" fontId="70" fillId="4" borderId="0" xfId="34" applyNumberFormat="1" applyFill="1" applyAlignment="1">
      <alignment horizontal="center"/>
    </xf>
    <xf numFmtId="10" fontId="58" fillId="4" borderId="0" xfId="42" applyNumberFormat="1" applyFont="1" applyFill="1"/>
    <xf numFmtId="0" fontId="70" fillId="4" borderId="0" xfId="34" applyFill="1" applyAlignment="1">
      <alignment horizontal="center"/>
    </xf>
    <xf numFmtId="10" fontId="58" fillId="4" borderId="0" xfId="42" applyNumberFormat="1" applyFont="1" applyFill="1" applyAlignment="1">
      <alignment horizontal="center"/>
    </xf>
    <xf numFmtId="0" fontId="17" fillId="4" borderId="1" xfId="34" applyFont="1" applyFill="1" applyBorder="1"/>
    <xf numFmtId="0" fontId="17" fillId="4" borderId="1" xfId="34" applyFont="1" applyFill="1" applyBorder="1" applyAlignment="1">
      <alignment horizontal="center"/>
    </xf>
    <xf numFmtId="165" fontId="70" fillId="0" borderId="0" xfId="34" applyNumberFormat="1"/>
    <xf numFmtId="10" fontId="57" fillId="4" borderId="0" xfId="42" applyNumberFormat="1" applyFont="1" applyFill="1"/>
    <xf numFmtId="166" fontId="21" fillId="0" borderId="0" xfId="1" applyNumberFormat="1" applyFont="1" applyFill="1"/>
    <xf numFmtId="0" fontId="70" fillId="0" borderId="0" xfId="19"/>
    <xf numFmtId="0" fontId="16" fillId="0" borderId="0" xfId="34" applyFont="1"/>
    <xf numFmtId="166" fontId="59" fillId="0" borderId="0" xfId="1" applyNumberFormat="1" applyFont="1"/>
    <xf numFmtId="0" fontId="70" fillId="0" borderId="0" xfId="34" applyAlignment="1">
      <alignment horizontal="center"/>
    </xf>
    <xf numFmtId="10" fontId="59" fillId="0" borderId="0" xfId="42" applyNumberFormat="1" applyFont="1"/>
    <xf numFmtId="10" fontId="70" fillId="0" borderId="0" xfId="34" applyNumberFormat="1"/>
    <xf numFmtId="0" fontId="22" fillId="0" borderId="0" xfId="1" applyNumberFormat="1" applyFont="1" applyFill="1" applyBorder="1" applyAlignment="1">
      <alignment horizontal="center"/>
    </xf>
    <xf numFmtId="164" fontId="21" fillId="0" borderId="0" xfId="0" applyNumberFormat="1" applyFont="1" applyFill="1"/>
    <xf numFmtId="37" fontId="21" fillId="0" borderId="0" xfId="0" applyNumberFormat="1" applyFont="1" applyFill="1" applyBorder="1" applyProtection="1">
      <protection locked="0"/>
    </xf>
    <xf numFmtId="5" fontId="21" fillId="0" borderId="0" xfId="0" applyNumberFormat="1" applyFont="1" applyFill="1" applyBorder="1" applyProtection="1">
      <protection locked="0"/>
    </xf>
    <xf numFmtId="37" fontId="21" fillId="0" borderId="0" xfId="0" applyNumberFormat="1" applyFont="1" applyFill="1" applyBorder="1" applyAlignment="1" applyProtection="1">
      <alignment horizontal="center"/>
      <protection locked="0"/>
    </xf>
    <xf numFmtId="172" fontId="39" fillId="0" borderId="0" xfId="23" applyNumberFormat="1" applyFont="1" applyFill="1" applyAlignment="1">
      <alignment horizontal="center"/>
    </xf>
    <xf numFmtId="172" fontId="35" fillId="0" borderId="0" xfId="23" applyNumberFormat="1" applyFont="1" applyFill="1" applyAlignment="1">
      <alignment horizontal="center"/>
    </xf>
    <xf numFmtId="0" fontId="35" fillId="0" borderId="0" xfId="23" applyFont="1" applyFill="1"/>
    <xf numFmtId="3" fontId="35" fillId="0" borderId="0" xfId="23" applyNumberFormat="1" applyFont="1" applyFill="1"/>
    <xf numFmtId="0" fontId="73" fillId="0" borderId="0" xfId="36" applyFill="1"/>
    <xf numFmtId="166" fontId="63" fillId="0" borderId="0" xfId="1" applyNumberFormat="1" applyFont="1" applyFill="1"/>
    <xf numFmtId="0" fontId="40" fillId="0" borderId="15" xfId="19" applyFont="1" applyFill="1" applyBorder="1" applyAlignment="1">
      <alignment horizontal="left"/>
    </xf>
    <xf numFmtId="0" fontId="40" fillId="0" borderId="16" xfId="19" applyFont="1" applyFill="1" applyBorder="1" applyAlignment="1">
      <alignment horizontal="center"/>
    </xf>
    <xf numFmtId="0" fontId="40" fillId="0" borderId="17" xfId="19" applyFont="1" applyFill="1" applyBorder="1" applyAlignment="1">
      <alignment horizontal="center"/>
    </xf>
    <xf numFmtId="37" fontId="39" fillId="0" borderId="14" xfId="40" applyNumberFormat="1" applyFont="1" applyFill="1" applyBorder="1"/>
    <xf numFmtId="37" fontId="39" fillId="0" borderId="0" xfId="40" applyNumberFormat="1" applyFont="1" applyFill="1" applyBorder="1"/>
    <xf numFmtId="0" fontId="40" fillId="0" borderId="0" xfId="19" applyFont="1" applyFill="1" applyBorder="1" applyAlignment="1">
      <alignment horizontal="center"/>
    </xf>
    <xf numFmtId="37" fontId="43" fillId="0" borderId="0" xfId="40" applyNumberFormat="1" applyFont="1" applyFill="1" applyBorder="1"/>
    <xf numFmtId="37" fontId="39" fillId="0" borderId="18" xfId="40" applyNumberFormat="1" applyFont="1" applyFill="1" applyBorder="1"/>
    <xf numFmtId="0" fontId="39" fillId="0" borderId="0" xfId="19" applyFont="1" applyFill="1" applyBorder="1"/>
    <xf numFmtId="0" fontId="40" fillId="0" borderId="1" xfId="19" applyFont="1" applyFill="1" applyBorder="1" applyAlignment="1">
      <alignment horizontal="center"/>
    </xf>
    <xf numFmtId="0" fontId="39" fillId="0" borderId="18" xfId="19" applyFont="1" applyFill="1" applyBorder="1"/>
    <xf numFmtId="5" fontId="39" fillId="0" borderId="0" xfId="19" applyNumberFormat="1" applyFont="1" applyFill="1" applyBorder="1"/>
    <xf numFmtId="10" fontId="39" fillId="0" borderId="0" xfId="49" applyNumberFormat="1" applyFont="1" applyFill="1" applyBorder="1"/>
    <xf numFmtId="10" fontId="43" fillId="0" borderId="0" xfId="49" applyNumberFormat="1" applyFont="1" applyFill="1" applyBorder="1"/>
    <xf numFmtId="166" fontId="39" fillId="0" borderId="0" xfId="9" applyNumberFormat="1" applyFont="1" applyFill="1" applyBorder="1"/>
    <xf numFmtId="10" fontId="40" fillId="0" borderId="18" xfId="49" applyNumberFormat="1" applyFont="1" applyFill="1" applyBorder="1" applyAlignment="1">
      <alignment horizontal="center"/>
    </xf>
    <xf numFmtId="169" fontId="39" fillId="0" borderId="0" xfId="49" applyNumberFormat="1" applyFont="1" applyFill="1" applyBorder="1"/>
    <xf numFmtId="169" fontId="43" fillId="0" borderId="0" xfId="49" applyNumberFormat="1" applyFont="1" applyFill="1" applyBorder="1"/>
    <xf numFmtId="10" fontId="39" fillId="0" borderId="11" xfId="49" applyNumberFormat="1" applyFont="1" applyFill="1" applyBorder="1"/>
    <xf numFmtId="37" fontId="39" fillId="0" borderId="19" xfId="40" applyNumberFormat="1" applyFont="1" applyFill="1" applyBorder="1"/>
    <xf numFmtId="0" fontId="39" fillId="0" borderId="13" xfId="19" applyFont="1" applyFill="1" applyBorder="1"/>
    <xf numFmtId="166" fontId="39" fillId="0" borderId="13" xfId="9" applyNumberFormat="1" applyFont="1" applyFill="1" applyBorder="1"/>
    <xf numFmtId="10" fontId="39" fillId="0" borderId="13" xfId="49" applyNumberFormat="1" applyFont="1" applyFill="1" applyBorder="1"/>
    <xf numFmtId="10" fontId="43" fillId="0" borderId="13" xfId="49" applyNumberFormat="1" applyFont="1" applyFill="1" applyBorder="1"/>
    <xf numFmtId="37" fontId="39" fillId="0" borderId="20" xfId="40" applyNumberFormat="1" applyFont="1" applyFill="1" applyBorder="1"/>
    <xf numFmtId="37" fontId="40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1" fillId="5" borderId="0" xfId="23" applyFont="1" applyFill="1" applyBorder="1"/>
    <xf numFmtId="3" fontId="21" fillId="5" borderId="0" xfId="0" applyNumberFormat="1" applyFont="1" applyFill="1" applyBorder="1"/>
    <xf numFmtId="0" fontId="21" fillId="5" borderId="0" xfId="23" applyFont="1" applyFill="1"/>
    <xf numFmtId="3" fontId="21" fillId="5" borderId="0" xfId="23" applyNumberFormat="1" applyFont="1" applyFill="1"/>
    <xf numFmtId="166" fontId="21" fillId="5" borderId="0" xfId="1" applyNumberFormat="1" applyFont="1" applyFill="1"/>
    <xf numFmtId="172" fontId="21" fillId="5" borderId="0" xfId="23" applyNumberFormat="1" applyFont="1" applyFill="1" applyAlignment="1">
      <alignment horizontal="center"/>
    </xf>
    <xf numFmtId="168" fontId="35" fillId="0" borderId="0" xfId="10" applyNumberFormat="1" applyFont="1" applyFill="1" applyBorder="1"/>
    <xf numFmtId="168" fontId="35" fillId="0" borderId="0" xfId="10" applyNumberFormat="1" applyFont="1" applyFill="1" applyAlignment="1">
      <alignment horizontal="center"/>
    </xf>
    <xf numFmtId="175" fontId="35" fillId="0" borderId="0" xfId="1" applyNumberFormat="1" applyFont="1" applyFill="1" applyAlignment="1">
      <alignment horizontal="center"/>
    </xf>
    <xf numFmtId="10" fontId="35" fillId="0" borderId="0" xfId="42" applyNumberFormat="1" applyFont="1" applyFill="1" applyAlignment="1">
      <alignment horizontal="center"/>
    </xf>
    <xf numFmtId="168" fontId="35" fillId="0" borderId="0" xfId="10" applyNumberFormat="1" applyFont="1" applyFill="1"/>
    <xf numFmtId="168" fontId="35" fillId="0" borderId="1" xfId="10" applyNumberFormat="1" applyFont="1" applyFill="1" applyBorder="1"/>
    <xf numFmtId="10" fontId="35" fillId="0" borderId="0" xfId="42" applyNumberFormat="1" applyFont="1" applyFill="1" applyBorder="1" applyAlignment="1">
      <alignment horizontal="center"/>
    </xf>
    <xf numFmtId="0" fontId="35" fillId="0" borderId="0" xfId="23" applyFont="1" applyFill="1" applyBorder="1"/>
    <xf numFmtId="166" fontId="35" fillId="0" borderId="0" xfId="1" applyNumberFormat="1" applyFont="1" applyFill="1"/>
    <xf numFmtId="9" fontId="35" fillId="0" borderId="0" xfId="42" applyFont="1" applyFill="1"/>
    <xf numFmtId="168" fontId="35" fillId="0" borderId="0" xfId="10" applyNumberFormat="1" applyFont="1" applyFill="1" applyBorder="1" applyAlignment="1">
      <alignment horizontal="center"/>
    </xf>
    <xf numFmtId="10" fontId="35" fillId="0" borderId="0" xfId="42" applyNumberFormat="1" applyFont="1" applyFill="1" applyBorder="1"/>
    <xf numFmtId="10" fontId="35" fillId="0" borderId="0" xfId="42" applyNumberFormat="1" applyFont="1" applyFill="1"/>
    <xf numFmtId="168" fontId="35" fillId="0" borderId="0" xfId="23" applyNumberFormat="1" applyFont="1" applyFill="1"/>
    <xf numFmtId="3" fontId="35" fillId="0" borderId="0" xfId="42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0" xfId="23" applyFont="1" applyFill="1" applyAlignment="1">
      <alignment horizontal="center" wrapText="1"/>
    </xf>
    <xf numFmtId="0" fontId="65" fillId="0" borderId="0" xfId="34" applyFont="1"/>
    <xf numFmtId="0" fontId="65" fillId="0" borderId="0" xfId="34" applyFont="1" applyFill="1" applyBorder="1" applyAlignment="1">
      <alignment horizontal="center"/>
    </xf>
    <xf numFmtId="0" fontId="65" fillId="0" borderId="0" xfId="34" applyFont="1" applyFill="1" applyAlignment="1">
      <alignment horizontal="center"/>
    </xf>
    <xf numFmtId="0" fontId="65" fillId="0" borderId="0" xfId="34" applyFont="1" applyFill="1"/>
    <xf numFmtId="0" fontId="65" fillId="0" borderId="0" xfId="34" applyFont="1" applyBorder="1"/>
    <xf numFmtId="0" fontId="65" fillId="0" borderId="0" xfId="34" applyFont="1" applyFill="1" applyBorder="1"/>
    <xf numFmtId="0" fontId="66" fillId="0" borderId="0" xfId="34" applyFont="1" applyFill="1"/>
    <xf numFmtId="0" fontId="65" fillId="0" borderId="1" xfId="34" applyFont="1" applyBorder="1"/>
    <xf numFmtId="0" fontId="65" fillId="0" borderId="1" xfId="34" applyFont="1" applyFill="1" applyBorder="1" applyAlignment="1">
      <alignment horizontal="center"/>
    </xf>
    <xf numFmtId="0" fontId="65" fillId="0" borderId="1" xfId="34" applyFont="1" applyFill="1" applyBorder="1"/>
    <xf numFmtId="0" fontId="39" fillId="0" borderId="0" xfId="31" applyFont="1" applyAlignment="1">
      <alignment horizontal="left"/>
    </xf>
    <xf numFmtId="0" fontId="39" fillId="0" borderId="0" xfId="31" applyFont="1" applyBorder="1" applyAlignment="1">
      <alignment horizontal="left"/>
    </xf>
    <xf numFmtId="10" fontId="67" fillId="0" borderId="0" xfId="42" applyNumberFormat="1" applyFont="1" applyFill="1" applyAlignment="1">
      <alignment horizontal="center"/>
    </xf>
    <xf numFmtId="10" fontId="65" fillId="0" borderId="0" xfId="42" applyNumberFormat="1" applyFont="1" applyFill="1" applyAlignment="1">
      <alignment horizontal="center"/>
    </xf>
    <xf numFmtId="10" fontId="65" fillId="0" borderId="0" xfId="42" applyNumberFormat="1" applyFont="1" applyFill="1" applyBorder="1" applyAlignment="1">
      <alignment horizontal="center"/>
    </xf>
    <xf numFmtId="0" fontId="39" fillId="0" borderId="1" xfId="31" applyFont="1" applyBorder="1" applyAlignment="1">
      <alignment horizontal="left"/>
    </xf>
    <xf numFmtId="10" fontId="65" fillId="0" borderId="1" xfId="42" applyNumberFormat="1" applyFont="1" applyFill="1" applyBorder="1" applyAlignment="1">
      <alignment horizontal="center"/>
    </xf>
    <xf numFmtId="43" fontId="65" fillId="0" borderId="0" xfId="1" applyFont="1" applyFill="1"/>
    <xf numFmtId="43" fontId="68" fillId="0" borderId="0" xfId="1" applyFont="1" applyFill="1"/>
    <xf numFmtId="10" fontId="65" fillId="0" borderId="0" xfId="42" applyNumberFormat="1" applyFont="1" applyFill="1"/>
    <xf numFmtId="0" fontId="39" fillId="0" borderId="3" xfId="31" applyFont="1" applyBorder="1" applyAlignment="1">
      <alignment horizontal="left"/>
    </xf>
    <xf numFmtId="43" fontId="68" fillId="0" borderId="3" xfId="1" applyFont="1" applyFill="1" applyBorder="1"/>
    <xf numFmtId="10" fontId="65" fillId="0" borderId="3" xfId="42" applyNumberFormat="1" applyFont="1" applyFill="1" applyBorder="1"/>
    <xf numFmtId="10" fontId="65" fillId="0" borderId="3" xfId="42" applyNumberFormat="1" applyFont="1" applyFill="1" applyBorder="1" applyAlignment="1">
      <alignment horizontal="center"/>
    </xf>
    <xf numFmtId="10" fontId="65" fillId="0" borderId="0" xfId="34" applyNumberFormat="1" applyFont="1" applyFill="1" applyAlignment="1">
      <alignment horizontal="center"/>
    </xf>
    <xf numFmtId="166" fontId="65" fillId="0" borderId="0" xfId="1" applyNumberFormat="1" applyFont="1" applyFill="1"/>
    <xf numFmtId="0" fontId="66" fillId="0" borderId="0" xfId="34" applyFont="1"/>
    <xf numFmtId="0" fontId="20" fillId="0" borderId="0" xfId="21" applyFill="1">
      <alignment readingOrder="1"/>
    </xf>
    <xf numFmtId="0" fontId="27" fillId="0" borderId="0" xfId="21" applyFont="1" applyFill="1">
      <alignment readingOrder="1"/>
    </xf>
    <xf numFmtId="167" fontId="20" fillId="0" borderId="0" xfId="21" applyNumberFormat="1" applyFill="1">
      <alignment readingOrder="1"/>
    </xf>
    <xf numFmtId="167" fontId="26" fillId="0" borderId="0" xfId="21" applyNumberFormat="1" applyFont="1" applyFill="1">
      <alignment readingOrder="1"/>
    </xf>
    <xf numFmtId="3" fontId="35" fillId="0" borderId="0" xfId="23" applyNumberFormat="1" applyFont="1" applyFill="1" applyBorder="1" applyAlignment="1">
      <alignment horizontal="center"/>
    </xf>
    <xf numFmtId="3" fontId="35" fillId="0" borderId="0" xfId="23" applyNumberFormat="1" applyFont="1" applyFill="1" applyBorder="1" applyAlignment="1">
      <alignment horizontal="center" wrapText="1"/>
    </xf>
    <xf numFmtId="0" fontId="35" fillId="0" borderId="0" xfId="23" applyFont="1" applyFill="1" applyBorder="1" applyAlignment="1">
      <alignment horizontal="center"/>
    </xf>
    <xf numFmtId="0" fontId="74" fillId="0" borderId="0" xfId="34" applyFont="1" applyAlignment="1">
      <alignment horizontal="center"/>
    </xf>
    <xf numFmtId="0" fontId="75" fillId="0" borderId="0" xfId="0" applyFont="1"/>
    <xf numFmtId="0" fontId="76" fillId="0" borderId="0" xfId="0" applyFont="1"/>
    <xf numFmtId="3" fontId="22" fillId="0" borderId="0" xfId="23" applyNumberFormat="1" applyFont="1" applyFill="1"/>
    <xf numFmtId="0" fontId="73" fillId="0" borderId="0" xfId="36" applyAlignment="1">
      <alignment horizontal="center"/>
    </xf>
    <xf numFmtId="0" fontId="20" fillId="0" borderId="0" xfId="23" applyFill="1" applyAlignment="1">
      <alignment horizontal="center"/>
    </xf>
    <xf numFmtId="164" fontId="20" fillId="0" borderId="0" xfId="23" applyNumberFormat="1" applyFill="1"/>
    <xf numFmtId="3" fontId="20" fillId="0" borderId="0" xfId="23" applyNumberFormat="1" applyFill="1"/>
    <xf numFmtId="3" fontId="20" fillId="0" borderId="1" xfId="23" applyNumberFormat="1" applyFill="1" applyBorder="1"/>
    <xf numFmtId="3" fontId="20" fillId="0" borderId="2" xfId="23" applyNumberFormat="1" applyFill="1" applyBorder="1"/>
    <xf numFmtId="3" fontId="21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20" fillId="0" borderId="0" xfId="1" applyNumberFormat="1" applyFont="1"/>
    <xf numFmtId="166" fontId="20" fillId="0" borderId="9" xfId="1" applyNumberFormat="1" applyFont="1" applyBorder="1"/>
    <xf numFmtId="0" fontId="20" fillId="0" borderId="0" xfId="0" applyFont="1" applyAlignment="1">
      <alignment horizontal="left"/>
    </xf>
    <xf numFmtId="3" fontId="21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3" fontId="22" fillId="0" borderId="0" xfId="0" applyNumberFormat="1" applyFont="1" applyFill="1"/>
    <xf numFmtId="0" fontId="14" fillId="0" borderId="0" xfId="51"/>
    <xf numFmtId="0" fontId="14" fillId="0" borderId="0" xfId="51" applyBorder="1"/>
    <xf numFmtId="0" fontId="23" fillId="0" borderId="0" xfId="51" applyFont="1" applyAlignment="1">
      <alignment horizontal="center"/>
    </xf>
    <xf numFmtId="0" fontId="20" fillId="0" borderId="1" xfId="51" applyFont="1" applyFill="1" applyBorder="1" applyAlignment="1">
      <alignment horizontal="center"/>
    </xf>
    <xf numFmtId="0" fontId="14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4" fillId="0" borderId="0" xfId="51" applyNumberFormat="1" applyFill="1"/>
    <xf numFmtId="164" fontId="14" fillId="0" borderId="0" xfId="51" applyNumberFormat="1"/>
    <xf numFmtId="164" fontId="14" fillId="0" borderId="0" xfId="51" applyNumberFormat="1" applyFill="1"/>
    <xf numFmtId="3" fontId="14" fillId="0" borderId="0" xfId="51" applyNumberFormat="1"/>
    <xf numFmtId="3" fontId="14" fillId="0" borderId="0" xfId="51" applyNumberFormat="1" applyFill="1"/>
    <xf numFmtId="3" fontId="14" fillId="0" borderId="0" xfId="51" applyNumberFormat="1" applyBorder="1"/>
    <xf numFmtId="3" fontId="14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4" fillId="0" borderId="0" xfId="51" applyNumberFormat="1"/>
    <xf numFmtId="0" fontId="14" fillId="0" borderId="0" xfId="51" applyAlignment="1">
      <alignment horizontal="center"/>
    </xf>
    <xf numFmtId="0" fontId="20" fillId="0" borderId="0" xfId="21" applyFont="1" applyFill="1" applyAlignment="1">
      <alignment horizontal="center" readingOrder="1"/>
    </xf>
    <xf numFmtId="0" fontId="26" fillId="0" borderId="0" xfId="21" applyFont="1" applyFill="1">
      <alignment readingOrder="1"/>
    </xf>
    <xf numFmtId="10" fontId="70" fillId="0" borderId="0" xfId="42" applyNumberFormat="1" applyFont="1"/>
    <xf numFmtId="0" fontId="77" fillId="0" borderId="0" xfId="41" applyNumberFormat="1" applyFont="1" applyFill="1" applyAlignment="1">
      <alignment horizontal="center"/>
    </xf>
    <xf numFmtId="3" fontId="78" fillId="0" borderId="0" xfId="41" applyNumberFormat="1" applyFont="1"/>
    <xf numFmtId="0" fontId="81" fillId="0" borderId="0" xfId="41" applyNumberFormat="1" applyFont="1" applyAlignment="1">
      <alignment horizontal="center"/>
    </xf>
    <xf numFmtId="0" fontId="40" fillId="0" borderId="1" xfId="0" applyFont="1" applyBorder="1"/>
    <xf numFmtId="0" fontId="77" fillId="0" borderId="1" xfId="41" applyFont="1" applyBorder="1"/>
    <xf numFmtId="3" fontId="78" fillId="0" borderId="1" xfId="41" applyNumberFormat="1" applyFont="1" applyBorder="1"/>
    <xf numFmtId="0" fontId="77" fillId="0" borderId="0" xfId="41" applyNumberFormat="1" applyFont="1" applyAlignment="1">
      <alignment horizontal="center"/>
    </xf>
    <xf numFmtId="0" fontId="78" fillId="0" borderId="0" xfId="41" applyFont="1" applyFill="1"/>
    <xf numFmtId="0" fontId="22" fillId="0" borderId="0" xfId="0" applyFont="1"/>
    <xf numFmtId="10" fontId="77" fillId="0" borderId="0" xfId="41" applyNumberFormat="1" applyFont="1"/>
    <xf numFmtId="0" fontId="77" fillId="0" borderId="0" xfId="41" applyFont="1"/>
    <xf numFmtId="3" fontId="78" fillId="0" borderId="0" xfId="41" applyNumberFormat="1" applyFont="1" applyBorder="1"/>
    <xf numFmtId="37" fontId="82" fillId="0" borderId="0" xfId="1" applyNumberFormat="1" applyFont="1" applyFill="1"/>
    <xf numFmtId="0" fontId="20" fillId="0" borderId="0" xfId="23"/>
    <xf numFmtId="3" fontId="22" fillId="0" borderId="0" xfId="40" quotePrefix="1" applyNumberFormat="1" applyFont="1" applyFill="1" applyBorder="1" applyAlignment="1">
      <alignment horizontal="center"/>
    </xf>
    <xf numFmtId="5" fontId="21" fillId="0" borderId="0" xfId="23" applyNumberFormat="1" applyFont="1" applyBorder="1" applyProtection="1">
      <protection locked="0"/>
    </xf>
    <xf numFmtId="37" fontId="21" fillId="0" borderId="0" xfId="23" applyNumberFormat="1" applyFont="1" applyBorder="1" applyProtection="1">
      <protection locked="0"/>
    </xf>
    <xf numFmtId="37" fontId="21" fillId="0" borderId="1" xfId="23" applyNumberFormat="1" applyFont="1" applyBorder="1" applyProtection="1">
      <protection locked="0"/>
    </xf>
    <xf numFmtId="37" fontId="21" fillId="0" borderId="0" xfId="23" applyNumberFormat="1" applyFont="1" applyBorder="1"/>
    <xf numFmtId="37" fontId="21" fillId="0" borderId="0" xfId="23" applyNumberFormat="1" applyFont="1" applyFill="1" applyBorder="1"/>
    <xf numFmtId="37" fontId="21" fillId="0" borderId="1" xfId="23" applyNumberFormat="1" applyFont="1" applyBorder="1"/>
    <xf numFmtId="37" fontId="21" fillId="0" borderId="0" xfId="23" applyNumberFormat="1" applyFont="1" applyFill="1" applyBorder="1" applyProtection="1">
      <protection locked="0"/>
    </xf>
    <xf numFmtId="164" fontId="21" fillId="0" borderId="0" xfId="23" applyNumberFormat="1" applyFont="1" applyFill="1"/>
    <xf numFmtId="5" fontId="21" fillId="0" borderId="11" xfId="23" applyNumberFormat="1" applyFont="1" applyBorder="1" applyProtection="1">
      <protection locked="0"/>
    </xf>
    <xf numFmtId="37" fontId="21" fillId="0" borderId="9" xfId="23" applyNumberFormat="1" applyFont="1" applyFill="1" applyBorder="1" applyProtection="1">
      <protection locked="0"/>
    </xf>
    <xf numFmtId="37" fontId="21" fillId="0" borderId="0" xfId="23" applyNumberFormat="1" applyFont="1" applyFill="1" applyBorder="1" applyAlignment="1" applyProtection="1">
      <alignment horizontal="center"/>
      <protection locked="0"/>
    </xf>
    <xf numFmtId="37" fontId="21" fillId="0" borderId="0" xfId="23" applyNumberFormat="1" applyFont="1" applyFill="1" applyBorder="1" applyAlignment="1" applyProtection="1">
      <alignment horizontal="right"/>
      <protection locked="0"/>
    </xf>
    <xf numFmtId="5" fontId="21" fillId="0" borderId="11" xfId="23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1" fillId="0" borderId="9" xfId="0" applyNumberFormat="1" applyFont="1" applyFill="1" applyBorder="1"/>
    <xf numFmtId="5" fontId="21" fillId="0" borderId="11" xfId="0" applyNumberFormat="1" applyFont="1" applyFill="1" applyBorder="1"/>
    <xf numFmtId="37" fontId="22" fillId="0" borderId="9" xfId="0" applyNumberFormat="1" applyFont="1" applyFill="1" applyBorder="1" applyProtection="1">
      <protection locked="0"/>
    </xf>
    <xf numFmtId="37" fontId="21" fillId="0" borderId="2" xfId="0" applyNumberFormat="1" applyFont="1" applyFill="1" applyBorder="1" applyProtection="1">
      <protection locked="0"/>
    </xf>
    <xf numFmtId="0" fontId="20" fillId="0" borderId="0" xfId="23" applyFont="1" applyFill="1" applyAlignment="1">
      <alignment horizontal="center"/>
    </xf>
    <xf numFmtId="0" fontId="20" fillId="0" borderId="9" xfId="23" applyFill="1" applyBorder="1" applyAlignment="1">
      <alignment horizontal="center"/>
    </xf>
    <xf numFmtId="10" fontId="20" fillId="0" borderId="0" xfId="23" applyNumberFormat="1" applyFill="1"/>
    <xf numFmtId="168" fontId="0" fillId="0" borderId="0" xfId="11" applyNumberFormat="1" applyFont="1" applyFill="1"/>
    <xf numFmtId="166" fontId="20" fillId="0" borderId="0" xfId="23" applyNumberFormat="1" applyFill="1"/>
    <xf numFmtId="0" fontId="65" fillId="0" borderId="22" xfId="34" applyFont="1" applyFill="1" applyBorder="1"/>
    <xf numFmtId="0" fontId="65" fillId="0" borderId="12" xfId="34" applyFont="1" applyFill="1" applyBorder="1"/>
    <xf numFmtId="10" fontId="65" fillId="0" borderId="12" xfId="42" applyNumberFormat="1" applyFont="1" applyFill="1" applyBorder="1" applyAlignment="1">
      <alignment horizontal="center"/>
    </xf>
    <xf numFmtId="10" fontId="65" fillId="0" borderId="21" xfId="34" applyNumberFormat="1" applyFont="1" applyFill="1" applyBorder="1" applyAlignment="1">
      <alignment horizontal="center"/>
    </xf>
    <xf numFmtId="0" fontId="65" fillId="0" borderId="14" xfId="34" applyFont="1" applyFill="1" applyBorder="1"/>
    <xf numFmtId="10" fontId="65" fillId="0" borderId="18" xfId="34" applyNumberFormat="1" applyFont="1" applyFill="1" applyBorder="1" applyAlignment="1">
      <alignment horizontal="center"/>
    </xf>
    <xf numFmtId="0" fontId="65" fillId="0" borderId="19" xfId="34" applyFont="1" applyFill="1" applyBorder="1"/>
    <xf numFmtId="0" fontId="65" fillId="0" borderId="13" xfId="34" applyFont="1" applyFill="1" applyBorder="1"/>
    <xf numFmtId="10" fontId="65" fillId="0" borderId="13" xfId="42" applyNumberFormat="1" applyFont="1" applyFill="1" applyBorder="1" applyAlignment="1">
      <alignment horizontal="center"/>
    </xf>
    <xf numFmtId="10" fontId="65" fillId="0" borderId="20" xfId="34" applyNumberFormat="1" applyFont="1" applyFill="1" applyBorder="1" applyAlignment="1">
      <alignment horizontal="center"/>
    </xf>
    <xf numFmtId="10" fontId="66" fillId="0" borderId="0" xfId="42" applyNumberFormat="1" applyFont="1" applyFill="1" applyBorder="1"/>
    <xf numFmtId="0" fontId="66" fillId="0" borderId="0" xfId="34" applyFont="1" applyBorder="1"/>
    <xf numFmtId="168" fontId="35" fillId="0" borderId="9" xfId="10" applyNumberFormat="1" applyFont="1" applyFill="1" applyBorder="1"/>
    <xf numFmtId="168" fontId="35" fillId="0" borderId="11" xfId="10" applyNumberFormat="1" applyFont="1" applyFill="1" applyBorder="1"/>
    <xf numFmtId="0" fontId="20" fillId="0" borderId="0" xfId="23"/>
    <xf numFmtId="0" fontId="20" fillId="0" borderId="0" xfId="23" applyAlignment="1">
      <alignment horizontal="center"/>
    </xf>
    <xf numFmtId="171" fontId="73" fillId="0" borderId="0" xfId="36" applyNumberFormat="1" applyFill="1"/>
    <xf numFmtId="3" fontId="20" fillId="0" borderId="0" xfId="23" applyNumberFormat="1" applyFill="1" applyBorder="1"/>
    <xf numFmtId="3" fontId="20" fillId="0" borderId="9" xfId="23" applyNumberFormat="1" applyFill="1" applyBorder="1"/>
    <xf numFmtId="0" fontId="12" fillId="0" borderId="0" xfId="51" applyFont="1"/>
    <xf numFmtId="0" fontId="11" fillId="0" borderId="0" xfId="51" applyFont="1"/>
    <xf numFmtId="3" fontId="20" fillId="0" borderId="9" xfId="23" applyNumberFormat="1" applyBorder="1"/>
    <xf numFmtId="0" fontId="40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39" fillId="0" borderId="0" xfId="0" applyFont="1"/>
    <xf numFmtId="0" fontId="89" fillId="0" borderId="0" xfId="0" applyFont="1"/>
    <xf numFmtId="0" fontId="40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183" fontId="89" fillId="0" borderId="0" xfId="0" applyNumberFormat="1" applyFont="1"/>
    <xf numFmtId="183" fontId="40" fillId="0" borderId="0" xfId="0" applyNumberFormat="1" applyFont="1"/>
    <xf numFmtId="183" fontId="39" fillId="0" borderId="0" xfId="0" applyNumberFormat="1" applyFont="1"/>
    <xf numFmtId="183" fontId="89" fillId="0" borderId="2" xfId="0" applyNumberFormat="1" applyFont="1" applyBorder="1"/>
    <xf numFmtId="183" fontId="89" fillId="0" borderId="0" xfId="0" applyNumberFormat="1" applyFont="1" applyBorder="1"/>
    <xf numFmtId="10" fontId="90" fillId="0" borderId="0" xfId="0" applyNumberFormat="1" applyFont="1"/>
    <xf numFmtId="183" fontId="89" fillId="0" borderId="1" xfId="0" applyNumberFormat="1" applyFont="1" applyBorder="1"/>
    <xf numFmtId="10" fontId="15" fillId="0" borderId="0" xfId="42" applyNumberFormat="1" applyFont="1"/>
    <xf numFmtId="0" fontId="10" fillId="0" borderId="0" xfId="34" applyFont="1" applyAlignment="1">
      <alignment horizontal="center"/>
    </xf>
    <xf numFmtId="0" fontId="15" fillId="0" borderId="0" xfId="34" applyFont="1"/>
    <xf numFmtId="0" fontId="15" fillId="0" borderId="0" xfId="34" applyFont="1" applyAlignment="1">
      <alignment horizontal="center"/>
    </xf>
    <xf numFmtId="0" fontId="27" fillId="0" borderId="0" xfId="21" applyFont="1" applyFill="1" applyAlignment="1">
      <alignment horizontal="center" readingOrder="1"/>
    </xf>
    <xf numFmtId="3" fontId="34" fillId="0" borderId="0" xfId="0" applyNumberFormat="1" applyFont="1" applyFill="1" applyBorder="1" applyAlignment="1">
      <alignment horizontal="center"/>
    </xf>
    <xf numFmtId="10" fontId="61" fillId="0" borderId="0" xfId="42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/>
    <xf numFmtId="37" fontId="22" fillId="0" borderId="11" xfId="0" applyNumberFormat="1" applyFont="1" applyFill="1" applyBorder="1" applyProtection="1">
      <protection locked="0"/>
    </xf>
    <xf numFmtId="10" fontId="21" fillId="0" borderId="0" xfId="42" applyNumberFormat="1" applyFont="1" applyFill="1" applyBorder="1" applyProtection="1">
      <protection locked="0"/>
    </xf>
    <xf numFmtId="3" fontId="22" fillId="0" borderId="0" xfId="0" applyNumberFormat="1" applyFont="1" applyFill="1" applyAlignment="1">
      <alignment horizontal="left"/>
    </xf>
    <xf numFmtId="0" fontId="9" fillId="0" borderId="0" xfId="51" applyFont="1"/>
    <xf numFmtId="3" fontId="78" fillId="0" borderId="0" xfId="41" applyNumberFormat="1" applyFont="1" applyAlignment="1">
      <alignment horizontal="center"/>
    </xf>
    <xf numFmtId="5" fontId="21" fillId="0" borderId="0" xfId="0" applyNumberFormat="1" applyFont="1" applyFill="1" applyBorder="1"/>
    <xf numFmtId="164" fontId="35" fillId="0" borderId="0" xfId="1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vertical="top"/>
    </xf>
    <xf numFmtId="3" fontId="20" fillId="0" borderId="0" xfId="21" applyNumberFormat="1" applyFill="1" applyBorder="1">
      <alignment readingOrder="1"/>
    </xf>
    <xf numFmtId="3" fontId="20" fillId="0" borderId="0" xfId="21" applyNumberFormat="1" applyFill="1">
      <alignment readingOrder="1"/>
    </xf>
    <xf numFmtId="0" fontId="21" fillId="0" borderId="0" xfId="0" applyFont="1"/>
    <xf numFmtId="10" fontId="21" fillId="0" borderId="0" xfId="0" applyNumberFormat="1" applyFont="1"/>
    <xf numFmtId="0" fontId="91" fillId="0" borderId="0" xfId="0" applyFont="1"/>
    <xf numFmtId="10" fontId="91" fillId="0" borderId="0" xfId="0" applyNumberFormat="1" applyFont="1" applyBorder="1"/>
    <xf numFmtId="10" fontId="91" fillId="0" borderId="0" xfId="0" applyNumberFormat="1" applyFont="1"/>
    <xf numFmtId="3" fontId="77" fillId="0" borderId="0" xfId="41" applyNumberFormat="1" applyFont="1"/>
    <xf numFmtId="10" fontId="77" fillId="0" borderId="0" xfId="42" applyNumberFormat="1" applyFont="1"/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Fill="1" applyAlignment="1"/>
    <xf numFmtId="0" fontId="40" fillId="0" borderId="0" xfId="0" applyFont="1" applyAlignment="1">
      <alignment horizontal="center"/>
    </xf>
    <xf numFmtId="5" fontId="39" fillId="0" borderId="0" xfId="0" applyNumberFormat="1" applyFont="1"/>
    <xf numFmtId="169" fontId="39" fillId="0" borderId="0" xfId="42" applyNumberFormat="1" applyFont="1" applyBorder="1"/>
    <xf numFmtId="5" fontId="39" fillId="0" borderId="0" xfId="0" applyNumberFormat="1" applyFont="1" applyFill="1"/>
    <xf numFmtId="5" fontId="39" fillId="0" borderId="1" xfId="0" applyNumberFormat="1" applyFont="1" applyBorder="1"/>
    <xf numFmtId="5" fontId="39" fillId="0" borderId="0" xfId="0" applyNumberFormat="1" applyFont="1" applyBorder="1"/>
    <xf numFmtId="184" fontId="39" fillId="0" borderId="0" xfId="0" applyNumberFormat="1" applyFont="1"/>
    <xf numFmtId="37" fontId="39" fillId="0" borderId="0" xfId="40" applyNumberFormat="1" applyFont="1"/>
    <xf numFmtId="10" fontId="39" fillId="0" borderId="0" xfId="42" applyNumberFormat="1" applyFont="1" applyBorder="1"/>
    <xf numFmtId="0" fontId="39" fillId="0" borderId="0" xfId="40" applyFont="1"/>
    <xf numFmtId="0" fontId="39" fillId="0" borderId="0" xfId="40" applyFont="1" applyBorder="1"/>
    <xf numFmtId="185" fontId="39" fillId="0" borderId="0" xfId="1" applyNumberFormat="1" applyFont="1"/>
    <xf numFmtId="185" fontId="39" fillId="0" borderId="0" xfId="0" applyNumberFormat="1" applyFont="1" applyBorder="1"/>
    <xf numFmtId="0" fontId="39" fillId="0" borderId="0" xfId="0" applyFont="1" applyBorder="1"/>
    <xf numFmtId="5" fontId="40" fillId="0" borderId="0" xfId="0" applyNumberFormat="1" applyFont="1" applyBorder="1"/>
    <xf numFmtId="10" fontId="40" fillId="0" borderId="0" xfId="42" applyNumberFormat="1" applyFont="1" applyBorder="1"/>
    <xf numFmtId="0" fontId="0" fillId="0" borderId="0" xfId="0" applyBorder="1"/>
    <xf numFmtId="0" fontId="40" fillId="0" borderId="0" xfId="0" applyFont="1" applyAlignment="1">
      <alignment horizontal="center"/>
    </xf>
    <xf numFmtId="0" fontId="94" fillId="0" borderId="0" xfId="0" applyFont="1"/>
    <xf numFmtId="0" fontId="78" fillId="0" borderId="0" xfId="41" applyNumberFormat="1" applyFont="1" applyAlignment="1">
      <alignment horizontal="left"/>
    </xf>
    <xf numFmtId="3" fontId="21" fillId="0" borderId="0" xfId="0" applyNumberFormat="1" applyFont="1" applyFill="1" applyAlignment="1">
      <alignment horizontal="center" wrapText="1"/>
    </xf>
    <xf numFmtId="0" fontId="22" fillId="0" borderId="1" xfId="0" applyFont="1" applyBorder="1" applyAlignment="1">
      <alignment horizontal="center"/>
    </xf>
    <xf numFmtId="3" fontId="34" fillId="0" borderId="0" xfId="23" applyNumberFormat="1" applyFont="1" applyFill="1" applyBorder="1" applyAlignment="1"/>
    <xf numFmtId="182" fontId="39" fillId="0" borderId="0" xfId="23" applyNumberFormat="1" applyFont="1" applyFill="1"/>
    <xf numFmtId="0" fontId="70" fillId="8" borderId="0" xfId="34" applyFill="1"/>
    <xf numFmtId="10" fontId="61" fillId="0" borderId="0" xfId="42" applyNumberFormat="1" applyFont="1" applyFill="1" applyBorder="1" applyAlignment="1">
      <alignment horizontal="center"/>
    </xf>
    <xf numFmtId="166" fontId="21" fillId="0" borderId="0" xfId="23" applyNumberFormat="1" applyFont="1" applyFill="1"/>
    <xf numFmtId="37" fontId="21" fillId="0" borderId="1" xfId="23" applyNumberFormat="1" applyFont="1" applyFill="1" applyBorder="1" applyAlignment="1" applyProtection="1">
      <alignment horizontal="right"/>
      <protection locked="0"/>
    </xf>
    <xf numFmtId="166" fontId="20" fillId="0" borderId="0" xfId="1" applyNumberFormat="1" applyFont="1" applyFill="1" applyBorder="1"/>
    <xf numFmtId="0" fontId="23" fillId="0" borderId="0" xfId="23" applyFont="1" applyFill="1" applyBorder="1" applyAlignment="1">
      <alignment horizontal="center"/>
    </xf>
    <xf numFmtId="0" fontId="20" fillId="8" borderId="0" xfId="36" applyFont="1" applyFill="1"/>
    <xf numFmtId="0" fontId="73" fillId="8" borderId="0" xfId="36" applyFill="1"/>
    <xf numFmtId="0" fontId="73" fillId="8" borderId="1" xfId="36" applyFill="1" applyBorder="1" applyAlignment="1">
      <alignment horizontal="centerContinuous"/>
    </xf>
    <xf numFmtId="0" fontId="73" fillId="8" borderId="0" xfId="36" applyFill="1" applyAlignment="1">
      <alignment horizontal="center"/>
    </xf>
    <xf numFmtId="0" fontId="55" fillId="8" borderId="0" xfId="36" applyFont="1" applyFill="1" applyAlignment="1">
      <alignment horizontal="center"/>
    </xf>
    <xf numFmtId="3" fontId="73" fillId="8" borderId="0" xfId="36" applyNumberFormat="1" applyFill="1"/>
    <xf numFmtId="3" fontId="73" fillId="8" borderId="1" xfId="36" applyNumberFormat="1" applyFill="1" applyBorder="1"/>
    <xf numFmtId="3" fontId="73" fillId="8" borderId="2" xfId="36" applyNumberFormat="1" applyFill="1" applyBorder="1"/>
    <xf numFmtId="0" fontId="73" fillId="0" borderId="0" xfId="36" applyAlignment="1">
      <alignment horizontal="center"/>
    </xf>
    <xf numFmtId="0" fontId="70" fillId="0" borderId="0" xfId="19" applyFill="1"/>
    <xf numFmtId="0" fontId="5" fillId="0" borderId="0" xfId="51" applyFont="1" applyAlignment="1">
      <alignment horizontal="center"/>
    </xf>
    <xf numFmtId="0" fontId="73" fillId="0" borderId="1" xfId="36" applyFill="1" applyBorder="1" applyAlignment="1">
      <alignment horizontal="centerContinuous"/>
    </xf>
    <xf numFmtId="0" fontId="73" fillId="0" borderId="0" xfId="36" applyFill="1" applyAlignment="1">
      <alignment horizontal="center"/>
    </xf>
    <xf numFmtId="0" fontId="55" fillId="0" borderId="0" xfId="36" applyFont="1" applyFill="1" applyAlignment="1">
      <alignment horizontal="center"/>
    </xf>
    <xf numFmtId="3" fontId="73" fillId="0" borderId="0" xfId="36" applyNumberFormat="1" applyFill="1"/>
    <xf numFmtId="3" fontId="73" fillId="0" borderId="1" xfId="36" applyNumberFormat="1" applyFill="1" applyBorder="1"/>
    <xf numFmtId="3" fontId="73" fillId="0" borderId="2" xfId="36" applyNumberFormat="1" applyFill="1" applyBorder="1"/>
    <xf numFmtId="0" fontId="20" fillId="9" borderId="0" xfId="36" applyFont="1" applyFill="1"/>
    <xf numFmtId="10" fontId="91" fillId="0" borderId="24" xfId="0" applyNumberFormat="1" applyFont="1" applyBorder="1"/>
    <xf numFmtId="10" fontId="77" fillId="0" borderId="24" xfId="41" applyNumberFormat="1" applyFont="1" applyBorder="1"/>
    <xf numFmtId="0" fontId="20" fillId="0" borderId="0" xfId="23"/>
    <xf numFmtId="0" fontId="14" fillId="0" borderId="0" xfId="51" applyFill="1"/>
    <xf numFmtId="166" fontId="14" fillId="0" borderId="0" xfId="51" applyNumberFormat="1" applyFill="1"/>
    <xf numFmtId="37" fontId="22" fillId="0" borderId="0" xfId="0" applyNumberFormat="1" applyFont="1" applyFill="1" applyBorder="1"/>
    <xf numFmtId="0" fontId="0" fillId="0" borderId="0" xfId="0" applyFill="1" applyAlignment="1">
      <alignment horizontal="right"/>
    </xf>
    <xf numFmtId="0" fontId="20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3" fillId="0" borderId="1" xfId="36" applyFill="1" applyBorder="1" applyAlignment="1">
      <alignment horizontal="center"/>
    </xf>
    <xf numFmtId="5" fontId="21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20" fillId="0" borderId="0" xfId="0" applyFont="1" applyFill="1" applyAlignment="1">
      <alignment horizontal="right"/>
    </xf>
    <xf numFmtId="0" fontId="20" fillId="0" borderId="0" xfId="23"/>
    <xf numFmtId="0" fontId="20" fillId="0" borderId="0" xfId="23"/>
    <xf numFmtId="0" fontId="73" fillId="0" borderId="0" xfId="36" applyAlignment="1">
      <alignment horizontal="center"/>
    </xf>
    <xf numFmtId="0" fontId="20" fillId="0" borderId="0" xfId="23" applyAlignment="1">
      <alignment horizontal="center"/>
    </xf>
    <xf numFmtId="0" fontId="26" fillId="0" borderId="0" xfId="1166" applyFont="1" applyBorder="1" applyAlignment="1">
      <alignment horizontal="left" indent="1" readingOrder="1"/>
    </xf>
    <xf numFmtId="0" fontId="26" fillId="0" borderId="0" xfId="1166" applyFont="1" applyAlignment="1">
      <alignment horizontal="left" indent="1" readingOrder="1"/>
    </xf>
    <xf numFmtId="0" fontId="20" fillId="0" borderId="0" xfId="1166" applyBorder="1">
      <alignment readingOrder="1"/>
    </xf>
    <xf numFmtId="3" fontId="73" fillId="0" borderId="9" xfId="36" applyNumberFormat="1" applyBorder="1"/>
    <xf numFmtId="0" fontId="26" fillId="0" borderId="0" xfId="1166" applyFont="1" applyFill="1" applyBorder="1" applyAlignment="1">
      <alignment horizontal="left" indent="1" readingOrder="1"/>
    </xf>
    <xf numFmtId="0" fontId="79" fillId="0" borderId="0" xfId="1166" applyFont="1" applyAlignment="1">
      <alignment horizontal="left" indent="1" readingOrder="1"/>
    </xf>
    <xf numFmtId="0" fontId="79" fillId="0" borderId="0" xfId="1166" applyFont="1" applyFill="1" applyAlignment="1">
      <alignment horizontal="left" indent="1" readingOrder="1"/>
    </xf>
    <xf numFmtId="0" fontId="20" fillId="0" borderId="0" xfId="1166" applyFill="1" applyBorder="1">
      <alignment readingOrder="1"/>
    </xf>
    <xf numFmtId="0" fontId="27" fillId="0" borderId="0" xfId="1166" applyFont="1">
      <alignment readingOrder="1"/>
    </xf>
    <xf numFmtId="0" fontId="20" fillId="0" borderId="0" xfId="1166" applyFill="1">
      <alignment readingOrder="1"/>
    </xf>
    <xf numFmtId="0" fontId="185" fillId="0" borderId="0" xfId="36" applyFont="1" applyAlignment="1">
      <alignment horizontal="center"/>
    </xf>
    <xf numFmtId="0" fontId="23" fillId="0" borderId="0" xfId="1166" applyFont="1">
      <alignment readingOrder="1"/>
    </xf>
    <xf numFmtId="0" fontId="28" fillId="0" borderId="0" xfId="1166" applyFont="1" applyFill="1">
      <alignment readingOrder="1"/>
    </xf>
    <xf numFmtId="0" fontId="26" fillId="0" borderId="0" xfId="1166" applyFont="1" applyFill="1" applyAlignment="1">
      <alignment horizontal="left" indent="1" readingOrder="1"/>
    </xf>
    <xf numFmtId="0" fontId="20" fillId="0" borderId="0" xfId="1166">
      <alignment readingOrder="1"/>
    </xf>
    <xf numFmtId="0" fontId="27" fillId="0" borderId="0" xfId="1166" applyFont="1" applyFill="1">
      <alignment readingOrder="1"/>
    </xf>
    <xf numFmtId="0" fontId="79" fillId="0" borderId="0" xfId="1166" applyFont="1" applyBorder="1" applyAlignment="1">
      <alignment horizontal="left" indent="1" readingOrder="1"/>
    </xf>
    <xf numFmtId="3" fontId="20" fillId="0" borderId="0" xfId="1166" applyNumberFormat="1" applyFill="1">
      <alignment readingOrder="1"/>
    </xf>
    <xf numFmtId="0" fontId="0" fillId="0" borderId="0" xfId="0"/>
    <xf numFmtId="0" fontId="20" fillId="0" borderId="0" xfId="0" applyFont="1"/>
    <xf numFmtId="37" fontId="117" fillId="0" borderId="0" xfId="1227" applyNumberFormat="1" applyFont="1" applyFill="1"/>
    <xf numFmtId="166" fontId="51" fillId="0" borderId="0" xfId="1" applyNumberFormat="1" applyFont="1"/>
    <xf numFmtId="166" fontId="51" fillId="0" borderId="0" xfId="1" applyNumberFormat="1" applyFont="1" applyFill="1"/>
    <xf numFmtId="166" fontId="50" fillId="0" borderId="0" xfId="1" applyNumberFormat="1" applyFont="1" applyFill="1"/>
    <xf numFmtId="37" fontId="38" fillId="0" borderId="1" xfId="1227" applyNumberFormat="1" applyFont="1" applyFill="1" applyBorder="1"/>
    <xf numFmtId="37" fontId="38" fillId="0" borderId="0" xfId="1227" applyNumberFormat="1" applyFont="1" applyFill="1"/>
    <xf numFmtId="0" fontId="20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1" fillId="0" borderId="0" xfId="23" applyNumberFormat="1" applyFont="1" applyFill="1"/>
    <xf numFmtId="10" fontId="21" fillId="0" borderId="0" xfId="42" applyNumberFormat="1" applyFont="1" applyFill="1"/>
    <xf numFmtId="3" fontId="35" fillId="0" borderId="49" xfId="23" applyNumberFormat="1" applyFont="1" applyFill="1" applyBorder="1" applyAlignment="1">
      <alignment horizontal="center"/>
    </xf>
    <xf numFmtId="3" fontId="35" fillId="0" borderId="50" xfId="23" applyNumberFormat="1" applyFont="1" applyFill="1" applyBorder="1" applyAlignment="1">
      <alignment horizontal="center"/>
    </xf>
    <xf numFmtId="3" fontId="35" fillId="0" borderId="50" xfId="23" applyNumberFormat="1" applyFont="1" applyFill="1" applyBorder="1" applyAlignment="1">
      <alignment horizontal="left"/>
    </xf>
    <xf numFmtId="3" fontId="61" fillId="0" borderId="50" xfId="23" applyNumberFormat="1" applyFont="1" applyFill="1" applyBorder="1" applyAlignment="1">
      <alignment horizontal="center"/>
    </xf>
    <xf numFmtId="3" fontId="61" fillId="0" borderId="51" xfId="23" applyNumberFormat="1" applyFont="1" applyFill="1" applyBorder="1" applyAlignment="1">
      <alignment horizontal="center"/>
    </xf>
    <xf numFmtId="37" fontId="21" fillId="0" borderId="0" xfId="23" applyNumberFormat="1" applyFont="1" applyFill="1" applyAlignment="1">
      <alignment horizontal="right"/>
    </xf>
    <xf numFmtId="37" fontId="39" fillId="0" borderId="0" xfId="23" applyNumberFormat="1" applyFont="1" applyFill="1" applyAlignment="1">
      <alignment horizontal="right"/>
    </xf>
    <xf numFmtId="10" fontId="91" fillId="0" borderId="0" xfId="0" applyNumberFormat="1" applyFont="1" applyFill="1" applyBorder="1"/>
    <xf numFmtId="0" fontId="21" fillId="0" borderId="0" xfId="23" applyFont="1" applyFill="1" applyAlignment="1">
      <alignment horizontal="center"/>
    </xf>
    <xf numFmtId="166" fontId="21" fillId="0" borderId="0" xfId="23" applyNumberFormat="1" applyFont="1" applyFill="1" applyAlignment="1">
      <alignment horizontal="center"/>
    </xf>
    <xf numFmtId="3" fontId="39" fillId="0" borderId="49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3" fontId="189" fillId="0" borderId="0" xfId="41" applyNumberFormat="1" applyFont="1"/>
    <xf numFmtId="0" fontId="77" fillId="0" borderId="0" xfId="41" applyFont="1" applyFill="1"/>
    <xf numFmtId="0" fontId="20" fillId="0" borderId="0" xfId="1227"/>
    <xf numFmtId="10" fontId="61" fillId="0" borderId="0" xfId="42" applyNumberFormat="1" applyFont="1" applyFill="1" applyBorder="1" applyAlignment="1">
      <alignment horizontal="center"/>
    </xf>
    <xf numFmtId="166" fontId="35" fillId="0" borderId="0" xfId="1" applyNumberFormat="1" applyFont="1" applyFill="1" applyBorder="1" applyAlignment="1">
      <alignment horizontal="center" wrapText="1"/>
    </xf>
    <xf numFmtId="3" fontId="20" fillId="8" borderId="0" xfId="23" applyNumberFormat="1" applyFill="1"/>
    <xf numFmtId="0" fontId="73" fillId="9" borderId="0" xfId="36" applyFill="1"/>
    <xf numFmtId="0" fontId="20" fillId="0" borderId="0" xfId="23"/>
    <xf numFmtId="0" fontId="20" fillId="0" borderId="0" xfId="23"/>
    <xf numFmtId="0" fontId="65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left" vertical="top" wrapText="1"/>
    </xf>
    <xf numFmtId="0" fontId="191" fillId="0" borderId="54" xfId="0" applyFont="1" applyFill="1" applyBorder="1" applyAlignment="1">
      <alignment horizontal="right" vertical="top"/>
    </xf>
    <xf numFmtId="0" fontId="191" fillId="0" borderId="61" xfId="0" applyFont="1" applyFill="1" applyBorder="1" applyAlignment="1">
      <alignment horizontal="right" vertical="top"/>
    </xf>
    <xf numFmtId="0" fontId="191" fillId="0" borderId="55" xfId="0" applyFont="1" applyFill="1" applyBorder="1" applyAlignment="1">
      <alignment horizontal="right" vertical="top"/>
    </xf>
    <xf numFmtId="0" fontId="65" fillId="0" borderId="53" xfId="0" applyFont="1" applyFill="1" applyBorder="1" applyAlignment="1">
      <alignment horizontal="left" vertical="center"/>
    </xf>
    <xf numFmtId="0" fontId="65" fillId="0" borderId="56" xfId="0" applyFont="1" applyFill="1" applyBorder="1" applyAlignment="1">
      <alignment horizontal="left" vertical="center"/>
    </xf>
    <xf numFmtId="0" fontId="65" fillId="0" borderId="57" xfId="0" applyFont="1" applyFill="1" applyBorder="1" applyAlignment="1">
      <alignment horizontal="left" vertical="center"/>
    </xf>
    <xf numFmtId="0" fontId="65" fillId="0" borderId="58" xfId="0" applyFont="1" applyFill="1" applyBorder="1" applyAlignment="1">
      <alignment horizontal="left" vertical="center"/>
    </xf>
    <xf numFmtId="0" fontId="191" fillId="0" borderId="59" xfId="0" applyFont="1" applyFill="1" applyBorder="1" applyAlignment="1">
      <alignment horizontal="right" vertical="top"/>
    </xf>
    <xf numFmtId="0" fontId="191" fillId="0" borderId="62" xfId="0" applyFont="1" applyFill="1" applyBorder="1" applyAlignment="1">
      <alignment horizontal="right" vertical="top"/>
    </xf>
    <xf numFmtId="0" fontId="191" fillId="0" borderId="60" xfId="0" applyFont="1" applyFill="1" applyBorder="1" applyAlignment="1">
      <alignment horizontal="right" vertical="top"/>
    </xf>
    <xf numFmtId="0" fontId="190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center" vertical="top"/>
    </xf>
    <xf numFmtId="0" fontId="191" fillId="0" borderId="53" xfId="0" applyFont="1" applyFill="1" applyBorder="1" applyAlignment="1">
      <alignment horizontal="right" vertical="top"/>
    </xf>
    <xf numFmtId="0" fontId="190" fillId="0" borderId="63" xfId="0" applyFont="1" applyFill="1" applyBorder="1" applyAlignment="1">
      <alignment horizontal="left" vertical="top"/>
    </xf>
    <xf numFmtId="228" fontId="65" fillId="0" borderId="53" xfId="0" applyNumberFormat="1" applyFont="1" applyFill="1" applyBorder="1" applyAlignment="1">
      <alignment horizontal="right" vertical="top"/>
    </xf>
    <xf numFmtId="0" fontId="190" fillId="0" borderId="64" xfId="0" applyFont="1" applyFill="1" applyBorder="1" applyAlignment="1">
      <alignment horizontal="left" vertical="top"/>
    </xf>
    <xf numFmtId="0" fontId="190" fillId="0" borderId="65" xfId="0" applyFont="1" applyFill="1" applyBorder="1" applyAlignment="1">
      <alignment horizontal="left" vertical="top"/>
    </xf>
    <xf numFmtId="0" fontId="65" fillId="0" borderId="56" xfId="0" applyFont="1" applyFill="1" applyBorder="1" applyAlignment="1">
      <alignment horizontal="center" vertical="top"/>
    </xf>
    <xf numFmtId="0" fontId="65" fillId="0" borderId="57" xfId="0" applyFont="1" applyFill="1" applyBorder="1" applyAlignment="1">
      <alignment horizontal="center" vertical="top"/>
    </xf>
    <xf numFmtId="0" fontId="65" fillId="0" borderId="58" xfId="0" applyFont="1" applyFill="1" applyBorder="1" applyAlignment="1">
      <alignment horizontal="center" vertical="top"/>
    </xf>
    <xf numFmtId="0" fontId="20" fillId="0" borderId="0" xfId="1227" applyAlignment="1">
      <alignment horizontal="center"/>
    </xf>
    <xf numFmtId="228" fontId="20" fillId="0" borderId="0" xfId="1227" applyNumberFormat="1"/>
    <xf numFmtId="0" fontId="20" fillId="0" borderId="0" xfId="36" applyFont="1" applyFill="1"/>
    <xf numFmtId="164" fontId="20" fillId="0" borderId="0" xfId="23" applyNumberFormat="1" applyFont="1" applyFill="1" applyAlignment="1">
      <alignment horizontal="center"/>
    </xf>
    <xf numFmtId="0" fontId="20" fillId="0" borderId="0" xfId="36" applyFont="1" applyFill="1" applyAlignment="1">
      <alignment horizontal="center"/>
    </xf>
    <xf numFmtId="0" fontId="23" fillId="0" borderId="0" xfId="23" applyFont="1" applyFill="1" applyAlignment="1">
      <alignment horizontal="center"/>
    </xf>
    <xf numFmtId="37" fontId="0" fillId="0" borderId="0" xfId="0" applyNumberFormat="1" applyFill="1"/>
    <xf numFmtId="166" fontId="20" fillId="0" borderId="9" xfId="1" applyNumberFormat="1" applyFont="1" applyFill="1" applyBorder="1"/>
    <xf numFmtId="0" fontId="20" fillId="0" borderId="0" xfId="23"/>
    <xf numFmtId="3" fontId="20" fillId="74" borderId="0" xfId="23" applyNumberFormat="1" applyFill="1"/>
    <xf numFmtId="3" fontId="20" fillId="0" borderId="0" xfId="23" applyNumberFormat="1" applyFont="1" applyFill="1"/>
    <xf numFmtId="0" fontId="20" fillId="0" borderId="0" xfId="1227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3" fontId="78" fillId="0" borderId="0" xfId="41" applyNumberFormat="1" applyFont="1" applyFill="1"/>
    <xf numFmtId="10" fontId="21" fillId="0" borderId="0" xfId="0" applyNumberFormat="1" applyFont="1" applyFill="1"/>
    <xf numFmtId="0" fontId="21" fillId="0" borderId="0" xfId="0" applyFont="1" applyFill="1"/>
    <xf numFmtId="10" fontId="77" fillId="0" borderId="0" xfId="42" applyNumberFormat="1" applyFont="1" applyFill="1"/>
    <xf numFmtId="3" fontId="77" fillId="0" borderId="0" xfId="41" applyNumberFormat="1" applyFont="1" applyFill="1"/>
    <xf numFmtId="0" fontId="20" fillId="0" borderId="0" xfId="23" applyFont="1" applyFill="1" applyBorder="1" applyAlignment="1">
      <alignment horizontal="center"/>
    </xf>
    <xf numFmtId="0" fontId="20" fillId="0" borderId="0" xfId="23"/>
    <xf numFmtId="0" fontId="20" fillId="0" borderId="0" xfId="23" applyFont="1" applyAlignment="1">
      <alignment horizontal="centerContinuous"/>
    </xf>
    <xf numFmtId="0" fontId="20" fillId="0" borderId="0" xfId="23" applyFont="1" applyFill="1" applyBorder="1"/>
    <xf numFmtId="10" fontId="20" fillId="0" borderId="0" xfId="42" applyNumberFormat="1" applyFont="1" applyFill="1" applyBorder="1" applyAlignment="1">
      <alignment horizontal="center"/>
    </xf>
    <xf numFmtId="164" fontId="20" fillId="0" borderId="0" xfId="23" applyNumberFormat="1" applyFont="1"/>
    <xf numFmtId="164" fontId="20" fillId="0" borderId="0" xfId="23" applyNumberFormat="1" applyFont="1" applyFill="1" applyBorder="1"/>
    <xf numFmtId="3" fontId="20" fillId="0" borderId="0" xfId="23" applyNumberFormat="1" applyFont="1" applyFill="1" applyBorder="1"/>
    <xf numFmtId="0" fontId="27" fillId="0" borderId="0" xfId="23" applyFont="1" applyFill="1"/>
    <xf numFmtId="3" fontId="27" fillId="0" borderId="0" xfId="23" applyNumberFormat="1" applyFont="1" applyFill="1" applyBorder="1"/>
    <xf numFmtId="164" fontId="20" fillId="0" borderId="0" xfId="23" applyNumberFormat="1" applyFont="1" applyFill="1"/>
    <xf numFmtId="164" fontId="20" fillId="0" borderId="0" xfId="23" applyNumberFormat="1" applyFont="1" applyAlignment="1">
      <alignment wrapText="1"/>
    </xf>
    <xf numFmtId="164" fontId="20" fillId="0" borderId="0" xfId="23" applyNumberFormat="1" applyFont="1" applyFill="1" applyAlignment="1">
      <alignment wrapText="1"/>
    </xf>
    <xf numFmtId="0" fontId="192" fillId="0" borderId="0" xfId="23" applyFont="1" applyFill="1"/>
    <xf numFmtId="0" fontId="20" fillId="0" borderId="0" xfId="1227" applyFont="1"/>
    <xf numFmtId="0" fontId="20" fillId="0" borderId="0" xfId="1227" applyFont="1" applyAlignment="1">
      <alignment horizontal="right"/>
    </xf>
    <xf numFmtId="0" fontId="20" fillId="0" borderId="0" xfId="1227" applyAlignment="1">
      <alignment horizontal="left"/>
    </xf>
    <xf numFmtId="3" fontId="20" fillId="0" borderId="0" xfId="23" applyNumberFormat="1" applyAlignment="1">
      <alignment horizontal="right"/>
    </xf>
    <xf numFmtId="0" fontId="193" fillId="0" borderId="0" xfId="1227" applyFont="1" applyAlignment="1">
      <alignment horizontal="center"/>
    </xf>
    <xf numFmtId="10" fontId="20" fillId="0" borderId="1" xfId="1227" applyNumberFormat="1" applyBorder="1"/>
    <xf numFmtId="166" fontId="0" fillId="0" borderId="1" xfId="1" applyNumberFormat="1" applyFont="1" applyBorder="1"/>
    <xf numFmtId="3" fontId="20" fillId="0" borderId="1" xfId="1227" applyNumberFormat="1" applyBorder="1"/>
    <xf numFmtId="0" fontId="20" fillId="0" borderId="0" xfId="23"/>
    <xf numFmtId="183" fontId="89" fillId="75" borderId="3" xfId="0" applyNumberFormat="1" applyFont="1" applyFill="1" applyBorder="1"/>
    <xf numFmtId="3" fontId="78" fillId="0" borderId="0" xfId="41" applyNumberFormat="1" applyFont="1" applyFill="1" applyBorder="1"/>
    <xf numFmtId="10" fontId="0" fillId="75" borderId="0" xfId="42" applyNumberFormat="1" applyFont="1" applyFill="1" applyAlignment="1">
      <alignment horizontal="center"/>
    </xf>
    <xf numFmtId="3" fontId="20" fillId="75" borderId="0" xfId="23" applyNumberFormat="1" applyFill="1"/>
    <xf numFmtId="228" fontId="20" fillId="75" borderId="0" xfId="1227" applyNumberFormat="1" applyFill="1"/>
    <xf numFmtId="164" fontId="20" fillId="75" borderId="0" xfId="23" applyNumberFormat="1" applyFill="1"/>
    <xf numFmtId="0" fontId="195" fillId="0" borderId="0" xfId="1227" applyFont="1"/>
    <xf numFmtId="0" fontId="20" fillId="75" borderId="22" xfId="23" applyFill="1" applyBorder="1"/>
    <xf numFmtId="0" fontId="20" fillId="75" borderId="12" xfId="23" applyFill="1" applyBorder="1"/>
    <xf numFmtId="3" fontId="20" fillId="75" borderId="12" xfId="23" applyNumberFormat="1" applyFill="1" applyBorder="1"/>
    <xf numFmtId="164" fontId="192" fillId="75" borderId="21" xfId="23" applyNumberFormat="1" applyFont="1" applyFill="1" applyBorder="1"/>
    <xf numFmtId="0" fontId="20" fillId="75" borderId="0" xfId="1227" applyFill="1"/>
    <xf numFmtId="0" fontId="20" fillId="75" borderId="19" xfId="23" applyFill="1" applyBorder="1"/>
    <xf numFmtId="0" fontId="20" fillId="75" borderId="13" xfId="23" applyFill="1" applyBorder="1"/>
    <xf numFmtId="3" fontId="20" fillId="75" borderId="13" xfId="23" applyNumberFormat="1" applyFill="1" applyBorder="1"/>
    <xf numFmtId="164" fontId="192" fillId="75" borderId="20" xfId="23" applyNumberFormat="1" applyFont="1" applyFill="1" applyBorder="1"/>
    <xf numFmtId="0" fontId="193" fillId="75" borderId="0" xfId="1227" applyFont="1" applyFill="1" applyAlignment="1">
      <alignment horizontal="left"/>
    </xf>
    <xf numFmtId="0" fontId="27" fillId="75" borderId="0" xfId="1227" applyFont="1" applyFill="1"/>
    <xf numFmtId="166" fontId="27" fillId="75" borderId="1" xfId="1227" applyNumberFormat="1" applyFont="1" applyFill="1" applyBorder="1" applyAlignment="1">
      <alignment horizontal="left"/>
    </xf>
    <xf numFmtId="9" fontId="27" fillId="75" borderId="0" xfId="42" applyFont="1" applyFill="1"/>
    <xf numFmtId="37" fontId="21" fillId="75" borderId="0" xfId="23" applyNumberFormat="1" applyFont="1" applyFill="1" applyBorder="1" applyProtection="1">
      <protection locked="0"/>
    </xf>
    <xf numFmtId="0" fontId="21" fillId="75" borderId="0" xfId="23" applyFont="1" applyFill="1"/>
    <xf numFmtId="0" fontId="70" fillId="75" borderId="0" xfId="19" applyFill="1"/>
    <xf numFmtId="0" fontId="0" fillId="75" borderId="0" xfId="0" applyFill="1"/>
    <xf numFmtId="10" fontId="15" fillId="0" borderId="0" xfId="42" applyNumberFormat="1" applyFont="1" applyFill="1"/>
    <xf numFmtId="0" fontId="27" fillId="0" borderId="1" xfId="0" applyFont="1" applyBorder="1"/>
    <xf numFmtId="0" fontId="0" fillId="0" borderId="1" xfId="0" applyBorder="1"/>
    <xf numFmtId="10" fontId="0" fillId="0" borderId="0" xfId="0" applyNumberFormat="1"/>
    <xf numFmtId="0" fontId="22" fillId="0" borderId="66" xfId="0" applyFont="1" applyBorder="1" applyAlignment="1">
      <alignment horizontal="center"/>
    </xf>
    <xf numFmtId="3" fontId="77" fillId="0" borderId="24" xfId="41" applyNumberFormat="1" applyFont="1" applyBorder="1"/>
    <xf numFmtId="10" fontId="77" fillId="0" borderId="24" xfId="42" applyNumberFormat="1" applyFont="1" applyBorder="1"/>
    <xf numFmtId="0" fontId="39" fillId="0" borderId="1" xfId="0" applyFont="1" applyBorder="1"/>
    <xf numFmtId="10" fontId="0" fillId="0" borderId="0" xfId="42" applyNumberFormat="1" applyFont="1" applyFill="1"/>
    <xf numFmtId="37" fontId="20" fillId="0" borderId="0" xfId="0" applyNumberFormat="1" applyFont="1" applyFill="1"/>
    <xf numFmtId="0" fontId="27" fillId="0" borderId="1" xfId="0" applyFont="1" applyBorder="1" applyAlignment="1">
      <alignment horizontal="center"/>
    </xf>
    <xf numFmtId="0" fontId="0" fillId="0" borderId="0" xfId="0" applyFill="1" applyBorder="1"/>
    <xf numFmtId="10" fontId="91" fillId="0" borderId="24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 applyBorder="1"/>
    <xf numFmtId="0" fontId="39" fillId="0" borderId="0" xfId="0" applyFont="1" applyFill="1" applyBorder="1" applyAlignment="1">
      <alignment horizontal="center"/>
    </xf>
    <xf numFmtId="0" fontId="196" fillId="0" borderId="0" xfId="0" applyFont="1" applyFill="1" applyBorder="1" applyAlignment="1">
      <alignment horizontal="center"/>
    </xf>
    <xf numFmtId="0" fontId="40" fillId="0" borderId="0" xfId="0" applyFont="1" applyFill="1" applyBorder="1"/>
    <xf numFmtId="5" fontId="40" fillId="0" borderId="0" xfId="0" applyNumberFormat="1" applyFont="1" applyFill="1" applyBorder="1"/>
    <xf numFmtId="0" fontId="0" fillId="0" borderId="0" xfId="0" quotePrefix="1" applyFill="1" applyBorder="1" applyAlignment="1">
      <alignment vertical="top"/>
    </xf>
    <xf numFmtId="3" fontId="20" fillId="0" borderId="0" xfId="1227" applyNumberFormat="1"/>
    <xf numFmtId="10" fontId="42" fillId="0" borderId="23" xfId="0" applyNumberFormat="1" applyFont="1" applyFill="1" applyBorder="1"/>
    <xf numFmtId="10" fontId="78" fillId="0" borderId="24" xfId="42" applyNumberFormat="1" applyFont="1" applyFill="1" applyBorder="1"/>
    <xf numFmtId="0" fontId="93" fillId="0" borderId="0" xfId="0" applyFont="1" applyBorder="1" applyAlignment="1"/>
    <xf numFmtId="0" fontId="93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Border="1" applyAlignment="1">
      <alignment horizontal="center"/>
    </xf>
    <xf numFmtId="0" fontId="197" fillId="0" borderId="0" xfId="0" applyFont="1" applyFill="1" applyBorder="1" applyAlignment="1">
      <alignment horizontal="center" wrapText="1"/>
    </xf>
    <xf numFmtId="0" fontId="197" fillId="0" borderId="0" xfId="0" applyFont="1" applyFill="1" applyBorder="1" applyAlignment="1">
      <alignment horizontal="center"/>
    </xf>
    <xf numFmtId="0" fontId="94" fillId="0" borderId="0" xfId="0" applyFont="1" applyBorder="1"/>
    <xf numFmtId="5" fontId="196" fillId="0" borderId="0" xfId="0" applyNumberFormat="1" applyFont="1" applyFill="1" applyBorder="1" applyAlignment="1">
      <alignment horizontal="center"/>
    </xf>
    <xf numFmtId="10" fontId="39" fillId="0" borderId="1" xfId="42" applyNumberFormat="1" applyFont="1" applyFill="1" applyBorder="1"/>
    <xf numFmtId="10" fontId="39" fillId="0" borderId="0" xfId="0" applyNumberFormat="1" applyFont="1" applyBorder="1"/>
    <xf numFmtId="5" fontId="40" fillId="75" borderId="52" xfId="0" applyNumberFormat="1" applyFont="1" applyFill="1" applyBorder="1"/>
    <xf numFmtId="10" fontId="40" fillId="75" borderId="52" xfId="42" applyNumberFormat="1" applyFont="1" applyFill="1" applyBorder="1"/>
    <xf numFmtId="166" fontId="194" fillId="0" borderId="1" xfId="1" applyNumberFormat="1" applyFont="1" applyFill="1" applyBorder="1" applyAlignment="1">
      <alignment horizontal="center" vertical="center" wrapText="1"/>
    </xf>
    <xf numFmtId="166" fontId="0" fillId="75" borderId="0" xfId="1" applyNumberFormat="1" applyFont="1" applyFill="1"/>
    <xf numFmtId="10" fontId="27" fillId="75" borderId="52" xfId="0" applyNumberFormat="1" applyFont="1" applyFill="1" applyBorder="1"/>
    <xf numFmtId="0" fontId="20" fillId="0" borderId="0" xfId="23"/>
    <xf numFmtId="10" fontId="91" fillId="8" borderId="0" xfId="0" applyNumberFormat="1" applyFont="1" applyFill="1" applyBorder="1"/>
    <xf numFmtId="10" fontId="77" fillId="8" borderId="0" xfId="41" applyNumberFormat="1" applyFont="1" applyFill="1"/>
    <xf numFmtId="10" fontId="91" fillId="8" borderId="0" xfId="0" applyNumberFormat="1" applyFont="1" applyFill="1"/>
    <xf numFmtId="10" fontId="77" fillId="0" borderId="68" xfId="42" applyNumberFormat="1" applyFont="1" applyBorder="1"/>
    <xf numFmtId="166" fontId="21" fillId="9" borderId="0" xfId="1" applyNumberFormat="1" applyFont="1" applyFill="1"/>
    <xf numFmtId="0" fontId="27" fillId="0" borderId="0" xfId="0" applyFont="1" applyBorder="1"/>
    <xf numFmtId="37" fontId="0" fillId="0" borderId="0" xfId="0" applyNumberFormat="1" applyBorder="1"/>
    <xf numFmtId="37" fontId="21" fillId="0" borderId="1" xfId="23" applyNumberFormat="1" applyFont="1" applyFill="1" applyBorder="1" applyProtection="1">
      <protection locked="0"/>
    </xf>
    <xf numFmtId="168" fontId="35" fillId="75" borderId="51" xfId="10" applyNumberFormat="1" applyFont="1" applyFill="1" applyBorder="1" applyAlignment="1">
      <alignment horizontal="center"/>
    </xf>
    <xf numFmtId="0" fontId="111" fillId="0" borderId="0" xfId="19" applyFont="1" applyFill="1" applyAlignment="1">
      <alignment horizontal="left"/>
    </xf>
    <xf numFmtId="0" fontId="40" fillId="75" borderId="15" xfId="19" applyFont="1" applyFill="1" applyBorder="1" applyAlignment="1">
      <alignment horizontal="left"/>
    </xf>
    <xf numFmtId="0" fontId="40" fillId="75" borderId="16" xfId="19" applyFont="1" applyFill="1" applyBorder="1" applyAlignment="1">
      <alignment horizontal="center"/>
    </xf>
    <xf numFmtId="0" fontId="40" fillId="75" borderId="17" xfId="19" applyFont="1" applyFill="1" applyBorder="1" applyAlignment="1">
      <alignment horizontal="center"/>
    </xf>
    <xf numFmtId="37" fontId="39" fillId="75" borderId="14" xfId="40" applyNumberFormat="1" applyFont="1" applyFill="1" applyBorder="1"/>
    <xf numFmtId="37" fontId="39" fillId="75" borderId="0" xfId="40" applyNumberFormat="1" applyFont="1" applyFill="1" applyBorder="1"/>
    <xf numFmtId="0" fontId="40" fillId="75" borderId="0" xfId="19" applyFont="1" applyFill="1" applyBorder="1" applyAlignment="1">
      <alignment horizontal="center"/>
    </xf>
    <xf numFmtId="37" fontId="43" fillId="75" borderId="0" xfId="40" applyNumberFormat="1" applyFont="1" applyFill="1" applyBorder="1"/>
    <xf numFmtId="37" fontId="39" fillId="75" borderId="18" xfId="40" applyNumberFormat="1" applyFont="1" applyFill="1" applyBorder="1"/>
    <xf numFmtId="0" fontId="39" fillId="75" borderId="0" xfId="19" applyFont="1" applyFill="1" applyBorder="1"/>
    <xf numFmtId="0" fontId="40" fillId="75" borderId="1" xfId="19" applyFont="1" applyFill="1" applyBorder="1" applyAlignment="1">
      <alignment horizontal="center"/>
    </xf>
    <xf numFmtId="0" fontId="39" fillId="75" borderId="18" xfId="19" applyFont="1" applyFill="1" applyBorder="1"/>
    <xf numFmtId="5" fontId="39" fillId="75" borderId="0" xfId="19" applyNumberFormat="1" applyFont="1" applyFill="1" applyBorder="1"/>
    <xf numFmtId="10" fontId="39" fillId="75" borderId="0" xfId="49" applyNumberFormat="1" applyFont="1" applyFill="1" applyBorder="1"/>
    <xf numFmtId="10" fontId="43" fillId="75" borderId="0" xfId="49" applyNumberFormat="1" applyFont="1" applyFill="1" applyBorder="1"/>
    <xf numFmtId="169" fontId="39" fillId="75" borderId="0" xfId="49" applyNumberFormat="1" applyFont="1" applyFill="1" applyBorder="1"/>
    <xf numFmtId="37" fontId="40" fillId="75" borderId="18" xfId="40" applyNumberFormat="1" applyFont="1" applyFill="1" applyBorder="1" applyAlignment="1">
      <alignment horizontal="center"/>
    </xf>
    <xf numFmtId="166" fontId="39" fillId="75" borderId="0" xfId="9" applyNumberFormat="1" applyFont="1" applyFill="1" applyBorder="1"/>
    <xf numFmtId="10" fontId="40" fillId="75" borderId="18" xfId="49" applyNumberFormat="1" applyFont="1" applyFill="1" applyBorder="1" applyAlignment="1">
      <alignment horizontal="center"/>
    </xf>
    <xf numFmtId="10" fontId="96" fillId="75" borderId="0" xfId="49" applyNumberFormat="1" applyFont="1" applyFill="1" applyBorder="1"/>
    <xf numFmtId="169" fontId="43" fillId="75" borderId="0" xfId="49" applyNumberFormat="1" applyFont="1" applyFill="1" applyBorder="1"/>
    <xf numFmtId="10" fontId="39" fillId="75" borderId="11" xfId="49" applyNumberFormat="1" applyFont="1" applyFill="1" applyBorder="1"/>
    <xf numFmtId="37" fontId="39" fillId="75" borderId="19" xfId="40" applyNumberFormat="1" applyFont="1" applyFill="1" applyBorder="1"/>
    <xf numFmtId="0" fontId="39" fillId="75" borderId="13" xfId="19" applyFont="1" applyFill="1" applyBorder="1"/>
    <xf numFmtId="166" fontId="39" fillId="75" borderId="13" xfId="9" applyNumberFormat="1" applyFont="1" applyFill="1" applyBorder="1"/>
    <xf numFmtId="10" fontId="39" fillId="75" borderId="13" xfId="49" applyNumberFormat="1" applyFont="1" applyFill="1" applyBorder="1"/>
    <xf numFmtId="10" fontId="43" fillId="75" borderId="13" xfId="49" applyNumberFormat="1" applyFont="1" applyFill="1" applyBorder="1"/>
    <xf numFmtId="37" fontId="39" fillId="75" borderId="20" xfId="40" applyNumberFormat="1" applyFont="1" applyFill="1" applyBorder="1"/>
    <xf numFmtId="0" fontId="198" fillId="0" borderId="0" xfId="40" applyFont="1" applyFill="1" applyAlignment="1">
      <alignment horizontal="center"/>
    </xf>
    <xf numFmtId="14" fontId="198" fillId="0" borderId="0" xfId="40" applyNumberFormat="1" applyFont="1" applyFill="1" applyAlignment="1">
      <alignment horizontal="center"/>
    </xf>
    <xf numFmtId="5" fontId="21" fillId="0" borderId="0" xfId="40" applyNumberFormat="1" applyFont="1" applyFill="1"/>
    <xf numFmtId="164" fontId="192" fillId="0" borderId="0" xfId="23" applyNumberFormat="1" applyFont="1" applyFill="1"/>
    <xf numFmtId="0" fontId="27" fillId="75" borderId="0" xfId="23" applyFont="1" applyFill="1"/>
    <xf numFmtId="0" fontId="27" fillId="75" borderId="0" xfId="23" applyFont="1" applyFill="1" applyAlignment="1">
      <alignment horizontal="center"/>
    </xf>
    <xf numFmtId="0" fontId="20" fillId="0" borderId="9" xfId="23" applyFont="1" applyFill="1" applyBorder="1" applyAlignment="1">
      <alignment horizontal="center"/>
    </xf>
    <xf numFmtId="10" fontId="20" fillId="0" borderId="0" xfId="23" applyNumberFormat="1" applyFont="1" applyFill="1"/>
    <xf numFmtId="3" fontId="20" fillId="0" borderId="9" xfId="23" applyNumberFormat="1" applyFont="1" applyFill="1" applyBorder="1"/>
    <xf numFmtId="3" fontId="20" fillId="0" borderId="2" xfId="23" applyNumberFormat="1" applyFont="1" applyFill="1" applyBorder="1"/>
    <xf numFmtId="3" fontId="20" fillId="0" borderId="1" xfId="23" applyNumberFormat="1" applyFont="1" applyFill="1" applyBorder="1"/>
    <xf numFmtId="168" fontId="20" fillId="0" borderId="0" xfId="11" applyNumberFormat="1" applyFont="1" applyFill="1"/>
    <xf numFmtId="3" fontId="198" fillId="0" borderId="0" xfId="0" applyNumberFormat="1" applyFont="1" applyFill="1" applyBorder="1"/>
    <xf numFmtId="37" fontId="21" fillId="0" borderId="1" xfId="0" applyNumberFormat="1" applyFont="1" applyFill="1" applyBorder="1" applyAlignment="1" applyProtection="1">
      <alignment horizontal="center"/>
      <protection locked="0"/>
    </xf>
    <xf numFmtId="37" fontId="21" fillId="0" borderId="1" xfId="0" applyNumberFormat="1" applyFont="1" applyFill="1" applyBorder="1" applyProtection="1">
      <protection locked="0"/>
    </xf>
    <xf numFmtId="10" fontId="61" fillId="0" borderId="0" xfId="42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0" fontId="91" fillId="8" borderId="24" xfId="0" applyNumberFormat="1" applyFont="1" applyFill="1" applyBorder="1"/>
    <xf numFmtId="10" fontId="91" fillId="8" borderId="25" xfId="0" applyNumberFormat="1" applyFont="1" applyFill="1" applyBorder="1"/>
    <xf numFmtId="0" fontId="20" fillId="0" borderId="0" xfId="1227"/>
    <xf numFmtId="0" fontId="20" fillId="0" borderId="0" xfId="23"/>
    <xf numFmtId="0" fontId="1" fillId="0" borderId="0" xfId="34" applyFont="1"/>
    <xf numFmtId="0" fontId="1" fillId="0" borderId="0" xfId="34" applyFont="1" applyAlignment="1">
      <alignment horizontal="center"/>
    </xf>
    <xf numFmtId="166" fontId="39" fillId="0" borderId="0" xfId="86" applyNumberFormat="1" applyFont="1" applyFill="1"/>
    <xf numFmtId="166" fontId="39" fillId="0" borderId="1" xfId="86" applyNumberFormat="1" applyFont="1" applyFill="1" applyBorder="1"/>
    <xf numFmtId="166" fontId="39" fillId="0" borderId="9" xfId="86" applyNumberFormat="1" applyFont="1" applyFill="1" applyBorder="1"/>
    <xf numFmtId="166" fontId="39" fillId="0" borderId="3" xfId="86" applyNumberFormat="1" applyFont="1" applyFill="1" applyBorder="1"/>
    <xf numFmtId="166" fontId="68" fillId="0" borderId="0" xfId="86" applyNumberFormat="1" applyFont="1" applyFill="1"/>
    <xf numFmtId="166" fontId="65" fillId="0" borderId="0" xfId="86" applyNumberFormat="1" applyFont="1" applyFill="1"/>
    <xf numFmtId="166" fontId="40" fillId="0" borderId="12" xfId="86" applyNumberFormat="1" applyFont="1" applyFill="1" applyBorder="1"/>
    <xf numFmtId="166" fontId="39" fillId="0" borderId="12" xfId="86" applyNumberFormat="1" applyFont="1" applyFill="1" applyBorder="1"/>
    <xf numFmtId="166" fontId="40" fillId="0" borderId="0" xfId="86" applyNumberFormat="1" applyFont="1" applyFill="1" applyBorder="1"/>
    <xf numFmtId="166" fontId="39" fillId="0" borderId="0" xfId="86" applyNumberFormat="1" applyFont="1" applyFill="1" applyBorder="1"/>
    <xf numFmtId="166" fontId="40" fillId="0" borderId="13" xfId="86" applyNumberFormat="1" applyFont="1" applyFill="1" applyBorder="1"/>
    <xf numFmtId="0" fontId="38" fillId="0" borderId="0" xfId="1227" applyFont="1" applyAlignment="1">
      <alignment horizontal="left"/>
    </xf>
    <xf numFmtId="0" fontId="38" fillId="0" borderId="0" xfId="1227" applyFont="1"/>
    <xf numFmtId="0" fontId="46" fillId="0" borderId="0" xfId="1227" applyFont="1"/>
    <xf numFmtId="0" fontId="38" fillId="0" borderId="0" xfId="1227" applyFont="1" applyAlignment="1">
      <alignment horizontal="center"/>
    </xf>
    <xf numFmtId="0" fontId="38" fillId="0" borderId="1" xfId="1227" applyFont="1" applyBorder="1" applyAlignment="1">
      <alignment horizontal="center"/>
    </xf>
    <xf numFmtId="0" fontId="48" fillId="0" borderId="1" xfId="1227" applyFont="1" applyBorder="1"/>
    <xf numFmtId="0" fontId="38" fillId="0" borderId="1" xfId="1227" applyFont="1" applyBorder="1"/>
    <xf numFmtId="37" fontId="38" fillId="0" borderId="0" xfId="1227" applyNumberFormat="1" applyFont="1"/>
    <xf numFmtId="37" fontId="38" fillId="0" borderId="1" xfId="1227" applyNumberFormat="1" applyFont="1" applyBorder="1"/>
    <xf numFmtId="37" fontId="50" fillId="0" borderId="0" xfId="1227" applyNumberFormat="1" applyFont="1"/>
    <xf numFmtId="37" fontId="38" fillId="0" borderId="9" xfId="1227" applyNumberFormat="1" applyFont="1" applyBorder="1"/>
    <xf numFmtId="37" fontId="51" fillId="0" borderId="0" xfId="1227" applyNumberFormat="1" applyFont="1"/>
    <xf numFmtId="3" fontId="38" fillId="0" borderId="0" xfId="1227" applyNumberFormat="1" applyFont="1"/>
    <xf numFmtId="0" fontId="52" fillId="0" borderId="0" xfId="1227" applyFont="1" applyAlignment="1">
      <alignment horizontal="left"/>
    </xf>
    <xf numFmtId="0" fontId="52" fillId="0" borderId="0" xfId="1227" applyFont="1"/>
    <xf numFmtId="37" fontId="38" fillId="0" borderId="0" xfId="1227" applyNumberFormat="1" applyFont="1" applyBorder="1"/>
    <xf numFmtId="174" fontId="38" fillId="0" borderId="0" xfId="1227" applyNumberFormat="1" applyFont="1"/>
    <xf numFmtId="178" fontId="38" fillId="0" borderId="0" xfId="1227" applyNumberFormat="1" applyFont="1"/>
    <xf numFmtId="7" fontId="38" fillId="0" borderId="0" xfId="1227" applyNumberFormat="1" applyFont="1"/>
    <xf numFmtId="179" fontId="38" fillId="0" borderId="0" xfId="1227" applyNumberFormat="1" applyFont="1"/>
    <xf numFmtId="180" fontId="38" fillId="0" borderId="0" xfId="1227" applyNumberFormat="1" applyFont="1"/>
    <xf numFmtId="173" fontId="38" fillId="0" borderId="0" xfId="1227" applyNumberFormat="1" applyFont="1"/>
    <xf numFmtId="5" fontId="38" fillId="0" borderId="0" xfId="1227" applyNumberFormat="1" applyFont="1"/>
    <xf numFmtId="0" fontId="38" fillId="0" borderId="0" xfId="1227" applyFont="1" applyAlignment="1">
      <alignment horizontal="left" indent="1"/>
    </xf>
    <xf numFmtId="0" fontId="38" fillId="0" borderId="0" xfId="1228" applyFont="1" applyAlignment="1">
      <alignment horizontal="left"/>
    </xf>
    <xf numFmtId="37" fontId="51" fillId="0" borderId="0" xfId="1227" applyNumberFormat="1" applyFont="1" applyFill="1"/>
    <xf numFmtId="0" fontId="20" fillId="0" borderId="0" xfId="1228"/>
    <xf numFmtId="37" fontId="47" fillId="0" borderId="1" xfId="1227" applyNumberFormat="1" applyFont="1" applyBorder="1"/>
    <xf numFmtId="37" fontId="47" fillId="0" borderId="1" xfId="1227" applyNumberFormat="1" applyFont="1" applyFill="1" applyBorder="1"/>
    <xf numFmtId="0" fontId="38" fillId="0" borderId="2" xfId="1227" applyFont="1" applyBorder="1"/>
    <xf numFmtId="9" fontId="38" fillId="0" borderId="0" xfId="42" applyFont="1"/>
    <xf numFmtId="168" fontId="38" fillId="0" borderId="0" xfId="3034" applyNumberFormat="1" applyFont="1"/>
    <xf numFmtId="0" fontId="38" fillId="0" borderId="0" xfId="1228" applyFont="1" applyFill="1" applyAlignment="1">
      <alignment horizontal="left"/>
    </xf>
    <xf numFmtId="37" fontId="38" fillId="0" borderId="0" xfId="1227" applyNumberFormat="1" applyFont="1" applyAlignment="1">
      <alignment horizontal="left" indent="1"/>
    </xf>
    <xf numFmtId="37" fontId="82" fillId="0" borderId="0" xfId="1227" applyNumberFormat="1" applyFont="1" applyFill="1"/>
    <xf numFmtId="180" fontId="38" fillId="0" borderId="0" xfId="1227" applyNumberFormat="1" applyFont="1" applyAlignment="1">
      <alignment horizontal="left" indent="1"/>
    </xf>
    <xf numFmtId="180" fontId="38" fillId="0" borderId="0" xfId="1227" applyNumberFormat="1" applyFont="1" applyFill="1"/>
    <xf numFmtId="9" fontId="38" fillId="0" borderId="1" xfId="42" applyFont="1" applyBorder="1"/>
    <xf numFmtId="166" fontId="38" fillId="0" borderId="1" xfId="1" applyNumberFormat="1" applyFont="1" applyBorder="1"/>
    <xf numFmtId="168" fontId="38" fillId="0" borderId="1" xfId="3034" applyNumberFormat="1" applyFont="1" applyBorder="1"/>
    <xf numFmtId="5" fontId="38" fillId="0" borderId="0" xfId="1227" applyNumberFormat="1" applyFont="1" applyAlignment="1">
      <alignment horizontal="left" indent="1"/>
    </xf>
    <xf numFmtId="5" fontId="38" fillId="0" borderId="9" xfId="1227" applyNumberFormat="1" applyFont="1" applyBorder="1"/>
    <xf numFmtId="5" fontId="38" fillId="0" borderId="9" xfId="1227" applyNumberFormat="1" applyFont="1" applyFill="1" applyBorder="1"/>
    <xf numFmtId="5" fontId="38" fillId="0" borderId="0" xfId="1227" applyNumberFormat="1" applyFont="1" applyFill="1"/>
    <xf numFmtId="3" fontId="38" fillId="0" borderId="0" xfId="1227" applyNumberFormat="1" applyFont="1" applyAlignment="1">
      <alignment horizontal="left" indent="1"/>
    </xf>
    <xf numFmtId="5" fontId="50" fillId="0" borderId="0" xfId="1227" applyNumberFormat="1" applyFont="1"/>
    <xf numFmtId="181" fontId="38" fillId="0" borderId="0" xfId="1227" applyNumberFormat="1" applyFont="1"/>
    <xf numFmtId="5" fontId="38" fillId="0" borderId="0" xfId="1227" applyNumberFormat="1" applyFont="1" applyBorder="1"/>
    <xf numFmtId="5" fontId="47" fillId="0" borderId="9" xfId="1227" applyNumberFormat="1" applyFont="1" applyBorder="1"/>
    <xf numFmtId="5" fontId="52" fillId="0" borderId="0" xfId="1227" applyNumberFormat="1" applyFont="1"/>
    <xf numFmtId="10" fontId="52" fillId="0" borderId="0" xfId="1227" applyNumberFormat="1" applyFont="1"/>
    <xf numFmtId="0" fontId="53" fillId="0" borderId="0" xfId="1227" applyFont="1" applyAlignment="1"/>
    <xf numFmtId="10" fontId="38" fillId="0" borderId="0" xfId="1227" applyNumberFormat="1" applyFont="1"/>
    <xf numFmtId="7" fontId="20" fillId="0" borderId="0" xfId="1227" applyNumberFormat="1"/>
    <xf numFmtId="0" fontId="47" fillId="0" borderId="0" xfId="1227" applyFont="1"/>
    <xf numFmtId="166" fontId="38" fillId="0" borderId="0" xfId="1227" applyNumberFormat="1" applyFont="1"/>
    <xf numFmtId="0" fontId="38" fillId="0" borderId="9" xfId="1227" applyFont="1" applyBorder="1"/>
    <xf numFmtId="0" fontId="38" fillId="0" borderId="0" xfId="1227" applyFont="1" applyFill="1"/>
    <xf numFmtId="186" fontId="27" fillId="0" borderId="0" xfId="21" applyNumberFormat="1" applyFont="1">
      <alignment readingOrder="1"/>
    </xf>
    <xf numFmtId="3" fontId="79" fillId="0" borderId="0" xfId="43039" applyNumberFormat="1" applyFont="1" applyFill="1" applyAlignment="1">
      <alignment horizontal="left" indent="1"/>
    </xf>
    <xf numFmtId="166" fontId="20" fillId="0" borderId="0" xfId="1" applyNumberFormat="1">
      <alignment readingOrder="1"/>
    </xf>
    <xf numFmtId="3" fontId="80" fillId="0" borderId="0" xfId="43039" applyNumberFormat="1" applyFont="1" applyFill="1"/>
    <xf numFmtId="0" fontId="20" fillId="0" borderId="0" xfId="1227" applyFont="1" applyAlignment="1">
      <alignment horizontal="center"/>
    </xf>
    <xf numFmtId="0" fontId="27" fillId="0" borderId="0" xfId="1227" applyFont="1" applyFill="1">
      <alignment readingOrder="1"/>
    </xf>
    <xf numFmtId="0" fontId="26" fillId="0" borderId="0" xfId="1227" applyFont="1" applyFill="1" applyAlignment="1">
      <alignment horizontal="left" indent="1" readingOrder="1"/>
    </xf>
    <xf numFmtId="0" fontId="26" fillId="0" borderId="0" xfId="1227" applyFont="1" applyFill="1" applyBorder="1" applyAlignment="1">
      <alignment horizontal="left" indent="1" readingOrder="1"/>
    </xf>
    <xf numFmtId="0" fontId="20" fillId="0" borderId="0" xfId="1227" applyFill="1">
      <alignment readingOrder="1"/>
    </xf>
    <xf numFmtId="3" fontId="80" fillId="0" borderId="0" xfId="43040" applyNumberFormat="1" applyFont="1" applyFill="1"/>
    <xf numFmtId="3" fontId="80" fillId="0" borderId="0" xfId="43039" applyNumberFormat="1" applyFont="1"/>
    <xf numFmtId="0" fontId="1" fillId="0" borderId="0" xfId="21" applyFont="1">
      <alignment readingOrder="1"/>
    </xf>
    <xf numFmtId="10" fontId="65" fillId="0" borderId="9" xfId="42" applyNumberFormat="1" applyFont="1" applyFill="1" applyBorder="1" applyAlignment="1">
      <alignment horizontal="center"/>
    </xf>
    <xf numFmtId="0" fontId="0" fillId="9" borderId="0" xfId="0" applyFill="1"/>
    <xf numFmtId="166" fontId="196" fillId="0" borderId="0" xfId="1" applyNumberFormat="1" applyFont="1" applyFill="1" applyBorder="1" applyAlignment="1">
      <alignment horizontal="right"/>
    </xf>
    <xf numFmtId="0" fontId="27" fillId="9" borderId="0" xfId="0" applyFont="1" applyFill="1"/>
    <xf numFmtId="10" fontId="65" fillId="75" borderId="26" xfId="34" applyNumberFormat="1" applyFont="1" applyFill="1" applyBorder="1" applyAlignment="1">
      <alignment horizontal="center"/>
    </xf>
    <xf numFmtId="5" fontId="39" fillId="0" borderId="0" xfId="0" quotePrefix="1" applyNumberFormat="1" applyFont="1" applyFill="1" applyBorder="1" applyAlignment="1">
      <alignment horizontal="center"/>
    </xf>
    <xf numFmtId="5" fontId="39" fillId="0" borderId="67" xfId="0" applyNumberFormat="1" applyFont="1" applyFill="1" applyBorder="1"/>
    <xf numFmtId="3" fontId="35" fillId="0" borderId="50" xfId="23" applyNumberFormat="1" applyFont="1" applyFill="1" applyBorder="1" applyAlignment="1">
      <alignment horizontal="center"/>
    </xf>
    <xf numFmtId="3" fontId="34" fillId="0" borderId="0" xfId="23" applyNumberFormat="1" applyFont="1" applyFill="1" applyBorder="1" applyAlignment="1">
      <alignment horizontal="center"/>
    </xf>
    <xf numFmtId="3" fontId="92" fillId="0" borderId="0" xfId="23" applyNumberFormat="1" applyFont="1" applyFill="1" applyBorder="1" applyAlignment="1">
      <alignment horizontal="center"/>
    </xf>
    <xf numFmtId="3" fontId="21" fillId="0" borderId="0" xfId="23" applyNumberFormat="1" applyFont="1" applyFill="1" applyAlignment="1">
      <alignment horizontal="center"/>
    </xf>
    <xf numFmtId="41" fontId="22" fillId="75" borderId="6" xfId="40" applyNumberFormat="1" applyFont="1" applyFill="1" applyBorder="1"/>
    <xf numFmtId="168" fontId="35" fillId="0" borderId="69" xfId="10" applyNumberFormat="1" applyFont="1" applyFill="1" applyBorder="1"/>
    <xf numFmtId="168" fontId="35" fillId="0" borderId="70" xfId="10" applyNumberFormat="1" applyFont="1" applyFill="1" applyBorder="1"/>
    <xf numFmtId="41" fontId="21" fillId="0" borderId="0" xfId="23" applyNumberFormat="1" applyFont="1" applyFill="1"/>
    <xf numFmtId="168" fontId="35" fillId="0" borderId="36" xfId="10" applyNumberFormat="1" applyFont="1" applyFill="1" applyBorder="1"/>
    <xf numFmtId="0" fontId="199" fillId="0" borderId="0" xfId="0" applyFont="1"/>
    <xf numFmtId="3" fontId="194" fillId="0" borderId="0" xfId="23" applyNumberFormat="1" applyFont="1" applyFill="1"/>
    <xf numFmtId="0" fontId="194" fillId="0" borderId="0" xfId="23" applyFont="1" applyFill="1"/>
    <xf numFmtId="0" fontId="194" fillId="0" borderId="0" xfId="23" applyFont="1" applyFill="1" applyBorder="1"/>
    <xf numFmtId="0" fontId="94" fillId="0" borderId="0" xfId="0" applyFont="1" applyFill="1"/>
    <xf numFmtId="0" fontId="94" fillId="0" borderId="0" xfId="0" applyFont="1" applyFill="1" applyBorder="1"/>
    <xf numFmtId="168" fontId="194" fillId="0" borderId="0" xfId="10" applyNumberFormat="1" applyFont="1" applyFill="1" applyBorder="1"/>
    <xf numFmtId="168" fontId="194" fillId="0" borderId="0" xfId="10" applyNumberFormat="1" applyFont="1" applyFill="1" applyAlignment="1">
      <alignment horizontal="center"/>
    </xf>
    <xf numFmtId="10" fontId="194" fillId="0" borderId="0" xfId="42" applyNumberFormat="1" applyFont="1" applyFill="1" applyAlignment="1">
      <alignment horizontal="center"/>
    </xf>
    <xf numFmtId="168" fontId="194" fillId="0" borderId="0" xfId="10" applyNumberFormat="1" applyFont="1" applyFill="1"/>
    <xf numFmtId="168" fontId="194" fillId="0" borderId="1" xfId="10" applyNumberFormat="1" applyFont="1" applyFill="1" applyBorder="1"/>
    <xf numFmtId="168" fontId="194" fillId="0" borderId="1" xfId="10" applyNumberFormat="1" applyFont="1" applyFill="1" applyBorder="1" applyAlignment="1">
      <alignment horizontal="center"/>
    </xf>
    <xf numFmtId="10" fontId="194" fillId="0" borderId="1" xfId="42" applyNumberFormat="1" applyFont="1" applyFill="1" applyBorder="1" applyAlignment="1">
      <alignment horizontal="center"/>
    </xf>
    <xf numFmtId="175" fontId="194" fillId="0" borderId="1" xfId="1" applyNumberFormat="1" applyFont="1" applyFill="1" applyBorder="1" applyAlignment="1">
      <alignment horizontal="center"/>
    </xf>
    <xf numFmtId="168" fontId="194" fillId="0" borderId="9" xfId="10" applyNumberFormat="1" applyFont="1" applyFill="1" applyBorder="1"/>
    <xf numFmtId="168" fontId="194" fillId="0" borderId="9" xfId="10" applyNumberFormat="1" applyFont="1" applyFill="1" applyBorder="1" applyAlignment="1">
      <alignment horizontal="center"/>
    </xf>
    <xf numFmtId="0" fontId="93" fillId="0" borderId="0" xfId="23" applyFont="1" applyFill="1" applyBorder="1"/>
    <xf numFmtId="166" fontId="194" fillId="0" borderId="0" xfId="1" applyNumberFormat="1" applyFont="1" applyFill="1" applyAlignment="1">
      <alignment horizontal="center"/>
    </xf>
    <xf numFmtId="175" fontId="194" fillId="0" borderId="0" xfId="1" applyNumberFormat="1" applyFont="1" applyFill="1" applyAlignment="1">
      <alignment horizontal="center"/>
    </xf>
    <xf numFmtId="165" fontId="194" fillId="0" borderId="0" xfId="42" applyNumberFormat="1" applyFont="1" applyFill="1" applyAlignment="1">
      <alignment horizontal="center"/>
    </xf>
    <xf numFmtId="10" fontId="194" fillId="0" borderId="0" xfId="42" applyNumberFormat="1" applyFont="1" applyFill="1" applyBorder="1" applyAlignment="1">
      <alignment horizontal="center"/>
    </xf>
    <xf numFmtId="3" fontId="194" fillId="0" borderId="0" xfId="23" applyNumberFormat="1" applyFont="1" applyFill="1" applyBorder="1"/>
    <xf numFmtId="3" fontId="194" fillId="0" borderId="0" xfId="23" applyNumberFormat="1" applyFont="1" applyFill="1" applyBorder="1" applyAlignment="1">
      <alignment wrapText="1"/>
    </xf>
    <xf numFmtId="166" fontId="194" fillId="0" borderId="0" xfId="1" applyNumberFormat="1" applyFont="1" applyFill="1" applyBorder="1"/>
    <xf numFmtId="44" fontId="194" fillId="0" borderId="1" xfId="10" applyNumberFormat="1" applyFont="1" applyFill="1" applyBorder="1"/>
    <xf numFmtId="168" fontId="194" fillId="0" borderId="2" xfId="10" applyNumberFormat="1" applyFont="1" applyFill="1" applyBorder="1" applyAlignment="1">
      <alignment horizontal="center"/>
    </xf>
    <xf numFmtId="10" fontId="194" fillId="0" borderId="9" xfId="42" applyNumberFormat="1" applyFont="1" applyFill="1" applyBorder="1" applyAlignment="1">
      <alignment horizontal="center"/>
    </xf>
    <xf numFmtId="3" fontId="200" fillId="0" borderId="0" xfId="23" applyNumberFormat="1" applyFont="1" applyFill="1" applyBorder="1" applyAlignment="1">
      <alignment horizontal="center" wrapText="1"/>
    </xf>
    <xf numFmtId="3" fontId="194" fillId="0" borderId="1" xfId="23" applyNumberFormat="1" applyFont="1" applyFill="1" applyBorder="1" applyAlignment="1">
      <alignment horizontal="center" vertical="center" wrapText="1"/>
    </xf>
    <xf numFmtId="172" fontId="194" fillId="0" borderId="1" xfId="1" applyNumberFormat="1" applyFont="1" applyFill="1" applyBorder="1" applyAlignment="1">
      <alignment horizontal="center" vertical="center" wrapText="1"/>
    </xf>
    <xf numFmtId="3" fontId="194" fillId="0" borderId="1" xfId="1" applyNumberFormat="1" applyFont="1" applyFill="1" applyBorder="1" applyAlignment="1">
      <alignment horizontal="center" vertical="center" wrapText="1"/>
    </xf>
    <xf numFmtId="3" fontId="194" fillId="0" borderId="16" xfId="1" applyNumberFormat="1" applyFont="1" applyFill="1" applyBorder="1" applyAlignment="1">
      <alignment horizontal="center" vertical="center" wrapText="1"/>
    </xf>
    <xf numFmtId="3" fontId="194" fillId="0" borderId="50" xfId="23" applyNumberFormat="1" applyFont="1" applyFill="1" applyBorder="1" applyAlignment="1">
      <alignment horizontal="left"/>
    </xf>
    <xf numFmtId="3" fontId="93" fillId="0" borderId="51" xfId="23" applyNumberFormat="1" applyFont="1" applyFill="1" applyBorder="1" applyAlignment="1">
      <alignment horizontal="center"/>
    </xf>
    <xf numFmtId="3" fontId="194" fillId="0" borderId="49" xfId="23" applyNumberFormat="1" applyFont="1" applyFill="1" applyBorder="1" applyAlignment="1">
      <alignment horizontal="center"/>
    </xf>
    <xf numFmtId="3" fontId="194" fillId="0" borderId="50" xfId="23" applyNumberFormat="1" applyFont="1" applyFill="1" applyBorder="1" applyAlignment="1">
      <alignment horizontal="center"/>
    </xf>
    <xf numFmtId="3" fontId="93" fillId="0" borderId="50" xfId="23" applyNumberFormat="1" applyFont="1" applyFill="1" applyBorder="1" applyAlignment="1">
      <alignment horizontal="center"/>
    </xf>
    <xf numFmtId="3" fontId="194" fillId="0" borderId="0" xfId="23" applyNumberFormat="1" applyFont="1" applyFill="1" applyBorder="1" applyAlignment="1">
      <alignment horizontal="center"/>
    </xf>
    <xf numFmtId="3" fontId="194" fillId="0" borderId="16" xfId="23" applyNumberFormat="1" applyFont="1" applyFill="1" applyBorder="1" applyAlignment="1">
      <alignment horizontal="center" vertical="center" wrapText="1"/>
    </xf>
    <xf numFmtId="3" fontId="194" fillId="0" borderId="0" xfId="23" applyNumberFormat="1" applyFont="1" applyFill="1" applyBorder="1" applyAlignment="1">
      <alignment horizontal="center" wrapText="1"/>
    </xf>
    <xf numFmtId="168" fontId="194" fillId="0" borderId="0" xfId="42" applyNumberFormat="1" applyFont="1" applyFill="1"/>
    <xf numFmtId="166" fontId="194" fillId="0" borderId="0" xfId="1" applyNumberFormat="1" applyFont="1" applyFill="1"/>
    <xf numFmtId="168" fontId="194" fillId="0" borderId="0" xfId="11" applyNumberFormat="1" applyFont="1" applyFill="1" applyAlignment="1">
      <alignment horizontal="center"/>
    </xf>
    <xf numFmtId="168" fontId="194" fillId="0" borderId="0" xfId="11" applyNumberFormat="1" applyFont="1" applyFill="1"/>
    <xf numFmtId="168" fontId="194" fillId="0" borderId="0" xfId="11" applyNumberFormat="1" applyFont="1" applyFill="1" applyBorder="1"/>
    <xf numFmtId="168" fontId="194" fillId="0" borderId="11" xfId="10" applyNumberFormat="1" applyFont="1" applyFill="1" applyBorder="1"/>
    <xf numFmtId="168" fontId="194" fillId="0" borderId="0" xfId="10" applyNumberFormat="1" applyFont="1" applyFill="1" applyBorder="1" applyAlignment="1">
      <alignment horizontal="center"/>
    </xf>
    <xf numFmtId="168" fontId="194" fillId="75" borderId="0" xfId="10" applyNumberFormat="1" applyFont="1" applyFill="1" applyBorder="1"/>
    <xf numFmtId="168" fontId="194" fillId="0" borderId="1" xfId="11" applyNumberFormat="1" applyFont="1" applyFill="1" applyBorder="1"/>
    <xf numFmtId="3" fontId="194" fillId="0" borderId="0" xfId="23" applyNumberFormat="1" applyFont="1" applyFill="1" applyAlignment="1">
      <alignment wrapText="1"/>
    </xf>
    <xf numFmtId="165" fontId="194" fillId="0" borderId="0" xfId="23" applyNumberFormat="1" applyFont="1" applyFill="1" applyBorder="1"/>
    <xf numFmtId="168" fontId="202" fillId="0" borderId="0" xfId="10" applyNumberFormat="1" applyFont="1" applyFill="1" applyBorder="1"/>
    <xf numFmtId="168" fontId="194" fillId="0" borderId="11" xfId="10" applyNumberFormat="1" applyFont="1" applyFill="1" applyBorder="1" applyAlignment="1">
      <alignment horizontal="center"/>
    </xf>
    <xf numFmtId="10" fontId="194" fillId="0" borderId="11" xfId="42" applyNumberFormat="1" applyFont="1" applyFill="1" applyBorder="1" applyAlignment="1">
      <alignment horizontal="center"/>
    </xf>
    <xf numFmtId="3" fontId="194" fillId="75" borderId="0" xfId="23" applyNumberFormat="1" applyFont="1" applyFill="1"/>
    <xf numFmtId="0" fontId="194" fillId="75" borderId="0" xfId="23" applyFont="1" applyFill="1" applyBorder="1"/>
    <xf numFmtId="168" fontId="194" fillId="0" borderId="0" xfId="42" applyNumberFormat="1" applyFont="1" applyFill="1" applyBorder="1" applyAlignment="1">
      <alignment horizontal="center"/>
    </xf>
    <xf numFmtId="168" fontId="194" fillId="0" borderId="0" xfId="42" applyNumberFormat="1" applyFont="1" applyFill="1" applyAlignment="1">
      <alignment horizontal="center"/>
    </xf>
    <xf numFmtId="166" fontId="194" fillId="0" borderId="0" xfId="1" applyNumberFormat="1" applyFont="1" applyFill="1" applyBorder="1" applyAlignment="1">
      <alignment horizontal="center"/>
    </xf>
    <xf numFmtId="10" fontId="93" fillId="0" borderId="0" xfId="42" applyNumberFormat="1" applyFont="1" applyFill="1" applyBorder="1" applyAlignment="1">
      <alignment horizontal="center"/>
    </xf>
    <xf numFmtId="3" fontId="194" fillId="0" borderId="22" xfId="23" applyNumberFormat="1" applyFont="1" applyFill="1" applyBorder="1"/>
    <xf numFmtId="0" fontId="194" fillId="0" borderId="12" xfId="23" applyFont="1" applyFill="1" applyBorder="1"/>
    <xf numFmtId="168" fontId="194" fillId="0" borderId="12" xfId="23" applyNumberFormat="1" applyFont="1" applyFill="1" applyBorder="1"/>
    <xf numFmtId="166" fontId="194" fillId="0" borderId="12" xfId="1" applyNumberFormat="1" applyFont="1" applyFill="1" applyBorder="1"/>
    <xf numFmtId="172" fontId="194" fillId="0" borderId="12" xfId="23" applyNumberFormat="1" applyFont="1" applyFill="1" applyBorder="1" applyAlignment="1">
      <alignment horizontal="center"/>
    </xf>
    <xf numFmtId="3" fontId="194" fillId="0" borderId="12" xfId="23" applyNumberFormat="1" applyFont="1" applyFill="1" applyBorder="1"/>
    <xf numFmtId="168" fontId="194" fillId="0" borderId="12" xfId="10" applyNumberFormat="1" applyFont="1" applyFill="1" applyBorder="1"/>
    <xf numFmtId="3" fontId="194" fillId="0" borderId="14" xfId="0" applyNumberFormat="1" applyFont="1" applyFill="1" applyBorder="1"/>
    <xf numFmtId="3" fontId="194" fillId="0" borderId="0" xfId="0" applyNumberFormat="1" applyFont="1" applyFill="1" applyBorder="1"/>
    <xf numFmtId="0" fontId="194" fillId="0" borderId="0" xfId="0" applyFont="1" applyFill="1" applyBorder="1" applyAlignment="1"/>
    <xf numFmtId="172" fontId="194" fillId="0" borderId="0" xfId="23" applyNumberFormat="1" applyFont="1" applyFill="1" applyBorder="1" applyAlignment="1">
      <alignment vertical="top"/>
    </xf>
    <xf numFmtId="3" fontId="194" fillId="0" borderId="0" xfId="0" applyNumberFormat="1" applyFont="1" applyFill="1" applyBorder="1" applyAlignment="1">
      <alignment wrapText="1"/>
    </xf>
    <xf numFmtId="184" fontId="194" fillId="0" borderId="0" xfId="0" applyNumberFormat="1" applyFont="1" applyFill="1" applyBorder="1" applyAlignment="1">
      <alignment horizontal="center"/>
    </xf>
    <xf numFmtId="176" fontId="194" fillId="0" borderId="0" xfId="42" applyNumberFormat="1" applyFont="1" applyFill="1" applyBorder="1" applyAlignment="1">
      <alignment horizontal="center"/>
    </xf>
    <xf numFmtId="3" fontId="194" fillId="0" borderId="19" xfId="0" applyNumberFormat="1" applyFont="1" applyFill="1" applyBorder="1"/>
    <xf numFmtId="3" fontId="194" fillId="0" borderId="13" xfId="0" applyNumberFormat="1" applyFont="1" applyFill="1" applyBorder="1"/>
    <xf numFmtId="3" fontId="93" fillId="0" borderId="13" xfId="0" applyNumberFormat="1" applyFont="1" applyFill="1" applyBorder="1"/>
    <xf numFmtId="3" fontId="194" fillId="0" borderId="13" xfId="42" applyNumberFormat="1" applyFont="1" applyFill="1" applyBorder="1" applyAlignment="1">
      <alignment horizontal="center"/>
    </xf>
    <xf numFmtId="172" fontId="194" fillId="0" borderId="13" xfId="23" applyNumberFormat="1" applyFont="1" applyFill="1" applyBorder="1" applyAlignment="1">
      <alignment vertical="top"/>
    </xf>
    <xf numFmtId="172" fontId="194" fillId="0" borderId="0" xfId="23" applyNumberFormat="1" applyFont="1" applyFill="1" applyBorder="1"/>
    <xf numFmtId="3" fontId="194" fillId="0" borderId="0" xfId="1" applyNumberFormat="1" applyFont="1" applyFill="1" applyBorder="1" applyAlignment="1">
      <alignment horizontal="center" vertical="center" wrapText="1"/>
    </xf>
    <xf numFmtId="182" fontId="194" fillId="0" borderId="0" xfId="23" applyNumberFormat="1" applyFont="1" applyFill="1" applyBorder="1" applyAlignment="1">
      <alignment horizontal="center"/>
    </xf>
    <xf numFmtId="168" fontId="93" fillId="75" borderId="0" xfId="10" applyNumberFormat="1" applyFont="1" applyFill="1" applyBorder="1"/>
    <xf numFmtId="3" fontId="194" fillId="0" borderId="50" xfId="23" applyNumberFormat="1" applyFont="1" applyFill="1" applyBorder="1"/>
    <xf numFmtId="168" fontId="194" fillId="75" borderId="50" xfId="10" applyNumberFormat="1" applyFont="1" applyFill="1" applyBorder="1" applyAlignment="1">
      <alignment horizontal="center"/>
    </xf>
    <xf numFmtId="168" fontId="93" fillId="75" borderId="50" xfId="10" applyNumberFormat="1" applyFont="1" applyFill="1" applyBorder="1"/>
    <xf numFmtId="168" fontId="22" fillId="0" borderId="51" xfId="23" applyNumberFormat="1" applyFont="1" applyFill="1" applyBorder="1"/>
    <xf numFmtId="9" fontId="35" fillId="0" borderId="0" xfId="42" applyFont="1" applyFill="1" applyBorder="1"/>
    <xf numFmtId="168" fontId="21" fillId="0" borderId="0" xfId="23" applyNumberFormat="1" applyFont="1" applyFill="1" applyBorder="1"/>
    <xf numFmtId="0" fontId="21" fillId="75" borderId="0" xfId="23" applyFont="1" applyFill="1" applyBorder="1"/>
    <xf numFmtId="168" fontId="39" fillId="0" borderId="0" xfId="42" applyNumberFormat="1" applyFont="1" applyFill="1" applyBorder="1" applyAlignment="1">
      <alignment horizontal="center"/>
    </xf>
    <xf numFmtId="10" fontId="194" fillId="0" borderId="52" xfId="42" applyNumberFormat="1" applyFont="1" applyFill="1" applyBorder="1" applyAlignment="1">
      <alignment horizontal="center"/>
    </xf>
    <xf numFmtId="0" fontId="27" fillId="0" borderId="0" xfId="23" applyFont="1" applyFill="1" applyAlignment="1">
      <alignment horizontal="center"/>
    </xf>
    <xf numFmtId="172" fontId="194" fillId="0" borderId="0" xfId="23" applyNumberFormat="1" applyFont="1" applyFill="1" applyAlignment="1">
      <alignment horizontal="center"/>
    </xf>
    <xf numFmtId="0" fontId="39" fillId="75" borderId="0" xfId="23" applyFont="1" applyFill="1" applyBorder="1"/>
    <xf numFmtId="168" fontId="35" fillId="75" borderId="0" xfId="10" applyNumberFormat="1" applyFont="1" applyFill="1" applyBorder="1"/>
    <xf numFmtId="10" fontId="35" fillId="75" borderId="0" xfId="42" applyNumberFormat="1" applyFont="1" applyFill="1" applyAlignment="1">
      <alignment horizontal="center"/>
    </xf>
    <xf numFmtId="168" fontId="22" fillId="0" borderId="0" xfId="23" applyNumberFormat="1" applyFont="1" applyFill="1" applyBorder="1"/>
    <xf numFmtId="168" fontId="93" fillId="0" borderId="0" xfId="10" quotePrefix="1" applyNumberFormat="1" applyFont="1" applyFill="1" applyBorder="1" applyAlignment="1">
      <alignment horizontal="center"/>
    </xf>
    <xf numFmtId="5" fontId="203" fillId="75" borderId="0" xfId="10" quotePrefix="1" applyNumberFormat="1" applyFont="1" applyFill="1" applyBorder="1" applyAlignment="1">
      <alignment horizontal="center" vertical="top"/>
    </xf>
    <xf numFmtId="43" fontId="0" fillId="0" borderId="0" xfId="0" applyNumberFormat="1"/>
    <xf numFmtId="0" fontId="27" fillId="0" borderId="0" xfId="0" applyFont="1" applyAlignment="1">
      <alignment horizontal="center"/>
    </xf>
    <xf numFmtId="37" fontId="21" fillId="0" borderId="0" xfId="40" applyNumberFormat="1" applyFont="1" applyFill="1" applyBorder="1"/>
    <xf numFmtId="0" fontId="93" fillId="0" borderId="0" xfId="0" applyFont="1" applyAlignment="1">
      <alignment horizontal="center"/>
    </xf>
    <xf numFmtId="0" fontId="93" fillId="75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75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0" fillId="0" borderId="0" xfId="19" applyFont="1" applyAlignment="1">
      <alignment horizontal="center"/>
    </xf>
    <xf numFmtId="0" fontId="40" fillId="75" borderId="0" xfId="19" applyFont="1" applyFill="1" applyAlignment="1">
      <alignment horizontal="center"/>
    </xf>
    <xf numFmtId="3" fontId="194" fillId="0" borderId="49" xfId="23" applyNumberFormat="1" applyFont="1" applyFill="1" applyBorder="1" applyAlignment="1">
      <alignment horizontal="center"/>
    </xf>
    <xf numFmtId="3" fontId="194" fillId="0" borderId="50" xfId="23" applyNumberFormat="1" applyFont="1" applyFill="1" applyBorder="1" applyAlignment="1">
      <alignment horizontal="center"/>
    </xf>
    <xf numFmtId="3" fontId="194" fillId="0" borderId="51" xfId="23" applyNumberFormat="1" applyFont="1" applyFill="1" applyBorder="1" applyAlignment="1">
      <alignment horizontal="center"/>
    </xf>
    <xf numFmtId="3" fontId="194" fillId="0" borderId="49" xfId="23" applyNumberFormat="1" applyFont="1" applyFill="1" applyBorder="1" applyAlignment="1">
      <alignment horizontal="left"/>
    </xf>
    <xf numFmtId="3" fontId="194" fillId="0" borderId="50" xfId="23" applyNumberFormat="1" applyFont="1" applyFill="1" applyBorder="1" applyAlignment="1">
      <alignment horizontal="left"/>
    </xf>
    <xf numFmtId="3" fontId="34" fillId="0" borderId="0" xfId="23" applyNumberFormat="1" applyFont="1" applyFill="1" applyBorder="1" applyAlignment="1">
      <alignment horizontal="center"/>
    </xf>
    <xf numFmtId="3" fontId="92" fillId="0" borderId="13" xfId="23" applyNumberFormat="1" applyFont="1" applyFill="1" applyBorder="1" applyAlignment="1">
      <alignment horizontal="center"/>
    </xf>
    <xf numFmtId="3" fontId="92" fillId="0" borderId="0" xfId="23" applyNumberFormat="1" applyFont="1" applyFill="1" applyBorder="1" applyAlignment="1">
      <alignment horizontal="center"/>
    </xf>
    <xf numFmtId="3" fontId="35" fillId="0" borderId="49" xfId="23" applyNumberFormat="1" applyFont="1" applyFill="1" applyBorder="1" applyAlignment="1">
      <alignment horizontal="center"/>
    </xf>
    <xf numFmtId="3" fontId="35" fillId="0" borderId="50" xfId="23" applyNumberFormat="1" applyFont="1" applyFill="1" applyBorder="1" applyAlignment="1">
      <alignment horizontal="center"/>
    </xf>
    <xf numFmtId="3" fontId="35" fillId="0" borderId="51" xfId="23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10" fontId="61" fillId="0" borderId="0" xfId="42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0" fontId="193" fillId="75" borderId="0" xfId="0" applyFont="1" applyFill="1" applyAlignment="1">
      <alignment horizontal="left"/>
    </xf>
    <xf numFmtId="0" fontId="69" fillId="0" borderId="13" xfId="143" applyFont="1" applyFill="1" applyBorder="1" applyAlignment="1">
      <alignment horizontal="center"/>
    </xf>
    <xf numFmtId="0" fontId="42" fillId="0" borderId="0" xfId="1227" applyFont="1" applyAlignment="1">
      <alignment wrapText="1"/>
    </xf>
    <xf numFmtId="7" fontId="52" fillId="0" borderId="0" xfId="1227" applyNumberFormat="1" applyFont="1" applyAlignment="1">
      <alignment wrapText="1"/>
    </xf>
    <xf numFmtId="0" fontId="20" fillId="0" borderId="0" xfId="1227"/>
    <xf numFmtId="0" fontId="64" fillId="0" borderId="0" xfId="36" applyFont="1" applyAlignment="1">
      <alignment horizontal="center" wrapText="1"/>
    </xf>
    <xf numFmtId="0" fontId="73" fillId="0" borderId="0" xfId="36" applyAlignment="1">
      <alignment horizontal="center"/>
    </xf>
    <xf numFmtId="0" fontId="20" fillId="0" borderId="0" xfId="23" applyAlignment="1">
      <alignment horizontal="center"/>
    </xf>
    <xf numFmtId="0" fontId="20" fillId="0" borderId="0" xfId="23" applyFont="1" applyBorder="1" applyAlignment="1">
      <alignment horizontal="center"/>
    </xf>
    <xf numFmtId="0" fontId="20" fillId="0" borderId="0" xfId="23" applyFont="1" applyFill="1" applyBorder="1" applyAlignment="1">
      <alignment horizontal="center"/>
    </xf>
    <xf numFmtId="0" fontId="20" fillId="0" borderId="1" xfId="23" applyFont="1" applyFill="1" applyBorder="1" applyAlignment="1">
      <alignment horizontal="center"/>
    </xf>
    <xf numFmtId="0" fontId="20" fillId="0" borderId="1" xfId="23" applyFill="1" applyBorder="1" applyAlignment="1">
      <alignment horizontal="center"/>
    </xf>
  </cellXfs>
  <cellStyles count="43041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2 2" xfId="23903"/>
    <cellStyle name="20% - Accent1 10 3" xfId="22680"/>
    <cellStyle name="20% - Accent1 10 3 2" xfId="42554"/>
    <cellStyle name="20% - Accent1 10 4" xfId="23023"/>
    <cellStyle name="20% - Accent1 10 4 2" xfId="42897"/>
    <cellStyle name="20% - Accent1 10 5" xfId="23600"/>
    <cellStyle name="20% - Accent1 11" xfId="743"/>
    <cellStyle name="20% - Accent1 11 2" xfId="1076"/>
    <cellStyle name="20% - Accent1 11 2 2" xfId="23919"/>
    <cellStyle name="20% - Accent1 11 3" xfId="22707"/>
    <cellStyle name="20% - Accent1 11 3 2" xfId="42581"/>
    <cellStyle name="20% - Accent1 11 4" xfId="23039"/>
    <cellStyle name="20% - Accent1 11 4 2" xfId="42913"/>
    <cellStyle name="20% - Accent1 11 5" xfId="23616"/>
    <cellStyle name="20% - Accent1 12" xfId="769"/>
    <cellStyle name="20% - Accent1 12 2" xfId="1092"/>
    <cellStyle name="20% - Accent1 12 2 2" xfId="23935"/>
    <cellStyle name="20% - Accent1 12 3" xfId="22731"/>
    <cellStyle name="20% - Accent1 12 3 2" xfId="42605"/>
    <cellStyle name="20% - Accent1 12 4" xfId="23055"/>
    <cellStyle name="20% - Accent1 12 4 2" xfId="42929"/>
    <cellStyle name="20% - Accent1 12 5" xfId="23632"/>
    <cellStyle name="20% - Accent1 13" xfId="794"/>
    <cellStyle name="20% - Accent1 13 2" xfId="1108"/>
    <cellStyle name="20% - Accent1 13 2 2" xfId="23951"/>
    <cellStyle name="20% - Accent1 13 3" xfId="22709"/>
    <cellStyle name="20% - Accent1 13 3 2" xfId="42583"/>
    <cellStyle name="20% - Accent1 13 4" xfId="23071"/>
    <cellStyle name="20% - Accent1 13 4 2" xfId="42945"/>
    <cellStyle name="20% - Accent1 13 5" xfId="23648"/>
    <cellStyle name="20% - Accent1 14" xfId="816"/>
    <cellStyle name="20% - Accent1 14 2" xfId="1124"/>
    <cellStyle name="20% - Accent1 14 2 2" xfId="23967"/>
    <cellStyle name="20% - Accent1 14 3" xfId="22675"/>
    <cellStyle name="20% - Accent1 14 3 2" xfId="42549"/>
    <cellStyle name="20% - Accent1 14 4" xfId="23087"/>
    <cellStyle name="20% - Accent1 14 4 2" xfId="42961"/>
    <cellStyle name="20% - Accent1 14 5" xfId="23664"/>
    <cellStyle name="20% - Accent1 15" xfId="832"/>
    <cellStyle name="20% - Accent1 15 2" xfId="1140"/>
    <cellStyle name="20% - Accent1 15 2 2" xfId="23983"/>
    <cellStyle name="20% - Accent1 15 3" xfId="22667"/>
    <cellStyle name="20% - Accent1 15 3 2" xfId="42541"/>
    <cellStyle name="20% - Accent1 15 4" xfId="23103"/>
    <cellStyle name="20% - Accent1 15 4 2" xfId="42977"/>
    <cellStyle name="20% - Accent1 15 5" xfId="23680"/>
    <cellStyle name="20% - Accent1 16" xfId="856"/>
    <cellStyle name="20% - Accent1 16 2" xfId="23699"/>
    <cellStyle name="20% - Accent1 17" xfId="22819"/>
    <cellStyle name="20% - Accent1 17 2" xfId="42693"/>
    <cellStyle name="20% - Accent1 18" xfId="23393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2 2" xfId="35555"/>
    <cellStyle name="20% - Accent1 2 2 2 2 3" xfId="21824"/>
    <cellStyle name="20% - Accent1 2 2 2 2 3 2" xfId="41707"/>
    <cellStyle name="20% - Accent1 2 2 2 2 4" xfId="29402"/>
    <cellStyle name="20% - Accent1 2 2 2 3" xfId="12606"/>
    <cellStyle name="20% - Accent1 2 2 2 3 2" xfId="32489"/>
    <cellStyle name="20% - Accent1 2 2 2 4" xfId="18758"/>
    <cellStyle name="20% - Accent1 2 2 2 4 2" xfId="38641"/>
    <cellStyle name="20% - Accent1 2 2 2 5" xfId="26336"/>
    <cellStyle name="20% - Accent1 2 2 3" xfId="7944"/>
    <cellStyle name="20% - Accent1 2 2 3 2" xfId="14138"/>
    <cellStyle name="20% - Accent1 2 2 3 2 2" xfId="34021"/>
    <cellStyle name="20% - Accent1 2 2 3 3" xfId="20290"/>
    <cellStyle name="20% - Accent1 2 2 3 3 2" xfId="40173"/>
    <cellStyle name="20% - Accent1 2 2 3 4" xfId="27868"/>
    <cellStyle name="20% - Accent1 2 2 4" xfId="11072"/>
    <cellStyle name="20% - Accent1 2 2 4 2" xfId="30955"/>
    <cellStyle name="20% - Accent1 2 2 5" xfId="17224"/>
    <cellStyle name="20% - Accent1 2 2 5 2" xfId="37107"/>
    <cellStyle name="20% - Accent1 2 2 6" xfId="4768"/>
    <cellStyle name="20% - Accent1 2 2 6 2" xfId="24802"/>
    <cellStyle name="20% - Accent1 2 2 7" xfId="23775"/>
    <cellStyle name="20% - Accent1 2 3" xfId="5607"/>
    <cellStyle name="20% - Accent1 2 3 2" xfId="8710"/>
    <cellStyle name="20% - Accent1 2 3 2 2" xfId="14903"/>
    <cellStyle name="20% - Accent1 2 3 2 2 2" xfId="34786"/>
    <cellStyle name="20% - Accent1 2 3 2 3" xfId="21055"/>
    <cellStyle name="20% - Accent1 2 3 2 3 2" xfId="40938"/>
    <cellStyle name="20% - Accent1 2 3 2 4" xfId="28633"/>
    <cellStyle name="20% - Accent1 2 3 3" xfId="11837"/>
    <cellStyle name="20% - Accent1 2 3 3 2" xfId="31720"/>
    <cellStyle name="20% - Accent1 2 3 4" xfId="17989"/>
    <cellStyle name="20% - Accent1 2 3 4 2" xfId="37872"/>
    <cellStyle name="20% - Accent1 2 3 5" xfId="25567"/>
    <cellStyle name="20% - Accent1 2 4" xfId="7175"/>
    <cellStyle name="20% - Accent1 2 4 2" xfId="13369"/>
    <cellStyle name="20% - Accent1 2 4 2 2" xfId="33252"/>
    <cellStyle name="20% - Accent1 2 4 3" xfId="19521"/>
    <cellStyle name="20% - Accent1 2 4 3 2" xfId="39404"/>
    <cellStyle name="20% - Accent1 2 4 4" xfId="27099"/>
    <cellStyle name="20% - Accent1 2 5" xfId="10303"/>
    <cellStyle name="20% - Accent1 2 5 2" xfId="30186"/>
    <cellStyle name="20% - Accent1 2 6" xfId="16455"/>
    <cellStyle name="20% - Accent1 2 6 2" xfId="36338"/>
    <cellStyle name="20% - Accent1 2 7" xfId="1328"/>
    <cellStyle name="20% - Accent1 2 7 2" xfId="24033"/>
    <cellStyle name="20% - Accent1 2 8" xfId="22895"/>
    <cellStyle name="20% - Accent1 2 8 2" xfId="42769"/>
    <cellStyle name="20% - Accent1 2 9" xfId="23472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2 2" xfId="35556"/>
    <cellStyle name="20% - Accent1 3 2 2 2 3" xfId="21825"/>
    <cellStyle name="20% - Accent1 3 2 2 2 3 2" xfId="41708"/>
    <cellStyle name="20% - Accent1 3 2 2 2 4" xfId="29403"/>
    <cellStyle name="20% - Accent1 3 2 2 3" xfId="12607"/>
    <cellStyle name="20% - Accent1 3 2 2 3 2" xfId="32490"/>
    <cellStyle name="20% - Accent1 3 2 2 4" xfId="18759"/>
    <cellStyle name="20% - Accent1 3 2 2 4 2" xfId="38642"/>
    <cellStyle name="20% - Accent1 3 2 2 5" xfId="26337"/>
    <cellStyle name="20% - Accent1 3 2 3" xfId="7945"/>
    <cellStyle name="20% - Accent1 3 2 3 2" xfId="14139"/>
    <cellStyle name="20% - Accent1 3 2 3 2 2" xfId="34022"/>
    <cellStyle name="20% - Accent1 3 2 3 3" xfId="20291"/>
    <cellStyle name="20% - Accent1 3 2 3 3 2" xfId="40174"/>
    <cellStyle name="20% - Accent1 3 2 3 4" xfId="27869"/>
    <cellStyle name="20% - Accent1 3 2 4" xfId="11073"/>
    <cellStyle name="20% - Accent1 3 2 4 2" xfId="30956"/>
    <cellStyle name="20% - Accent1 3 2 5" xfId="17225"/>
    <cellStyle name="20% - Accent1 3 2 5 2" xfId="37108"/>
    <cellStyle name="20% - Accent1 3 2 6" xfId="4769"/>
    <cellStyle name="20% - Accent1 3 2 6 2" xfId="24803"/>
    <cellStyle name="20% - Accent1 3 2 7" xfId="23791"/>
    <cellStyle name="20% - Accent1 3 3" xfId="5608"/>
    <cellStyle name="20% - Accent1 3 3 2" xfId="8711"/>
    <cellStyle name="20% - Accent1 3 3 2 2" xfId="14904"/>
    <cellStyle name="20% - Accent1 3 3 2 2 2" xfId="34787"/>
    <cellStyle name="20% - Accent1 3 3 2 3" xfId="21056"/>
    <cellStyle name="20% - Accent1 3 3 2 3 2" xfId="40939"/>
    <cellStyle name="20% - Accent1 3 3 2 4" xfId="28634"/>
    <cellStyle name="20% - Accent1 3 3 3" xfId="11838"/>
    <cellStyle name="20% - Accent1 3 3 3 2" xfId="31721"/>
    <cellStyle name="20% - Accent1 3 3 4" xfId="17990"/>
    <cellStyle name="20% - Accent1 3 3 4 2" xfId="37873"/>
    <cellStyle name="20% - Accent1 3 3 5" xfId="25568"/>
    <cellStyle name="20% - Accent1 3 4" xfId="7176"/>
    <cellStyle name="20% - Accent1 3 4 2" xfId="13370"/>
    <cellStyle name="20% - Accent1 3 4 2 2" xfId="33253"/>
    <cellStyle name="20% - Accent1 3 4 3" xfId="19522"/>
    <cellStyle name="20% - Accent1 3 4 3 2" xfId="39405"/>
    <cellStyle name="20% - Accent1 3 4 4" xfId="27100"/>
    <cellStyle name="20% - Accent1 3 5" xfId="10304"/>
    <cellStyle name="20% - Accent1 3 5 2" xfId="30187"/>
    <cellStyle name="20% - Accent1 3 6" xfId="16456"/>
    <cellStyle name="20% - Accent1 3 6 2" xfId="36339"/>
    <cellStyle name="20% - Accent1 3 7" xfId="1329"/>
    <cellStyle name="20% - Accent1 3 7 2" xfId="24034"/>
    <cellStyle name="20% - Accent1 3 8" xfId="22911"/>
    <cellStyle name="20% - Accent1 3 8 2" xfId="42785"/>
    <cellStyle name="20% - Accent1 3 9" xfId="23488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2 2" xfId="35557"/>
    <cellStyle name="20% - Accent1 4 2 2 2 3" xfId="21826"/>
    <cellStyle name="20% - Accent1 4 2 2 2 3 2" xfId="41709"/>
    <cellStyle name="20% - Accent1 4 2 2 2 4" xfId="29404"/>
    <cellStyle name="20% - Accent1 4 2 2 3" xfId="12608"/>
    <cellStyle name="20% - Accent1 4 2 2 3 2" xfId="32491"/>
    <cellStyle name="20% - Accent1 4 2 2 4" xfId="18760"/>
    <cellStyle name="20% - Accent1 4 2 2 4 2" xfId="38643"/>
    <cellStyle name="20% - Accent1 4 2 2 5" xfId="26338"/>
    <cellStyle name="20% - Accent1 4 2 3" xfId="7946"/>
    <cellStyle name="20% - Accent1 4 2 3 2" xfId="14140"/>
    <cellStyle name="20% - Accent1 4 2 3 2 2" xfId="34023"/>
    <cellStyle name="20% - Accent1 4 2 3 3" xfId="20292"/>
    <cellStyle name="20% - Accent1 4 2 3 3 2" xfId="40175"/>
    <cellStyle name="20% - Accent1 4 2 3 4" xfId="27870"/>
    <cellStyle name="20% - Accent1 4 2 4" xfId="11074"/>
    <cellStyle name="20% - Accent1 4 2 4 2" xfId="30957"/>
    <cellStyle name="20% - Accent1 4 2 5" xfId="17226"/>
    <cellStyle name="20% - Accent1 4 2 5 2" xfId="37109"/>
    <cellStyle name="20% - Accent1 4 2 6" xfId="4770"/>
    <cellStyle name="20% - Accent1 4 2 6 2" xfId="24804"/>
    <cellStyle name="20% - Accent1 4 2 7" xfId="23807"/>
    <cellStyle name="20% - Accent1 4 3" xfId="5609"/>
    <cellStyle name="20% - Accent1 4 3 2" xfId="8712"/>
    <cellStyle name="20% - Accent1 4 3 2 2" xfId="14905"/>
    <cellStyle name="20% - Accent1 4 3 2 2 2" xfId="34788"/>
    <cellStyle name="20% - Accent1 4 3 2 3" xfId="21057"/>
    <cellStyle name="20% - Accent1 4 3 2 3 2" xfId="40940"/>
    <cellStyle name="20% - Accent1 4 3 2 4" xfId="28635"/>
    <cellStyle name="20% - Accent1 4 3 3" xfId="11839"/>
    <cellStyle name="20% - Accent1 4 3 3 2" xfId="31722"/>
    <cellStyle name="20% - Accent1 4 3 4" xfId="17991"/>
    <cellStyle name="20% - Accent1 4 3 4 2" xfId="37874"/>
    <cellStyle name="20% - Accent1 4 3 5" xfId="25569"/>
    <cellStyle name="20% - Accent1 4 4" xfId="7177"/>
    <cellStyle name="20% - Accent1 4 4 2" xfId="13371"/>
    <cellStyle name="20% - Accent1 4 4 2 2" xfId="33254"/>
    <cellStyle name="20% - Accent1 4 4 3" xfId="19523"/>
    <cellStyle name="20% - Accent1 4 4 3 2" xfId="39406"/>
    <cellStyle name="20% - Accent1 4 4 4" xfId="27101"/>
    <cellStyle name="20% - Accent1 4 5" xfId="10305"/>
    <cellStyle name="20% - Accent1 4 5 2" xfId="30188"/>
    <cellStyle name="20% - Accent1 4 6" xfId="16457"/>
    <cellStyle name="20% - Accent1 4 6 2" xfId="36340"/>
    <cellStyle name="20% - Accent1 4 7" xfId="1330"/>
    <cellStyle name="20% - Accent1 4 7 2" xfId="24035"/>
    <cellStyle name="20% - Accent1 4 8" xfId="22927"/>
    <cellStyle name="20% - Accent1 4 8 2" xfId="42801"/>
    <cellStyle name="20% - Accent1 4 9" xfId="23504"/>
    <cellStyle name="20% - Accent1 5" xfId="573"/>
    <cellStyle name="20% - Accent1 5 10" xfId="23520"/>
    <cellStyle name="20% - Accent1 5 2" xfId="980"/>
    <cellStyle name="20% - Accent1 5 2 2" xfId="6396"/>
    <cellStyle name="20% - Accent1 5 2 2 2" xfId="9482"/>
    <cellStyle name="20% - Accent1 5 2 2 2 2" xfId="15675"/>
    <cellStyle name="20% - Accent1 5 2 2 2 2 2" xfId="35558"/>
    <cellStyle name="20% - Accent1 5 2 2 2 3" xfId="21827"/>
    <cellStyle name="20% - Accent1 5 2 2 2 3 2" xfId="41710"/>
    <cellStyle name="20% - Accent1 5 2 2 2 4" xfId="29405"/>
    <cellStyle name="20% - Accent1 5 2 2 3" xfId="12609"/>
    <cellStyle name="20% - Accent1 5 2 2 3 2" xfId="32492"/>
    <cellStyle name="20% - Accent1 5 2 2 4" xfId="18761"/>
    <cellStyle name="20% - Accent1 5 2 2 4 2" xfId="38644"/>
    <cellStyle name="20% - Accent1 5 2 2 5" xfId="26339"/>
    <cellStyle name="20% - Accent1 5 2 3" xfId="7947"/>
    <cellStyle name="20% - Accent1 5 2 3 2" xfId="14141"/>
    <cellStyle name="20% - Accent1 5 2 3 2 2" xfId="34024"/>
    <cellStyle name="20% - Accent1 5 2 3 3" xfId="20293"/>
    <cellStyle name="20% - Accent1 5 2 3 3 2" xfId="40176"/>
    <cellStyle name="20% - Accent1 5 2 3 4" xfId="27871"/>
    <cellStyle name="20% - Accent1 5 2 4" xfId="11075"/>
    <cellStyle name="20% - Accent1 5 2 4 2" xfId="30958"/>
    <cellStyle name="20% - Accent1 5 2 5" xfId="17227"/>
    <cellStyle name="20% - Accent1 5 2 5 2" xfId="37110"/>
    <cellStyle name="20% - Accent1 5 2 6" xfId="4771"/>
    <cellStyle name="20% - Accent1 5 2 6 2" xfId="24805"/>
    <cellStyle name="20% - Accent1 5 2 7" xfId="23823"/>
    <cellStyle name="20% - Accent1 5 3" xfId="5610"/>
    <cellStyle name="20% - Accent1 5 3 2" xfId="8713"/>
    <cellStyle name="20% - Accent1 5 3 2 2" xfId="14906"/>
    <cellStyle name="20% - Accent1 5 3 2 2 2" xfId="34789"/>
    <cellStyle name="20% - Accent1 5 3 2 3" xfId="21058"/>
    <cellStyle name="20% - Accent1 5 3 2 3 2" xfId="40941"/>
    <cellStyle name="20% - Accent1 5 3 2 4" xfId="28636"/>
    <cellStyle name="20% - Accent1 5 3 3" xfId="11840"/>
    <cellStyle name="20% - Accent1 5 3 3 2" xfId="31723"/>
    <cellStyle name="20% - Accent1 5 3 4" xfId="17992"/>
    <cellStyle name="20% - Accent1 5 3 4 2" xfId="37875"/>
    <cellStyle name="20% - Accent1 5 3 5" xfId="25570"/>
    <cellStyle name="20% - Accent1 5 4" xfId="7178"/>
    <cellStyle name="20% - Accent1 5 4 2" xfId="13372"/>
    <cellStyle name="20% - Accent1 5 4 2 2" xfId="33255"/>
    <cellStyle name="20% - Accent1 5 4 3" xfId="19524"/>
    <cellStyle name="20% - Accent1 5 4 3 2" xfId="39407"/>
    <cellStyle name="20% - Accent1 5 4 4" xfId="27102"/>
    <cellStyle name="20% - Accent1 5 5" xfId="10306"/>
    <cellStyle name="20% - Accent1 5 5 2" xfId="30189"/>
    <cellStyle name="20% - Accent1 5 6" xfId="16458"/>
    <cellStyle name="20% - Accent1 5 6 2" xfId="36341"/>
    <cellStyle name="20% - Accent1 5 7" xfId="1331"/>
    <cellStyle name="20% - Accent1 5 7 2" xfId="24036"/>
    <cellStyle name="20% - Accent1 5 8" xfId="22749"/>
    <cellStyle name="20% - Accent1 5 8 2" xfId="42623"/>
    <cellStyle name="20% - Accent1 5 9" xfId="22943"/>
    <cellStyle name="20% - Accent1 5 9 2" xfId="42817"/>
    <cellStyle name="20% - Accent1 6" xfId="600"/>
    <cellStyle name="20% - Accent1 6 2" xfId="996"/>
    <cellStyle name="20% - Accent1 6 2 2" xfId="23839"/>
    <cellStyle name="20% - Accent1 6 3" xfId="1332"/>
    <cellStyle name="20% - Accent1 6 4" xfId="22766"/>
    <cellStyle name="20% - Accent1 6 4 2" xfId="42640"/>
    <cellStyle name="20% - Accent1 6 5" xfId="22959"/>
    <cellStyle name="20% - Accent1 6 5 2" xfId="42833"/>
    <cellStyle name="20% - Accent1 6 6" xfId="23536"/>
    <cellStyle name="20% - Accent1 7" xfId="624"/>
    <cellStyle name="20% - Accent1 7 2" xfId="1012"/>
    <cellStyle name="20% - Accent1 7 2 2" xfId="23855"/>
    <cellStyle name="20% - Accent1 7 3" xfId="22598"/>
    <cellStyle name="20% - Accent1 7 3 2" xfId="42472"/>
    <cellStyle name="20% - Accent1 7 4" xfId="22975"/>
    <cellStyle name="20% - Accent1 7 4 2" xfId="42849"/>
    <cellStyle name="20% - Accent1 7 5" xfId="23552"/>
    <cellStyle name="20% - Accent1 8" xfId="648"/>
    <cellStyle name="20% - Accent1 8 2" xfId="1028"/>
    <cellStyle name="20% - Accent1 8 2 2" xfId="23871"/>
    <cellStyle name="20% - Accent1 8 3" xfId="22814"/>
    <cellStyle name="20% - Accent1 8 3 2" xfId="42688"/>
    <cellStyle name="20% - Accent1 8 4" xfId="22991"/>
    <cellStyle name="20% - Accent1 8 4 2" xfId="42865"/>
    <cellStyle name="20% - Accent1 8 5" xfId="23568"/>
    <cellStyle name="20% - Accent1 9" xfId="686"/>
    <cellStyle name="20% - Accent1 9 2" xfId="1044"/>
    <cellStyle name="20% - Accent1 9 2 2" xfId="23887"/>
    <cellStyle name="20% - Accent1 9 3" xfId="22774"/>
    <cellStyle name="20% - Accent1 9 3 2" xfId="42648"/>
    <cellStyle name="20% - Accent1 9 4" xfId="23007"/>
    <cellStyle name="20% - Accent1 9 4 2" xfId="42881"/>
    <cellStyle name="20% - Accent1 9 5" xfId="23584"/>
    <cellStyle name="20% - Accent2" xfId="173" builtinId="34" customBuiltin="1"/>
    <cellStyle name="20% - Accent2 10" xfId="718"/>
    <cellStyle name="20% - Accent2 10 2" xfId="1062"/>
    <cellStyle name="20% - Accent2 10 2 2" xfId="23905"/>
    <cellStyle name="20% - Accent2 10 3" xfId="22641"/>
    <cellStyle name="20% - Accent2 10 3 2" xfId="42515"/>
    <cellStyle name="20% - Accent2 10 4" xfId="23025"/>
    <cellStyle name="20% - Accent2 10 4 2" xfId="42899"/>
    <cellStyle name="20% - Accent2 10 5" xfId="23602"/>
    <cellStyle name="20% - Accent2 11" xfId="746"/>
    <cellStyle name="20% - Accent2 11 2" xfId="1078"/>
    <cellStyle name="20% - Accent2 11 2 2" xfId="23921"/>
    <cellStyle name="20% - Accent2 11 3" xfId="22768"/>
    <cellStyle name="20% - Accent2 11 3 2" xfId="42642"/>
    <cellStyle name="20% - Accent2 11 4" xfId="23041"/>
    <cellStyle name="20% - Accent2 11 4 2" xfId="42915"/>
    <cellStyle name="20% - Accent2 11 5" xfId="23618"/>
    <cellStyle name="20% - Accent2 12" xfId="772"/>
    <cellStyle name="20% - Accent2 12 2" xfId="1094"/>
    <cellStyle name="20% - Accent2 12 2 2" xfId="23937"/>
    <cellStyle name="20% - Accent2 12 3" xfId="22739"/>
    <cellStyle name="20% - Accent2 12 3 2" xfId="42613"/>
    <cellStyle name="20% - Accent2 12 4" xfId="23057"/>
    <cellStyle name="20% - Accent2 12 4 2" xfId="42931"/>
    <cellStyle name="20% - Accent2 12 5" xfId="23634"/>
    <cellStyle name="20% - Accent2 13" xfId="796"/>
    <cellStyle name="20% - Accent2 13 2" xfId="1110"/>
    <cellStyle name="20% - Accent2 13 2 2" xfId="23953"/>
    <cellStyle name="20% - Accent2 13 3" xfId="22770"/>
    <cellStyle name="20% - Accent2 13 3 2" xfId="42644"/>
    <cellStyle name="20% - Accent2 13 4" xfId="23073"/>
    <cellStyle name="20% - Accent2 13 4 2" xfId="42947"/>
    <cellStyle name="20% - Accent2 13 5" xfId="23650"/>
    <cellStyle name="20% - Accent2 14" xfId="818"/>
    <cellStyle name="20% - Accent2 14 2" xfId="1126"/>
    <cellStyle name="20% - Accent2 14 2 2" xfId="23969"/>
    <cellStyle name="20% - Accent2 14 3" xfId="22601"/>
    <cellStyle name="20% - Accent2 14 3 2" xfId="42475"/>
    <cellStyle name="20% - Accent2 14 4" xfId="23089"/>
    <cellStyle name="20% - Accent2 14 4 2" xfId="42963"/>
    <cellStyle name="20% - Accent2 14 5" xfId="23666"/>
    <cellStyle name="20% - Accent2 15" xfId="834"/>
    <cellStyle name="20% - Accent2 15 2" xfId="1142"/>
    <cellStyle name="20% - Accent2 15 2 2" xfId="23985"/>
    <cellStyle name="20% - Accent2 15 3" xfId="22659"/>
    <cellStyle name="20% - Accent2 15 3 2" xfId="42533"/>
    <cellStyle name="20% - Accent2 15 4" xfId="23105"/>
    <cellStyle name="20% - Accent2 15 4 2" xfId="42979"/>
    <cellStyle name="20% - Accent2 15 5" xfId="23682"/>
    <cellStyle name="20% - Accent2 16" xfId="858"/>
    <cellStyle name="20% - Accent2 16 2" xfId="23701"/>
    <cellStyle name="20% - Accent2 17" xfId="22821"/>
    <cellStyle name="20% - Accent2 17 2" xfId="42695"/>
    <cellStyle name="20% - Accent2 18" xfId="23395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2 2" xfId="35559"/>
    <cellStyle name="20% - Accent2 2 2 2 2 3" xfId="21828"/>
    <cellStyle name="20% - Accent2 2 2 2 2 3 2" xfId="41711"/>
    <cellStyle name="20% - Accent2 2 2 2 2 4" xfId="29406"/>
    <cellStyle name="20% - Accent2 2 2 2 3" xfId="12610"/>
    <cellStyle name="20% - Accent2 2 2 2 3 2" xfId="32493"/>
    <cellStyle name="20% - Accent2 2 2 2 4" xfId="18762"/>
    <cellStyle name="20% - Accent2 2 2 2 4 2" xfId="38645"/>
    <cellStyle name="20% - Accent2 2 2 2 5" xfId="26340"/>
    <cellStyle name="20% - Accent2 2 2 3" xfId="7948"/>
    <cellStyle name="20% - Accent2 2 2 3 2" xfId="14142"/>
    <cellStyle name="20% - Accent2 2 2 3 2 2" xfId="34025"/>
    <cellStyle name="20% - Accent2 2 2 3 3" xfId="20294"/>
    <cellStyle name="20% - Accent2 2 2 3 3 2" xfId="40177"/>
    <cellStyle name="20% - Accent2 2 2 3 4" xfId="27872"/>
    <cellStyle name="20% - Accent2 2 2 4" xfId="11076"/>
    <cellStyle name="20% - Accent2 2 2 4 2" xfId="30959"/>
    <cellStyle name="20% - Accent2 2 2 5" xfId="17228"/>
    <cellStyle name="20% - Accent2 2 2 5 2" xfId="37111"/>
    <cellStyle name="20% - Accent2 2 2 6" xfId="4772"/>
    <cellStyle name="20% - Accent2 2 2 6 2" xfId="24806"/>
    <cellStyle name="20% - Accent2 2 2 7" xfId="23777"/>
    <cellStyle name="20% - Accent2 2 3" xfId="5611"/>
    <cellStyle name="20% - Accent2 2 3 2" xfId="8714"/>
    <cellStyle name="20% - Accent2 2 3 2 2" xfId="14907"/>
    <cellStyle name="20% - Accent2 2 3 2 2 2" xfId="34790"/>
    <cellStyle name="20% - Accent2 2 3 2 3" xfId="21059"/>
    <cellStyle name="20% - Accent2 2 3 2 3 2" xfId="40942"/>
    <cellStyle name="20% - Accent2 2 3 2 4" xfId="28637"/>
    <cellStyle name="20% - Accent2 2 3 3" xfId="11841"/>
    <cellStyle name="20% - Accent2 2 3 3 2" xfId="31724"/>
    <cellStyle name="20% - Accent2 2 3 4" xfId="17993"/>
    <cellStyle name="20% - Accent2 2 3 4 2" xfId="37876"/>
    <cellStyle name="20% - Accent2 2 3 5" xfId="25571"/>
    <cellStyle name="20% - Accent2 2 4" xfId="7179"/>
    <cellStyle name="20% - Accent2 2 4 2" xfId="13373"/>
    <cellStyle name="20% - Accent2 2 4 2 2" xfId="33256"/>
    <cellStyle name="20% - Accent2 2 4 3" xfId="19525"/>
    <cellStyle name="20% - Accent2 2 4 3 2" xfId="39408"/>
    <cellStyle name="20% - Accent2 2 4 4" xfId="27103"/>
    <cellStyle name="20% - Accent2 2 5" xfId="10307"/>
    <cellStyle name="20% - Accent2 2 5 2" xfId="30190"/>
    <cellStyle name="20% - Accent2 2 6" xfId="16459"/>
    <cellStyle name="20% - Accent2 2 6 2" xfId="36342"/>
    <cellStyle name="20% - Accent2 2 7" xfId="1333"/>
    <cellStyle name="20% - Accent2 2 7 2" xfId="24037"/>
    <cellStyle name="20% - Accent2 2 8" xfId="22897"/>
    <cellStyle name="20% - Accent2 2 8 2" xfId="42771"/>
    <cellStyle name="20% - Accent2 2 9" xfId="23474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2 2" xfId="35560"/>
    <cellStyle name="20% - Accent2 3 2 2 2 3" xfId="21829"/>
    <cellStyle name="20% - Accent2 3 2 2 2 3 2" xfId="41712"/>
    <cellStyle name="20% - Accent2 3 2 2 2 4" xfId="29407"/>
    <cellStyle name="20% - Accent2 3 2 2 3" xfId="12611"/>
    <cellStyle name="20% - Accent2 3 2 2 3 2" xfId="32494"/>
    <cellStyle name="20% - Accent2 3 2 2 4" xfId="18763"/>
    <cellStyle name="20% - Accent2 3 2 2 4 2" xfId="38646"/>
    <cellStyle name="20% - Accent2 3 2 2 5" xfId="26341"/>
    <cellStyle name="20% - Accent2 3 2 3" xfId="7949"/>
    <cellStyle name="20% - Accent2 3 2 3 2" xfId="14143"/>
    <cellStyle name="20% - Accent2 3 2 3 2 2" xfId="34026"/>
    <cellStyle name="20% - Accent2 3 2 3 3" xfId="20295"/>
    <cellStyle name="20% - Accent2 3 2 3 3 2" xfId="40178"/>
    <cellStyle name="20% - Accent2 3 2 3 4" xfId="27873"/>
    <cellStyle name="20% - Accent2 3 2 4" xfId="11077"/>
    <cellStyle name="20% - Accent2 3 2 4 2" xfId="30960"/>
    <cellStyle name="20% - Accent2 3 2 5" xfId="17229"/>
    <cellStyle name="20% - Accent2 3 2 5 2" xfId="37112"/>
    <cellStyle name="20% - Accent2 3 2 6" xfId="4773"/>
    <cellStyle name="20% - Accent2 3 2 6 2" xfId="24807"/>
    <cellStyle name="20% - Accent2 3 2 7" xfId="23793"/>
    <cellStyle name="20% - Accent2 3 3" xfId="5612"/>
    <cellStyle name="20% - Accent2 3 3 2" xfId="8715"/>
    <cellStyle name="20% - Accent2 3 3 2 2" xfId="14908"/>
    <cellStyle name="20% - Accent2 3 3 2 2 2" xfId="34791"/>
    <cellStyle name="20% - Accent2 3 3 2 3" xfId="21060"/>
    <cellStyle name="20% - Accent2 3 3 2 3 2" xfId="40943"/>
    <cellStyle name="20% - Accent2 3 3 2 4" xfId="28638"/>
    <cellStyle name="20% - Accent2 3 3 3" xfId="11842"/>
    <cellStyle name="20% - Accent2 3 3 3 2" xfId="31725"/>
    <cellStyle name="20% - Accent2 3 3 4" xfId="17994"/>
    <cellStyle name="20% - Accent2 3 3 4 2" xfId="37877"/>
    <cellStyle name="20% - Accent2 3 3 5" xfId="25572"/>
    <cellStyle name="20% - Accent2 3 4" xfId="7180"/>
    <cellStyle name="20% - Accent2 3 4 2" xfId="13374"/>
    <cellStyle name="20% - Accent2 3 4 2 2" xfId="33257"/>
    <cellStyle name="20% - Accent2 3 4 3" xfId="19526"/>
    <cellStyle name="20% - Accent2 3 4 3 2" xfId="39409"/>
    <cellStyle name="20% - Accent2 3 4 4" xfId="27104"/>
    <cellStyle name="20% - Accent2 3 5" xfId="10308"/>
    <cellStyle name="20% - Accent2 3 5 2" xfId="30191"/>
    <cellStyle name="20% - Accent2 3 6" xfId="16460"/>
    <cellStyle name="20% - Accent2 3 6 2" xfId="36343"/>
    <cellStyle name="20% - Accent2 3 7" xfId="1334"/>
    <cellStyle name="20% - Accent2 3 7 2" xfId="24038"/>
    <cellStyle name="20% - Accent2 3 8" xfId="22913"/>
    <cellStyle name="20% - Accent2 3 8 2" xfId="42787"/>
    <cellStyle name="20% - Accent2 3 9" xfId="23490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2 2" xfId="35561"/>
    <cellStyle name="20% - Accent2 4 2 2 2 3" xfId="21830"/>
    <cellStyle name="20% - Accent2 4 2 2 2 3 2" xfId="41713"/>
    <cellStyle name="20% - Accent2 4 2 2 2 4" xfId="29408"/>
    <cellStyle name="20% - Accent2 4 2 2 3" xfId="12612"/>
    <cellStyle name="20% - Accent2 4 2 2 3 2" xfId="32495"/>
    <cellStyle name="20% - Accent2 4 2 2 4" xfId="18764"/>
    <cellStyle name="20% - Accent2 4 2 2 4 2" xfId="38647"/>
    <cellStyle name="20% - Accent2 4 2 2 5" xfId="26342"/>
    <cellStyle name="20% - Accent2 4 2 3" xfId="7950"/>
    <cellStyle name="20% - Accent2 4 2 3 2" xfId="14144"/>
    <cellStyle name="20% - Accent2 4 2 3 2 2" xfId="34027"/>
    <cellStyle name="20% - Accent2 4 2 3 3" xfId="20296"/>
    <cellStyle name="20% - Accent2 4 2 3 3 2" xfId="40179"/>
    <cellStyle name="20% - Accent2 4 2 3 4" xfId="27874"/>
    <cellStyle name="20% - Accent2 4 2 4" xfId="11078"/>
    <cellStyle name="20% - Accent2 4 2 4 2" xfId="30961"/>
    <cellStyle name="20% - Accent2 4 2 5" xfId="17230"/>
    <cellStyle name="20% - Accent2 4 2 5 2" xfId="37113"/>
    <cellStyle name="20% - Accent2 4 2 6" xfId="4774"/>
    <cellStyle name="20% - Accent2 4 2 6 2" xfId="24808"/>
    <cellStyle name="20% - Accent2 4 2 7" xfId="23809"/>
    <cellStyle name="20% - Accent2 4 3" xfId="5613"/>
    <cellStyle name="20% - Accent2 4 3 2" xfId="8716"/>
    <cellStyle name="20% - Accent2 4 3 2 2" xfId="14909"/>
    <cellStyle name="20% - Accent2 4 3 2 2 2" xfId="34792"/>
    <cellStyle name="20% - Accent2 4 3 2 3" xfId="21061"/>
    <cellStyle name="20% - Accent2 4 3 2 3 2" xfId="40944"/>
    <cellStyle name="20% - Accent2 4 3 2 4" xfId="28639"/>
    <cellStyle name="20% - Accent2 4 3 3" xfId="11843"/>
    <cellStyle name="20% - Accent2 4 3 3 2" xfId="31726"/>
    <cellStyle name="20% - Accent2 4 3 4" xfId="17995"/>
    <cellStyle name="20% - Accent2 4 3 4 2" xfId="37878"/>
    <cellStyle name="20% - Accent2 4 3 5" xfId="25573"/>
    <cellStyle name="20% - Accent2 4 4" xfId="7181"/>
    <cellStyle name="20% - Accent2 4 4 2" xfId="13375"/>
    <cellStyle name="20% - Accent2 4 4 2 2" xfId="33258"/>
    <cellStyle name="20% - Accent2 4 4 3" xfId="19527"/>
    <cellStyle name="20% - Accent2 4 4 3 2" xfId="39410"/>
    <cellStyle name="20% - Accent2 4 4 4" xfId="27105"/>
    <cellStyle name="20% - Accent2 4 5" xfId="10309"/>
    <cellStyle name="20% - Accent2 4 5 2" xfId="30192"/>
    <cellStyle name="20% - Accent2 4 6" xfId="16461"/>
    <cellStyle name="20% - Accent2 4 6 2" xfId="36344"/>
    <cellStyle name="20% - Accent2 4 7" xfId="1335"/>
    <cellStyle name="20% - Accent2 4 7 2" xfId="24039"/>
    <cellStyle name="20% - Accent2 4 8" xfId="22929"/>
    <cellStyle name="20% - Accent2 4 8 2" xfId="42803"/>
    <cellStyle name="20% - Accent2 4 9" xfId="23506"/>
    <cellStyle name="20% - Accent2 5" xfId="576"/>
    <cellStyle name="20% - Accent2 5 10" xfId="23522"/>
    <cellStyle name="20% - Accent2 5 2" xfId="982"/>
    <cellStyle name="20% - Accent2 5 2 2" xfId="6400"/>
    <cellStyle name="20% - Accent2 5 2 2 2" xfId="9486"/>
    <cellStyle name="20% - Accent2 5 2 2 2 2" xfId="15679"/>
    <cellStyle name="20% - Accent2 5 2 2 2 2 2" xfId="35562"/>
    <cellStyle name="20% - Accent2 5 2 2 2 3" xfId="21831"/>
    <cellStyle name="20% - Accent2 5 2 2 2 3 2" xfId="41714"/>
    <cellStyle name="20% - Accent2 5 2 2 2 4" xfId="29409"/>
    <cellStyle name="20% - Accent2 5 2 2 3" xfId="12613"/>
    <cellStyle name="20% - Accent2 5 2 2 3 2" xfId="32496"/>
    <cellStyle name="20% - Accent2 5 2 2 4" xfId="18765"/>
    <cellStyle name="20% - Accent2 5 2 2 4 2" xfId="38648"/>
    <cellStyle name="20% - Accent2 5 2 2 5" xfId="26343"/>
    <cellStyle name="20% - Accent2 5 2 3" xfId="7951"/>
    <cellStyle name="20% - Accent2 5 2 3 2" xfId="14145"/>
    <cellStyle name="20% - Accent2 5 2 3 2 2" xfId="34028"/>
    <cellStyle name="20% - Accent2 5 2 3 3" xfId="20297"/>
    <cellStyle name="20% - Accent2 5 2 3 3 2" xfId="40180"/>
    <cellStyle name="20% - Accent2 5 2 3 4" xfId="27875"/>
    <cellStyle name="20% - Accent2 5 2 4" xfId="11079"/>
    <cellStyle name="20% - Accent2 5 2 4 2" xfId="30962"/>
    <cellStyle name="20% - Accent2 5 2 5" xfId="17231"/>
    <cellStyle name="20% - Accent2 5 2 5 2" xfId="37114"/>
    <cellStyle name="20% - Accent2 5 2 6" xfId="4775"/>
    <cellStyle name="20% - Accent2 5 2 6 2" xfId="24809"/>
    <cellStyle name="20% - Accent2 5 2 7" xfId="23825"/>
    <cellStyle name="20% - Accent2 5 3" xfId="5614"/>
    <cellStyle name="20% - Accent2 5 3 2" xfId="8717"/>
    <cellStyle name="20% - Accent2 5 3 2 2" xfId="14910"/>
    <cellStyle name="20% - Accent2 5 3 2 2 2" xfId="34793"/>
    <cellStyle name="20% - Accent2 5 3 2 3" xfId="21062"/>
    <cellStyle name="20% - Accent2 5 3 2 3 2" xfId="40945"/>
    <cellStyle name="20% - Accent2 5 3 2 4" xfId="28640"/>
    <cellStyle name="20% - Accent2 5 3 3" xfId="11844"/>
    <cellStyle name="20% - Accent2 5 3 3 2" xfId="31727"/>
    <cellStyle name="20% - Accent2 5 3 4" xfId="17996"/>
    <cellStyle name="20% - Accent2 5 3 4 2" xfId="37879"/>
    <cellStyle name="20% - Accent2 5 3 5" xfId="25574"/>
    <cellStyle name="20% - Accent2 5 4" xfId="7182"/>
    <cellStyle name="20% - Accent2 5 4 2" xfId="13376"/>
    <cellStyle name="20% - Accent2 5 4 2 2" xfId="33259"/>
    <cellStyle name="20% - Accent2 5 4 3" xfId="19528"/>
    <cellStyle name="20% - Accent2 5 4 3 2" xfId="39411"/>
    <cellStyle name="20% - Accent2 5 4 4" xfId="27106"/>
    <cellStyle name="20% - Accent2 5 5" xfId="10310"/>
    <cellStyle name="20% - Accent2 5 5 2" xfId="30193"/>
    <cellStyle name="20% - Accent2 5 6" xfId="16462"/>
    <cellStyle name="20% - Accent2 5 6 2" xfId="36345"/>
    <cellStyle name="20% - Accent2 5 7" xfId="1336"/>
    <cellStyle name="20% - Accent2 5 7 2" xfId="24040"/>
    <cellStyle name="20% - Accent2 5 8" xfId="22689"/>
    <cellStyle name="20% - Accent2 5 8 2" xfId="42563"/>
    <cellStyle name="20% - Accent2 5 9" xfId="22945"/>
    <cellStyle name="20% - Accent2 5 9 2" xfId="42819"/>
    <cellStyle name="20% - Accent2 6" xfId="603"/>
    <cellStyle name="20% - Accent2 6 2" xfId="998"/>
    <cellStyle name="20% - Accent2 6 2 2" xfId="23841"/>
    <cellStyle name="20% - Accent2 6 3" xfId="1337"/>
    <cellStyle name="20% - Accent2 6 4" xfId="22781"/>
    <cellStyle name="20% - Accent2 6 4 2" xfId="42655"/>
    <cellStyle name="20% - Accent2 6 5" xfId="22961"/>
    <cellStyle name="20% - Accent2 6 5 2" xfId="42835"/>
    <cellStyle name="20% - Accent2 6 6" xfId="23538"/>
    <cellStyle name="20% - Accent2 7" xfId="627"/>
    <cellStyle name="20% - Accent2 7 2" xfId="1014"/>
    <cellStyle name="20% - Accent2 7 2 2" xfId="23857"/>
    <cellStyle name="20% - Accent2 7 3" xfId="22778"/>
    <cellStyle name="20% - Accent2 7 3 2" xfId="42652"/>
    <cellStyle name="20% - Accent2 7 4" xfId="22977"/>
    <cellStyle name="20% - Accent2 7 4 2" xfId="42851"/>
    <cellStyle name="20% - Accent2 7 5" xfId="23554"/>
    <cellStyle name="20% - Accent2 8" xfId="651"/>
    <cellStyle name="20% - Accent2 8 2" xfId="1030"/>
    <cellStyle name="20% - Accent2 8 2 2" xfId="23873"/>
    <cellStyle name="20% - Accent2 8 3" xfId="22723"/>
    <cellStyle name="20% - Accent2 8 3 2" xfId="42597"/>
    <cellStyle name="20% - Accent2 8 4" xfId="22993"/>
    <cellStyle name="20% - Accent2 8 4 2" xfId="42867"/>
    <cellStyle name="20% - Accent2 8 5" xfId="23570"/>
    <cellStyle name="20% - Accent2 9" xfId="690"/>
    <cellStyle name="20% - Accent2 9 2" xfId="1046"/>
    <cellStyle name="20% - Accent2 9 2 2" xfId="23889"/>
    <cellStyle name="20% - Accent2 9 3" xfId="22678"/>
    <cellStyle name="20% - Accent2 9 3 2" xfId="42552"/>
    <cellStyle name="20% - Accent2 9 4" xfId="23009"/>
    <cellStyle name="20% - Accent2 9 4 2" xfId="42883"/>
    <cellStyle name="20% - Accent2 9 5" xfId="23586"/>
    <cellStyle name="20% - Accent3" xfId="177" builtinId="38" customBuiltin="1"/>
    <cellStyle name="20% - Accent3 10" xfId="722"/>
    <cellStyle name="20% - Accent3 10 2" xfId="1064"/>
    <cellStyle name="20% - Accent3 10 2 2" xfId="23907"/>
    <cellStyle name="20% - Accent3 10 3" xfId="22703"/>
    <cellStyle name="20% - Accent3 10 3 2" xfId="42577"/>
    <cellStyle name="20% - Accent3 10 4" xfId="23027"/>
    <cellStyle name="20% - Accent3 10 4 2" xfId="42901"/>
    <cellStyle name="20% - Accent3 10 5" xfId="23604"/>
    <cellStyle name="20% - Accent3 11" xfId="749"/>
    <cellStyle name="20% - Accent3 11 2" xfId="1080"/>
    <cellStyle name="20% - Accent3 11 2 2" xfId="23923"/>
    <cellStyle name="20% - Accent3 11 3" xfId="22779"/>
    <cellStyle name="20% - Accent3 11 3 2" xfId="42653"/>
    <cellStyle name="20% - Accent3 11 4" xfId="23043"/>
    <cellStyle name="20% - Accent3 11 4 2" xfId="42917"/>
    <cellStyle name="20% - Accent3 11 5" xfId="23620"/>
    <cellStyle name="20% - Accent3 12" xfId="775"/>
    <cellStyle name="20% - Accent3 12 2" xfId="1096"/>
    <cellStyle name="20% - Accent3 12 2 2" xfId="23939"/>
    <cellStyle name="20% - Accent3 12 3" xfId="22795"/>
    <cellStyle name="20% - Accent3 12 3 2" xfId="42669"/>
    <cellStyle name="20% - Accent3 12 4" xfId="23059"/>
    <cellStyle name="20% - Accent3 12 4 2" xfId="42933"/>
    <cellStyle name="20% - Accent3 12 5" xfId="23636"/>
    <cellStyle name="20% - Accent3 13" xfId="799"/>
    <cellStyle name="20% - Accent3 13 2" xfId="1112"/>
    <cellStyle name="20% - Accent3 13 2 2" xfId="23955"/>
    <cellStyle name="20% - Accent3 13 3" xfId="22755"/>
    <cellStyle name="20% - Accent3 13 3 2" xfId="42629"/>
    <cellStyle name="20% - Accent3 13 4" xfId="23075"/>
    <cellStyle name="20% - Accent3 13 4 2" xfId="42949"/>
    <cellStyle name="20% - Accent3 13 5" xfId="23652"/>
    <cellStyle name="20% - Accent3 14" xfId="820"/>
    <cellStyle name="20% - Accent3 14 2" xfId="1128"/>
    <cellStyle name="20% - Accent3 14 2 2" xfId="23971"/>
    <cellStyle name="20% - Accent3 14 3" xfId="22631"/>
    <cellStyle name="20% - Accent3 14 3 2" xfId="42505"/>
    <cellStyle name="20% - Accent3 14 4" xfId="23091"/>
    <cellStyle name="20% - Accent3 14 4 2" xfId="42965"/>
    <cellStyle name="20% - Accent3 14 5" xfId="23668"/>
    <cellStyle name="20% - Accent3 15" xfId="836"/>
    <cellStyle name="20% - Accent3 15 2" xfId="1144"/>
    <cellStyle name="20% - Accent3 15 2 2" xfId="23987"/>
    <cellStyle name="20% - Accent3 15 3" xfId="22798"/>
    <cellStyle name="20% - Accent3 15 3 2" xfId="42672"/>
    <cellStyle name="20% - Accent3 15 4" xfId="23107"/>
    <cellStyle name="20% - Accent3 15 4 2" xfId="42981"/>
    <cellStyle name="20% - Accent3 15 5" xfId="23684"/>
    <cellStyle name="20% - Accent3 16" xfId="860"/>
    <cellStyle name="20% - Accent3 16 2" xfId="23703"/>
    <cellStyle name="20% - Accent3 17" xfId="22823"/>
    <cellStyle name="20% - Accent3 17 2" xfId="42697"/>
    <cellStyle name="20% - Accent3 18" xfId="23397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2 2" xfId="35563"/>
    <cellStyle name="20% - Accent3 2 2 2 2 3" xfId="21832"/>
    <cellStyle name="20% - Accent3 2 2 2 2 3 2" xfId="41715"/>
    <cellStyle name="20% - Accent3 2 2 2 2 4" xfId="29410"/>
    <cellStyle name="20% - Accent3 2 2 2 3" xfId="12614"/>
    <cellStyle name="20% - Accent3 2 2 2 3 2" xfId="32497"/>
    <cellStyle name="20% - Accent3 2 2 2 4" xfId="18766"/>
    <cellStyle name="20% - Accent3 2 2 2 4 2" xfId="38649"/>
    <cellStyle name="20% - Accent3 2 2 2 5" xfId="26344"/>
    <cellStyle name="20% - Accent3 2 2 3" xfId="7952"/>
    <cellStyle name="20% - Accent3 2 2 3 2" xfId="14146"/>
    <cellStyle name="20% - Accent3 2 2 3 2 2" xfId="34029"/>
    <cellStyle name="20% - Accent3 2 2 3 3" xfId="20298"/>
    <cellStyle name="20% - Accent3 2 2 3 3 2" xfId="40181"/>
    <cellStyle name="20% - Accent3 2 2 3 4" xfId="27876"/>
    <cellStyle name="20% - Accent3 2 2 4" xfId="11080"/>
    <cellStyle name="20% - Accent3 2 2 4 2" xfId="30963"/>
    <cellStyle name="20% - Accent3 2 2 5" xfId="17232"/>
    <cellStyle name="20% - Accent3 2 2 5 2" xfId="37115"/>
    <cellStyle name="20% - Accent3 2 2 6" xfId="4776"/>
    <cellStyle name="20% - Accent3 2 2 6 2" xfId="24810"/>
    <cellStyle name="20% - Accent3 2 2 7" xfId="23779"/>
    <cellStyle name="20% - Accent3 2 3" xfId="5615"/>
    <cellStyle name="20% - Accent3 2 3 2" xfId="8718"/>
    <cellStyle name="20% - Accent3 2 3 2 2" xfId="14911"/>
    <cellStyle name="20% - Accent3 2 3 2 2 2" xfId="34794"/>
    <cellStyle name="20% - Accent3 2 3 2 3" xfId="21063"/>
    <cellStyle name="20% - Accent3 2 3 2 3 2" xfId="40946"/>
    <cellStyle name="20% - Accent3 2 3 2 4" xfId="28641"/>
    <cellStyle name="20% - Accent3 2 3 3" xfId="11845"/>
    <cellStyle name="20% - Accent3 2 3 3 2" xfId="31728"/>
    <cellStyle name="20% - Accent3 2 3 4" xfId="17997"/>
    <cellStyle name="20% - Accent3 2 3 4 2" xfId="37880"/>
    <cellStyle name="20% - Accent3 2 3 5" xfId="25575"/>
    <cellStyle name="20% - Accent3 2 4" xfId="7183"/>
    <cellStyle name="20% - Accent3 2 4 2" xfId="13377"/>
    <cellStyle name="20% - Accent3 2 4 2 2" xfId="33260"/>
    <cellStyle name="20% - Accent3 2 4 3" xfId="19529"/>
    <cellStyle name="20% - Accent3 2 4 3 2" xfId="39412"/>
    <cellStyle name="20% - Accent3 2 4 4" xfId="27107"/>
    <cellStyle name="20% - Accent3 2 5" xfId="10311"/>
    <cellStyle name="20% - Accent3 2 5 2" xfId="30194"/>
    <cellStyle name="20% - Accent3 2 6" xfId="16463"/>
    <cellStyle name="20% - Accent3 2 6 2" xfId="36346"/>
    <cellStyle name="20% - Accent3 2 7" xfId="1338"/>
    <cellStyle name="20% - Accent3 2 7 2" xfId="24041"/>
    <cellStyle name="20% - Accent3 2 8" xfId="22899"/>
    <cellStyle name="20% - Accent3 2 8 2" xfId="42773"/>
    <cellStyle name="20% - Accent3 2 9" xfId="23476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2 2" xfId="35564"/>
    <cellStyle name="20% - Accent3 3 2 2 2 3" xfId="21833"/>
    <cellStyle name="20% - Accent3 3 2 2 2 3 2" xfId="41716"/>
    <cellStyle name="20% - Accent3 3 2 2 2 4" xfId="29411"/>
    <cellStyle name="20% - Accent3 3 2 2 3" xfId="12615"/>
    <cellStyle name="20% - Accent3 3 2 2 3 2" xfId="32498"/>
    <cellStyle name="20% - Accent3 3 2 2 4" xfId="18767"/>
    <cellStyle name="20% - Accent3 3 2 2 4 2" xfId="38650"/>
    <cellStyle name="20% - Accent3 3 2 2 5" xfId="26345"/>
    <cellStyle name="20% - Accent3 3 2 3" xfId="7953"/>
    <cellStyle name="20% - Accent3 3 2 3 2" xfId="14147"/>
    <cellStyle name="20% - Accent3 3 2 3 2 2" xfId="34030"/>
    <cellStyle name="20% - Accent3 3 2 3 3" xfId="20299"/>
    <cellStyle name="20% - Accent3 3 2 3 3 2" xfId="40182"/>
    <cellStyle name="20% - Accent3 3 2 3 4" xfId="27877"/>
    <cellStyle name="20% - Accent3 3 2 4" xfId="11081"/>
    <cellStyle name="20% - Accent3 3 2 4 2" xfId="30964"/>
    <cellStyle name="20% - Accent3 3 2 5" xfId="17233"/>
    <cellStyle name="20% - Accent3 3 2 5 2" xfId="37116"/>
    <cellStyle name="20% - Accent3 3 2 6" xfId="4777"/>
    <cellStyle name="20% - Accent3 3 2 6 2" xfId="24811"/>
    <cellStyle name="20% - Accent3 3 2 7" xfId="23795"/>
    <cellStyle name="20% - Accent3 3 3" xfId="5616"/>
    <cellStyle name="20% - Accent3 3 3 2" xfId="8719"/>
    <cellStyle name="20% - Accent3 3 3 2 2" xfId="14912"/>
    <cellStyle name="20% - Accent3 3 3 2 2 2" xfId="34795"/>
    <cellStyle name="20% - Accent3 3 3 2 3" xfId="21064"/>
    <cellStyle name="20% - Accent3 3 3 2 3 2" xfId="40947"/>
    <cellStyle name="20% - Accent3 3 3 2 4" xfId="28642"/>
    <cellStyle name="20% - Accent3 3 3 3" xfId="11846"/>
    <cellStyle name="20% - Accent3 3 3 3 2" xfId="31729"/>
    <cellStyle name="20% - Accent3 3 3 4" xfId="17998"/>
    <cellStyle name="20% - Accent3 3 3 4 2" xfId="37881"/>
    <cellStyle name="20% - Accent3 3 3 5" xfId="25576"/>
    <cellStyle name="20% - Accent3 3 4" xfId="7184"/>
    <cellStyle name="20% - Accent3 3 4 2" xfId="13378"/>
    <cellStyle name="20% - Accent3 3 4 2 2" xfId="33261"/>
    <cellStyle name="20% - Accent3 3 4 3" xfId="19530"/>
    <cellStyle name="20% - Accent3 3 4 3 2" xfId="39413"/>
    <cellStyle name="20% - Accent3 3 4 4" xfId="27108"/>
    <cellStyle name="20% - Accent3 3 5" xfId="10312"/>
    <cellStyle name="20% - Accent3 3 5 2" xfId="30195"/>
    <cellStyle name="20% - Accent3 3 6" xfId="16464"/>
    <cellStyle name="20% - Accent3 3 6 2" xfId="36347"/>
    <cellStyle name="20% - Accent3 3 7" xfId="1339"/>
    <cellStyle name="20% - Accent3 3 7 2" xfId="24042"/>
    <cellStyle name="20% - Accent3 3 8" xfId="22915"/>
    <cellStyle name="20% - Accent3 3 8 2" xfId="42789"/>
    <cellStyle name="20% - Accent3 3 9" xfId="23492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2 2" xfId="35565"/>
    <cellStyle name="20% - Accent3 4 2 2 2 3" xfId="21834"/>
    <cellStyle name="20% - Accent3 4 2 2 2 3 2" xfId="41717"/>
    <cellStyle name="20% - Accent3 4 2 2 2 4" xfId="29412"/>
    <cellStyle name="20% - Accent3 4 2 2 3" xfId="12616"/>
    <cellStyle name="20% - Accent3 4 2 2 3 2" xfId="32499"/>
    <cellStyle name="20% - Accent3 4 2 2 4" xfId="18768"/>
    <cellStyle name="20% - Accent3 4 2 2 4 2" xfId="38651"/>
    <cellStyle name="20% - Accent3 4 2 2 5" xfId="26346"/>
    <cellStyle name="20% - Accent3 4 2 3" xfId="7954"/>
    <cellStyle name="20% - Accent3 4 2 3 2" xfId="14148"/>
    <cellStyle name="20% - Accent3 4 2 3 2 2" xfId="34031"/>
    <cellStyle name="20% - Accent3 4 2 3 3" xfId="20300"/>
    <cellStyle name="20% - Accent3 4 2 3 3 2" xfId="40183"/>
    <cellStyle name="20% - Accent3 4 2 3 4" xfId="27878"/>
    <cellStyle name="20% - Accent3 4 2 4" xfId="11082"/>
    <cellStyle name="20% - Accent3 4 2 4 2" xfId="30965"/>
    <cellStyle name="20% - Accent3 4 2 5" xfId="17234"/>
    <cellStyle name="20% - Accent3 4 2 5 2" xfId="37117"/>
    <cellStyle name="20% - Accent3 4 2 6" xfId="4778"/>
    <cellStyle name="20% - Accent3 4 2 6 2" xfId="24812"/>
    <cellStyle name="20% - Accent3 4 2 7" xfId="23811"/>
    <cellStyle name="20% - Accent3 4 3" xfId="5617"/>
    <cellStyle name="20% - Accent3 4 3 2" xfId="8720"/>
    <cellStyle name="20% - Accent3 4 3 2 2" xfId="14913"/>
    <cellStyle name="20% - Accent3 4 3 2 2 2" xfId="34796"/>
    <cellStyle name="20% - Accent3 4 3 2 3" xfId="21065"/>
    <cellStyle name="20% - Accent3 4 3 2 3 2" xfId="40948"/>
    <cellStyle name="20% - Accent3 4 3 2 4" xfId="28643"/>
    <cellStyle name="20% - Accent3 4 3 3" xfId="11847"/>
    <cellStyle name="20% - Accent3 4 3 3 2" xfId="31730"/>
    <cellStyle name="20% - Accent3 4 3 4" xfId="17999"/>
    <cellStyle name="20% - Accent3 4 3 4 2" xfId="37882"/>
    <cellStyle name="20% - Accent3 4 3 5" xfId="25577"/>
    <cellStyle name="20% - Accent3 4 4" xfId="7185"/>
    <cellStyle name="20% - Accent3 4 4 2" xfId="13379"/>
    <cellStyle name="20% - Accent3 4 4 2 2" xfId="33262"/>
    <cellStyle name="20% - Accent3 4 4 3" xfId="19531"/>
    <cellStyle name="20% - Accent3 4 4 3 2" xfId="39414"/>
    <cellStyle name="20% - Accent3 4 4 4" xfId="27109"/>
    <cellStyle name="20% - Accent3 4 5" xfId="10313"/>
    <cellStyle name="20% - Accent3 4 5 2" xfId="30196"/>
    <cellStyle name="20% - Accent3 4 6" xfId="16465"/>
    <cellStyle name="20% - Accent3 4 6 2" xfId="36348"/>
    <cellStyle name="20% - Accent3 4 7" xfId="1340"/>
    <cellStyle name="20% - Accent3 4 7 2" xfId="24043"/>
    <cellStyle name="20% - Accent3 4 8" xfId="22931"/>
    <cellStyle name="20% - Accent3 4 8 2" xfId="42805"/>
    <cellStyle name="20% - Accent3 4 9" xfId="23508"/>
    <cellStyle name="20% - Accent3 5" xfId="580"/>
    <cellStyle name="20% - Accent3 5 10" xfId="23524"/>
    <cellStyle name="20% - Accent3 5 2" xfId="984"/>
    <cellStyle name="20% - Accent3 5 2 2" xfId="6404"/>
    <cellStyle name="20% - Accent3 5 2 2 2" xfId="9490"/>
    <cellStyle name="20% - Accent3 5 2 2 2 2" xfId="15683"/>
    <cellStyle name="20% - Accent3 5 2 2 2 2 2" xfId="35566"/>
    <cellStyle name="20% - Accent3 5 2 2 2 3" xfId="21835"/>
    <cellStyle name="20% - Accent3 5 2 2 2 3 2" xfId="41718"/>
    <cellStyle name="20% - Accent3 5 2 2 2 4" xfId="29413"/>
    <cellStyle name="20% - Accent3 5 2 2 3" xfId="12617"/>
    <cellStyle name="20% - Accent3 5 2 2 3 2" xfId="32500"/>
    <cellStyle name="20% - Accent3 5 2 2 4" xfId="18769"/>
    <cellStyle name="20% - Accent3 5 2 2 4 2" xfId="38652"/>
    <cellStyle name="20% - Accent3 5 2 2 5" xfId="26347"/>
    <cellStyle name="20% - Accent3 5 2 3" xfId="7955"/>
    <cellStyle name="20% - Accent3 5 2 3 2" xfId="14149"/>
    <cellStyle name="20% - Accent3 5 2 3 2 2" xfId="34032"/>
    <cellStyle name="20% - Accent3 5 2 3 3" xfId="20301"/>
    <cellStyle name="20% - Accent3 5 2 3 3 2" xfId="40184"/>
    <cellStyle name="20% - Accent3 5 2 3 4" xfId="27879"/>
    <cellStyle name="20% - Accent3 5 2 4" xfId="11083"/>
    <cellStyle name="20% - Accent3 5 2 4 2" xfId="30966"/>
    <cellStyle name="20% - Accent3 5 2 5" xfId="17235"/>
    <cellStyle name="20% - Accent3 5 2 5 2" xfId="37118"/>
    <cellStyle name="20% - Accent3 5 2 6" xfId="4779"/>
    <cellStyle name="20% - Accent3 5 2 6 2" xfId="24813"/>
    <cellStyle name="20% - Accent3 5 2 7" xfId="23827"/>
    <cellStyle name="20% - Accent3 5 3" xfId="5618"/>
    <cellStyle name="20% - Accent3 5 3 2" xfId="8721"/>
    <cellStyle name="20% - Accent3 5 3 2 2" xfId="14914"/>
    <cellStyle name="20% - Accent3 5 3 2 2 2" xfId="34797"/>
    <cellStyle name="20% - Accent3 5 3 2 3" xfId="21066"/>
    <cellStyle name="20% - Accent3 5 3 2 3 2" xfId="40949"/>
    <cellStyle name="20% - Accent3 5 3 2 4" xfId="28644"/>
    <cellStyle name="20% - Accent3 5 3 3" xfId="11848"/>
    <cellStyle name="20% - Accent3 5 3 3 2" xfId="31731"/>
    <cellStyle name="20% - Accent3 5 3 4" xfId="18000"/>
    <cellStyle name="20% - Accent3 5 3 4 2" xfId="37883"/>
    <cellStyle name="20% - Accent3 5 3 5" xfId="25578"/>
    <cellStyle name="20% - Accent3 5 4" xfId="7186"/>
    <cellStyle name="20% - Accent3 5 4 2" xfId="13380"/>
    <cellStyle name="20% - Accent3 5 4 2 2" xfId="33263"/>
    <cellStyle name="20% - Accent3 5 4 3" xfId="19532"/>
    <cellStyle name="20% - Accent3 5 4 3 2" xfId="39415"/>
    <cellStyle name="20% - Accent3 5 4 4" xfId="27110"/>
    <cellStyle name="20% - Accent3 5 5" xfId="10314"/>
    <cellStyle name="20% - Accent3 5 5 2" xfId="30197"/>
    <cellStyle name="20% - Accent3 5 6" xfId="16466"/>
    <cellStyle name="20% - Accent3 5 6 2" xfId="36349"/>
    <cellStyle name="20% - Accent3 5 7" xfId="1341"/>
    <cellStyle name="20% - Accent3 5 7 2" xfId="24044"/>
    <cellStyle name="20% - Accent3 5 8" xfId="22686"/>
    <cellStyle name="20% - Accent3 5 8 2" xfId="42560"/>
    <cellStyle name="20% - Accent3 5 9" xfId="22947"/>
    <cellStyle name="20% - Accent3 5 9 2" xfId="42821"/>
    <cellStyle name="20% - Accent3 6" xfId="606"/>
    <cellStyle name="20% - Accent3 6 2" xfId="1000"/>
    <cellStyle name="20% - Accent3 6 2 2" xfId="23843"/>
    <cellStyle name="20% - Accent3 6 3" xfId="1342"/>
    <cellStyle name="20% - Accent3 6 4" xfId="22639"/>
    <cellStyle name="20% - Accent3 6 4 2" xfId="42513"/>
    <cellStyle name="20% - Accent3 6 5" xfId="22963"/>
    <cellStyle name="20% - Accent3 6 5 2" xfId="42837"/>
    <cellStyle name="20% - Accent3 6 6" xfId="23540"/>
    <cellStyle name="20% - Accent3 7" xfId="630"/>
    <cellStyle name="20% - Accent3 7 2" xfId="1016"/>
    <cellStyle name="20% - Accent3 7 2 2" xfId="23859"/>
    <cellStyle name="20% - Accent3 7 3" xfId="22806"/>
    <cellStyle name="20% - Accent3 7 3 2" xfId="42680"/>
    <cellStyle name="20% - Accent3 7 4" xfId="22979"/>
    <cellStyle name="20% - Accent3 7 4 2" xfId="42853"/>
    <cellStyle name="20% - Accent3 7 5" xfId="23556"/>
    <cellStyle name="20% - Accent3 8" xfId="655"/>
    <cellStyle name="20% - Accent3 8 2" xfId="1032"/>
    <cellStyle name="20% - Accent3 8 2 2" xfId="23875"/>
    <cellStyle name="20% - Accent3 8 3" xfId="22792"/>
    <cellStyle name="20% - Accent3 8 3 2" xfId="42666"/>
    <cellStyle name="20% - Accent3 8 4" xfId="22995"/>
    <cellStyle name="20% - Accent3 8 4 2" xfId="42869"/>
    <cellStyle name="20% - Accent3 8 5" xfId="23572"/>
    <cellStyle name="20% - Accent3 9" xfId="694"/>
    <cellStyle name="20% - Accent3 9 2" xfId="1048"/>
    <cellStyle name="20% - Accent3 9 2 2" xfId="23891"/>
    <cellStyle name="20% - Accent3 9 3" xfId="22700"/>
    <cellStyle name="20% - Accent3 9 3 2" xfId="42574"/>
    <cellStyle name="20% - Accent3 9 4" xfId="23011"/>
    <cellStyle name="20% - Accent3 9 4 2" xfId="42885"/>
    <cellStyle name="20% - Accent3 9 5" xfId="23588"/>
    <cellStyle name="20% - Accent4" xfId="181" builtinId="42" customBuiltin="1"/>
    <cellStyle name="20% - Accent4 10" xfId="726"/>
    <cellStyle name="20% - Accent4 10 2" xfId="1066"/>
    <cellStyle name="20% - Accent4 10 2 2" xfId="23909"/>
    <cellStyle name="20% - Accent4 10 3" xfId="22790"/>
    <cellStyle name="20% - Accent4 10 3 2" xfId="42664"/>
    <cellStyle name="20% - Accent4 10 4" xfId="23029"/>
    <cellStyle name="20% - Accent4 10 4 2" xfId="42903"/>
    <cellStyle name="20% - Accent4 10 5" xfId="23606"/>
    <cellStyle name="20% - Accent4 11" xfId="753"/>
    <cellStyle name="20% - Accent4 11 2" xfId="1082"/>
    <cellStyle name="20% - Accent4 11 2 2" xfId="23925"/>
    <cellStyle name="20% - Accent4 11 3" xfId="22692"/>
    <cellStyle name="20% - Accent4 11 3 2" xfId="42566"/>
    <cellStyle name="20% - Accent4 11 4" xfId="23045"/>
    <cellStyle name="20% - Accent4 11 4 2" xfId="42919"/>
    <cellStyle name="20% - Accent4 11 5" xfId="23622"/>
    <cellStyle name="20% - Accent4 12" xfId="779"/>
    <cellStyle name="20% - Accent4 12 2" xfId="1098"/>
    <cellStyle name="20% - Accent4 12 2 2" xfId="23941"/>
    <cellStyle name="20% - Accent4 12 3" xfId="22799"/>
    <cellStyle name="20% - Accent4 12 3 2" xfId="42673"/>
    <cellStyle name="20% - Accent4 12 4" xfId="23061"/>
    <cellStyle name="20% - Accent4 12 4 2" xfId="42935"/>
    <cellStyle name="20% - Accent4 12 5" xfId="23638"/>
    <cellStyle name="20% - Accent4 13" xfId="803"/>
    <cellStyle name="20% - Accent4 13 2" xfId="1114"/>
    <cellStyle name="20% - Accent4 13 2 2" xfId="23957"/>
    <cellStyle name="20% - Accent4 13 3" xfId="22656"/>
    <cellStyle name="20% - Accent4 13 3 2" xfId="42530"/>
    <cellStyle name="20% - Accent4 13 4" xfId="23077"/>
    <cellStyle name="20% - Accent4 13 4 2" xfId="42951"/>
    <cellStyle name="20% - Accent4 13 5" xfId="23654"/>
    <cellStyle name="20% - Accent4 14" xfId="822"/>
    <cellStyle name="20% - Accent4 14 2" xfId="1130"/>
    <cellStyle name="20% - Accent4 14 2 2" xfId="23973"/>
    <cellStyle name="20% - Accent4 14 3" xfId="22777"/>
    <cellStyle name="20% - Accent4 14 3 2" xfId="42651"/>
    <cellStyle name="20% - Accent4 14 4" xfId="23093"/>
    <cellStyle name="20% - Accent4 14 4 2" xfId="42967"/>
    <cellStyle name="20% - Accent4 14 5" xfId="23670"/>
    <cellStyle name="20% - Accent4 15" xfId="838"/>
    <cellStyle name="20% - Accent4 15 2" xfId="1146"/>
    <cellStyle name="20% - Accent4 15 2 2" xfId="23989"/>
    <cellStyle name="20% - Accent4 15 3" xfId="22669"/>
    <cellStyle name="20% - Accent4 15 3 2" xfId="42543"/>
    <cellStyle name="20% - Accent4 15 4" xfId="23109"/>
    <cellStyle name="20% - Accent4 15 4 2" xfId="42983"/>
    <cellStyle name="20% - Accent4 15 5" xfId="23686"/>
    <cellStyle name="20% - Accent4 16" xfId="862"/>
    <cellStyle name="20% - Accent4 16 2" xfId="23705"/>
    <cellStyle name="20% - Accent4 17" xfId="22825"/>
    <cellStyle name="20% - Accent4 17 2" xfId="42699"/>
    <cellStyle name="20% - Accent4 18" xfId="23399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2 2" xfId="35567"/>
    <cellStyle name="20% - Accent4 2 2 2 2 3" xfId="21836"/>
    <cellStyle name="20% - Accent4 2 2 2 2 3 2" xfId="41719"/>
    <cellStyle name="20% - Accent4 2 2 2 2 4" xfId="29414"/>
    <cellStyle name="20% - Accent4 2 2 2 3" xfId="12618"/>
    <cellStyle name="20% - Accent4 2 2 2 3 2" xfId="32501"/>
    <cellStyle name="20% - Accent4 2 2 2 4" xfId="18770"/>
    <cellStyle name="20% - Accent4 2 2 2 4 2" xfId="38653"/>
    <cellStyle name="20% - Accent4 2 2 2 5" xfId="26348"/>
    <cellStyle name="20% - Accent4 2 2 3" xfId="7956"/>
    <cellStyle name="20% - Accent4 2 2 3 2" xfId="14150"/>
    <cellStyle name="20% - Accent4 2 2 3 2 2" xfId="34033"/>
    <cellStyle name="20% - Accent4 2 2 3 3" xfId="20302"/>
    <cellStyle name="20% - Accent4 2 2 3 3 2" xfId="40185"/>
    <cellStyle name="20% - Accent4 2 2 3 4" xfId="27880"/>
    <cellStyle name="20% - Accent4 2 2 4" xfId="11084"/>
    <cellStyle name="20% - Accent4 2 2 4 2" xfId="30967"/>
    <cellStyle name="20% - Accent4 2 2 5" xfId="17236"/>
    <cellStyle name="20% - Accent4 2 2 5 2" xfId="37119"/>
    <cellStyle name="20% - Accent4 2 2 6" xfId="4780"/>
    <cellStyle name="20% - Accent4 2 2 6 2" xfId="24814"/>
    <cellStyle name="20% - Accent4 2 2 7" xfId="23781"/>
    <cellStyle name="20% - Accent4 2 3" xfId="5619"/>
    <cellStyle name="20% - Accent4 2 3 2" xfId="8722"/>
    <cellStyle name="20% - Accent4 2 3 2 2" xfId="14915"/>
    <cellStyle name="20% - Accent4 2 3 2 2 2" xfId="34798"/>
    <cellStyle name="20% - Accent4 2 3 2 3" xfId="21067"/>
    <cellStyle name="20% - Accent4 2 3 2 3 2" xfId="40950"/>
    <cellStyle name="20% - Accent4 2 3 2 4" xfId="28645"/>
    <cellStyle name="20% - Accent4 2 3 3" xfId="11849"/>
    <cellStyle name="20% - Accent4 2 3 3 2" xfId="31732"/>
    <cellStyle name="20% - Accent4 2 3 4" xfId="18001"/>
    <cellStyle name="20% - Accent4 2 3 4 2" xfId="37884"/>
    <cellStyle name="20% - Accent4 2 3 5" xfId="25579"/>
    <cellStyle name="20% - Accent4 2 4" xfId="7187"/>
    <cellStyle name="20% - Accent4 2 4 2" xfId="13381"/>
    <cellStyle name="20% - Accent4 2 4 2 2" xfId="33264"/>
    <cellStyle name="20% - Accent4 2 4 3" xfId="19533"/>
    <cellStyle name="20% - Accent4 2 4 3 2" xfId="39416"/>
    <cellStyle name="20% - Accent4 2 4 4" xfId="27111"/>
    <cellStyle name="20% - Accent4 2 5" xfId="10315"/>
    <cellStyle name="20% - Accent4 2 5 2" xfId="30198"/>
    <cellStyle name="20% - Accent4 2 6" xfId="16467"/>
    <cellStyle name="20% - Accent4 2 6 2" xfId="36350"/>
    <cellStyle name="20% - Accent4 2 7" xfId="1343"/>
    <cellStyle name="20% - Accent4 2 7 2" xfId="24045"/>
    <cellStyle name="20% - Accent4 2 8" xfId="22901"/>
    <cellStyle name="20% - Accent4 2 8 2" xfId="42775"/>
    <cellStyle name="20% - Accent4 2 9" xfId="23478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2 2" xfId="35568"/>
    <cellStyle name="20% - Accent4 3 2 2 2 3" xfId="21837"/>
    <cellStyle name="20% - Accent4 3 2 2 2 3 2" xfId="41720"/>
    <cellStyle name="20% - Accent4 3 2 2 2 4" xfId="29415"/>
    <cellStyle name="20% - Accent4 3 2 2 3" xfId="12619"/>
    <cellStyle name="20% - Accent4 3 2 2 3 2" xfId="32502"/>
    <cellStyle name="20% - Accent4 3 2 2 4" xfId="18771"/>
    <cellStyle name="20% - Accent4 3 2 2 4 2" xfId="38654"/>
    <cellStyle name="20% - Accent4 3 2 2 5" xfId="26349"/>
    <cellStyle name="20% - Accent4 3 2 3" xfId="7957"/>
    <cellStyle name="20% - Accent4 3 2 3 2" xfId="14151"/>
    <cellStyle name="20% - Accent4 3 2 3 2 2" xfId="34034"/>
    <cellStyle name="20% - Accent4 3 2 3 3" xfId="20303"/>
    <cellStyle name="20% - Accent4 3 2 3 3 2" xfId="40186"/>
    <cellStyle name="20% - Accent4 3 2 3 4" xfId="27881"/>
    <cellStyle name="20% - Accent4 3 2 4" xfId="11085"/>
    <cellStyle name="20% - Accent4 3 2 4 2" xfId="30968"/>
    <cellStyle name="20% - Accent4 3 2 5" xfId="17237"/>
    <cellStyle name="20% - Accent4 3 2 5 2" xfId="37120"/>
    <cellStyle name="20% - Accent4 3 2 6" xfId="4781"/>
    <cellStyle name="20% - Accent4 3 2 6 2" xfId="24815"/>
    <cellStyle name="20% - Accent4 3 2 7" xfId="23797"/>
    <cellStyle name="20% - Accent4 3 3" xfId="5620"/>
    <cellStyle name="20% - Accent4 3 3 2" xfId="8723"/>
    <cellStyle name="20% - Accent4 3 3 2 2" xfId="14916"/>
    <cellStyle name="20% - Accent4 3 3 2 2 2" xfId="34799"/>
    <cellStyle name="20% - Accent4 3 3 2 3" xfId="21068"/>
    <cellStyle name="20% - Accent4 3 3 2 3 2" xfId="40951"/>
    <cellStyle name="20% - Accent4 3 3 2 4" xfId="28646"/>
    <cellStyle name="20% - Accent4 3 3 3" xfId="11850"/>
    <cellStyle name="20% - Accent4 3 3 3 2" xfId="31733"/>
    <cellStyle name="20% - Accent4 3 3 4" xfId="18002"/>
    <cellStyle name="20% - Accent4 3 3 4 2" xfId="37885"/>
    <cellStyle name="20% - Accent4 3 3 5" xfId="25580"/>
    <cellStyle name="20% - Accent4 3 4" xfId="7188"/>
    <cellStyle name="20% - Accent4 3 4 2" xfId="13382"/>
    <cellStyle name="20% - Accent4 3 4 2 2" xfId="33265"/>
    <cellStyle name="20% - Accent4 3 4 3" xfId="19534"/>
    <cellStyle name="20% - Accent4 3 4 3 2" xfId="39417"/>
    <cellStyle name="20% - Accent4 3 4 4" xfId="27112"/>
    <cellStyle name="20% - Accent4 3 5" xfId="10316"/>
    <cellStyle name="20% - Accent4 3 5 2" xfId="30199"/>
    <cellStyle name="20% - Accent4 3 6" xfId="16468"/>
    <cellStyle name="20% - Accent4 3 6 2" xfId="36351"/>
    <cellStyle name="20% - Accent4 3 7" xfId="1344"/>
    <cellStyle name="20% - Accent4 3 7 2" xfId="24046"/>
    <cellStyle name="20% - Accent4 3 8" xfId="22917"/>
    <cellStyle name="20% - Accent4 3 8 2" xfId="42791"/>
    <cellStyle name="20% - Accent4 3 9" xfId="23494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2 2" xfId="35569"/>
    <cellStyle name="20% - Accent4 4 2 2 2 3" xfId="21838"/>
    <cellStyle name="20% - Accent4 4 2 2 2 3 2" xfId="41721"/>
    <cellStyle name="20% - Accent4 4 2 2 2 4" xfId="29416"/>
    <cellStyle name="20% - Accent4 4 2 2 3" xfId="12620"/>
    <cellStyle name="20% - Accent4 4 2 2 3 2" xfId="32503"/>
    <cellStyle name="20% - Accent4 4 2 2 4" xfId="18772"/>
    <cellStyle name="20% - Accent4 4 2 2 4 2" xfId="38655"/>
    <cellStyle name="20% - Accent4 4 2 2 5" xfId="26350"/>
    <cellStyle name="20% - Accent4 4 2 3" xfId="7958"/>
    <cellStyle name="20% - Accent4 4 2 3 2" xfId="14152"/>
    <cellStyle name="20% - Accent4 4 2 3 2 2" xfId="34035"/>
    <cellStyle name="20% - Accent4 4 2 3 3" xfId="20304"/>
    <cellStyle name="20% - Accent4 4 2 3 3 2" xfId="40187"/>
    <cellStyle name="20% - Accent4 4 2 3 4" xfId="27882"/>
    <cellStyle name="20% - Accent4 4 2 4" xfId="11086"/>
    <cellStyle name="20% - Accent4 4 2 4 2" xfId="30969"/>
    <cellStyle name="20% - Accent4 4 2 5" xfId="17238"/>
    <cellStyle name="20% - Accent4 4 2 5 2" xfId="37121"/>
    <cellStyle name="20% - Accent4 4 2 6" xfId="4782"/>
    <cellStyle name="20% - Accent4 4 2 6 2" xfId="24816"/>
    <cellStyle name="20% - Accent4 4 2 7" xfId="23813"/>
    <cellStyle name="20% - Accent4 4 3" xfId="5621"/>
    <cellStyle name="20% - Accent4 4 3 2" xfId="8724"/>
    <cellStyle name="20% - Accent4 4 3 2 2" xfId="14917"/>
    <cellStyle name="20% - Accent4 4 3 2 2 2" xfId="34800"/>
    <cellStyle name="20% - Accent4 4 3 2 3" xfId="21069"/>
    <cellStyle name="20% - Accent4 4 3 2 3 2" xfId="40952"/>
    <cellStyle name="20% - Accent4 4 3 2 4" xfId="28647"/>
    <cellStyle name="20% - Accent4 4 3 3" xfId="11851"/>
    <cellStyle name="20% - Accent4 4 3 3 2" xfId="31734"/>
    <cellStyle name="20% - Accent4 4 3 4" xfId="18003"/>
    <cellStyle name="20% - Accent4 4 3 4 2" xfId="37886"/>
    <cellStyle name="20% - Accent4 4 3 5" xfId="25581"/>
    <cellStyle name="20% - Accent4 4 4" xfId="7189"/>
    <cellStyle name="20% - Accent4 4 4 2" xfId="13383"/>
    <cellStyle name="20% - Accent4 4 4 2 2" xfId="33266"/>
    <cellStyle name="20% - Accent4 4 4 3" xfId="19535"/>
    <cellStyle name="20% - Accent4 4 4 3 2" xfId="39418"/>
    <cellStyle name="20% - Accent4 4 4 4" xfId="27113"/>
    <cellStyle name="20% - Accent4 4 5" xfId="10317"/>
    <cellStyle name="20% - Accent4 4 5 2" xfId="30200"/>
    <cellStyle name="20% - Accent4 4 6" xfId="16469"/>
    <cellStyle name="20% - Accent4 4 6 2" xfId="36352"/>
    <cellStyle name="20% - Accent4 4 7" xfId="1345"/>
    <cellStyle name="20% - Accent4 4 7 2" xfId="24047"/>
    <cellStyle name="20% - Accent4 4 8" xfId="22933"/>
    <cellStyle name="20% - Accent4 4 8 2" xfId="42807"/>
    <cellStyle name="20% - Accent4 4 9" xfId="23510"/>
    <cellStyle name="20% - Accent4 5" xfId="584"/>
    <cellStyle name="20% - Accent4 5 10" xfId="23526"/>
    <cellStyle name="20% - Accent4 5 2" xfId="986"/>
    <cellStyle name="20% - Accent4 5 2 2" xfId="6408"/>
    <cellStyle name="20% - Accent4 5 2 2 2" xfId="9494"/>
    <cellStyle name="20% - Accent4 5 2 2 2 2" xfId="15687"/>
    <cellStyle name="20% - Accent4 5 2 2 2 2 2" xfId="35570"/>
    <cellStyle name="20% - Accent4 5 2 2 2 3" xfId="21839"/>
    <cellStyle name="20% - Accent4 5 2 2 2 3 2" xfId="41722"/>
    <cellStyle name="20% - Accent4 5 2 2 2 4" xfId="29417"/>
    <cellStyle name="20% - Accent4 5 2 2 3" xfId="12621"/>
    <cellStyle name="20% - Accent4 5 2 2 3 2" xfId="32504"/>
    <cellStyle name="20% - Accent4 5 2 2 4" xfId="18773"/>
    <cellStyle name="20% - Accent4 5 2 2 4 2" xfId="38656"/>
    <cellStyle name="20% - Accent4 5 2 2 5" xfId="26351"/>
    <cellStyle name="20% - Accent4 5 2 3" xfId="7959"/>
    <cellStyle name="20% - Accent4 5 2 3 2" xfId="14153"/>
    <cellStyle name="20% - Accent4 5 2 3 2 2" xfId="34036"/>
    <cellStyle name="20% - Accent4 5 2 3 3" xfId="20305"/>
    <cellStyle name="20% - Accent4 5 2 3 3 2" xfId="40188"/>
    <cellStyle name="20% - Accent4 5 2 3 4" xfId="27883"/>
    <cellStyle name="20% - Accent4 5 2 4" xfId="11087"/>
    <cellStyle name="20% - Accent4 5 2 4 2" xfId="30970"/>
    <cellStyle name="20% - Accent4 5 2 5" xfId="17239"/>
    <cellStyle name="20% - Accent4 5 2 5 2" xfId="37122"/>
    <cellStyle name="20% - Accent4 5 2 6" xfId="4783"/>
    <cellStyle name="20% - Accent4 5 2 6 2" xfId="24817"/>
    <cellStyle name="20% - Accent4 5 2 7" xfId="23829"/>
    <cellStyle name="20% - Accent4 5 3" xfId="5622"/>
    <cellStyle name="20% - Accent4 5 3 2" xfId="8725"/>
    <cellStyle name="20% - Accent4 5 3 2 2" xfId="14918"/>
    <cellStyle name="20% - Accent4 5 3 2 2 2" xfId="34801"/>
    <cellStyle name="20% - Accent4 5 3 2 3" xfId="21070"/>
    <cellStyle name="20% - Accent4 5 3 2 3 2" xfId="40953"/>
    <cellStyle name="20% - Accent4 5 3 2 4" xfId="28648"/>
    <cellStyle name="20% - Accent4 5 3 3" xfId="11852"/>
    <cellStyle name="20% - Accent4 5 3 3 2" xfId="31735"/>
    <cellStyle name="20% - Accent4 5 3 4" xfId="18004"/>
    <cellStyle name="20% - Accent4 5 3 4 2" xfId="37887"/>
    <cellStyle name="20% - Accent4 5 3 5" xfId="25582"/>
    <cellStyle name="20% - Accent4 5 4" xfId="7190"/>
    <cellStyle name="20% - Accent4 5 4 2" xfId="13384"/>
    <cellStyle name="20% - Accent4 5 4 2 2" xfId="33267"/>
    <cellStyle name="20% - Accent4 5 4 3" xfId="19536"/>
    <cellStyle name="20% - Accent4 5 4 3 2" xfId="39419"/>
    <cellStyle name="20% - Accent4 5 4 4" xfId="27114"/>
    <cellStyle name="20% - Accent4 5 5" xfId="10318"/>
    <cellStyle name="20% - Accent4 5 5 2" xfId="30201"/>
    <cellStyle name="20% - Accent4 5 6" xfId="16470"/>
    <cellStyle name="20% - Accent4 5 6 2" xfId="36353"/>
    <cellStyle name="20% - Accent4 5 7" xfId="1346"/>
    <cellStyle name="20% - Accent4 5 7 2" xfId="24048"/>
    <cellStyle name="20% - Accent4 5 8" xfId="22610"/>
    <cellStyle name="20% - Accent4 5 8 2" xfId="42484"/>
    <cellStyle name="20% - Accent4 5 9" xfId="22949"/>
    <cellStyle name="20% - Accent4 5 9 2" xfId="42823"/>
    <cellStyle name="20% - Accent4 6" xfId="609"/>
    <cellStyle name="20% - Accent4 6 2" xfId="1002"/>
    <cellStyle name="20% - Accent4 6 2 2" xfId="23845"/>
    <cellStyle name="20% - Accent4 6 3" xfId="1347"/>
    <cellStyle name="20% - Accent4 6 4" xfId="22773"/>
    <cellStyle name="20% - Accent4 6 4 2" xfId="42647"/>
    <cellStyle name="20% - Accent4 6 5" xfId="22965"/>
    <cellStyle name="20% - Accent4 6 5 2" xfId="42839"/>
    <cellStyle name="20% - Accent4 6 6" xfId="23542"/>
    <cellStyle name="20% - Accent4 7" xfId="634"/>
    <cellStyle name="20% - Accent4 7 2" xfId="1018"/>
    <cellStyle name="20% - Accent4 7 2 2" xfId="23861"/>
    <cellStyle name="20% - Accent4 7 3" xfId="22788"/>
    <cellStyle name="20% - Accent4 7 3 2" xfId="42662"/>
    <cellStyle name="20% - Accent4 7 4" xfId="22981"/>
    <cellStyle name="20% - Accent4 7 4 2" xfId="42855"/>
    <cellStyle name="20% - Accent4 7 5" xfId="23558"/>
    <cellStyle name="20% - Accent4 8" xfId="659"/>
    <cellStyle name="20% - Accent4 8 2" xfId="1034"/>
    <cellStyle name="20% - Accent4 8 2 2" xfId="23877"/>
    <cellStyle name="20% - Accent4 8 3" xfId="22812"/>
    <cellStyle name="20% - Accent4 8 3 2" xfId="42686"/>
    <cellStyle name="20% - Accent4 8 4" xfId="22997"/>
    <cellStyle name="20% - Accent4 8 4 2" xfId="42871"/>
    <cellStyle name="20% - Accent4 8 5" xfId="23574"/>
    <cellStyle name="20% - Accent4 9" xfId="698"/>
    <cellStyle name="20% - Accent4 9 2" xfId="1050"/>
    <cellStyle name="20% - Accent4 9 2 2" xfId="23893"/>
    <cellStyle name="20% - Accent4 9 3" xfId="22647"/>
    <cellStyle name="20% - Accent4 9 3 2" xfId="42521"/>
    <cellStyle name="20% - Accent4 9 4" xfId="23013"/>
    <cellStyle name="20% - Accent4 9 4 2" xfId="42887"/>
    <cellStyle name="20% - Accent4 9 5" xfId="23590"/>
    <cellStyle name="20% - Accent5" xfId="185" builtinId="46" customBuiltin="1"/>
    <cellStyle name="20% - Accent5 10" xfId="730"/>
    <cellStyle name="20% - Accent5 10 2" xfId="1068"/>
    <cellStyle name="20% - Accent5 10 2 2" xfId="23911"/>
    <cellStyle name="20% - Accent5 10 3" xfId="22760"/>
    <cellStyle name="20% - Accent5 10 3 2" xfId="42634"/>
    <cellStyle name="20% - Accent5 10 4" xfId="23031"/>
    <cellStyle name="20% - Accent5 10 4 2" xfId="42905"/>
    <cellStyle name="20% - Accent5 10 5" xfId="23608"/>
    <cellStyle name="20% - Accent5 11" xfId="756"/>
    <cellStyle name="20% - Accent5 11 2" xfId="1084"/>
    <cellStyle name="20% - Accent5 11 2 2" xfId="23927"/>
    <cellStyle name="20% - Accent5 11 3" xfId="22725"/>
    <cellStyle name="20% - Accent5 11 3 2" xfId="42599"/>
    <cellStyle name="20% - Accent5 11 4" xfId="23047"/>
    <cellStyle name="20% - Accent5 11 4 2" xfId="42921"/>
    <cellStyle name="20% - Accent5 11 5" xfId="23624"/>
    <cellStyle name="20% - Accent5 12" xfId="782"/>
    <cellStyle name="20% - Accent5 12 2" xfId="1100"/>
    <cellStyle name="20% - Accent5 12 2 2" xfId="23943"/>
    <cellStyle name="20% - Accent5 12 3" xfId="22685"/>
    <cellStyle name="20% - Accent5 12 3 2" xfId="42559"/>
    <cellStyle name="20% - Accent5 12 4" xfId="23063"/>
    <cellStyle name="20% - Accent5 12 4 2" xfId="42937"/>
    <cellStyle name="20% - Accent5 12 5" xfId="23640"/>
    <cellStyle name="20% - Accent5 13" xfId="806"/>
    <cellStyle name="20% - Accent5 13 2" xfId="1116"/>
    <cellStyle name="20% - Accent5 13 2 2" xfId="23959"/>
    <cellStyle name="20% - Accent5 13 3" xfId="22663"/>
    <cellStyle name="20% - Accent5 13 3 2" xfId="42537"/>
    <cellStyle name="20% - Accent5 13 4" xfId="23079"/>
    <cellStyle name="20% - Accent5 13 4 2" xfId="42953"/>
    <cellStyle name="20% - Accent5 13 5" xfId="23656"/>
    <cellStyle name="20% - Accent5 14" xfId="824"/>
    <cellStyle name="20% - Accent5 14 2" xfId="1132"/>
    <cellStyle name="20% - Accent5 14 2 2" xfId="23975"/>
    <cellStyle name="20% - Accent5 14 3" xfId="22716"/>
    <cellStyle name="20% - Accent5 14 3 2" xfId="42590"/>
    <cellStyle name="20% - Accent5 14 4" xfId="23095"/>
    <cellStyle name="20% - Accent5 14 4 2" xfId="42969"/>
    <cellStyle name="20% - Accent5 14 5" xfId="23672"/>
    <cellStyle name="20% - Accent5 15" xfId="840"/>
    <cellStyle name="20% - Accent5 15 2" xfId="1148"/>
    <cellStyle name="20% - Accent5 15 2 2" xfId="23991"/>
    <cellStyle name="20% - Accent5 15 3" xfId="22679"/>
    <cellStyle name="20% - Accent5 15 3 2" xfId="42553"/>
    <cellStyle name="20% - Accent5 15 4" xfId="23111"/>
    <cellStyle name="20% - Accent5 15 4 2" xfId="42985"/>
    <cellStyle name="20% - Accent5 15 5" xfId="23688"/>
    <cellStyle name="20% - Accent5 16" xfId="864"/>
    <cellStyle name="20% - Accent5 16 2" xfId="23707"/>
    <cellStyle name="20% - Accent5 17" xfId="22827"/>
    <cellStyle name="20% - Accent5 17 2" xfId="42701"/>
    <cellStyle name="20% - Accent5 18" xfId="23401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2 2" xfId="35571"/>
    <cellStyle name="20% - Accent5 2 2 2 2 3" xfId="21840"/>
    <cellStyle name="20% - Accent5 2 2 2 2 3 2" xfId="41723"/>
    <cellStyle name="20% - Accent5 2 2 2 2 4" xfId="29418"/>
    <cellStyle name="20% - Accent5 2 2 2 3" xfId="12622"/>
    <cellStyle name="20% - Accent5 2 2 2 3 2" xfId="32505"/>
    <cellStyle name="20% - Accent5 2 2 2 4" xfId="18774"/>
    <cellStyle name="20% - Accent5 2 2 2 4 2" xfId="38657"/>
    <cellStyle name="20% - Accent5 2 2 2 5" xfId="26352"/>
    <cellStyle name="20% - Accent5 2 2 3" xfId="7960"/>
    <cellStyle name="20% - Accent5 2 2 3 2" xfId="14154"/>
    <cellStyle name="20% - Accent5 2 2 3 2 2" xfId="34037"/>
    <cellStyle name="20% - Accent5 2 2 3 3" xfId="20306"/>
    <cellStyle name="20% - Accent5 2 2 3 3 2" xfId="40189"/>
    <cellStyle name="20% - Accent5 2 2 3 4" xfId="27884"/>
    <cellStyle name="20% - Accent5 2 2 4" xfId="11088"/>
    <cellStyle name="20% - Accent5 2 2 4 2" xfId="30971"/>
    <cellStyle name="20% - Accent5 2 2 5" xfId="17240"/>
    <cellStyle name="20% - Accent5 2 2 5 2" xfId="37123"/>
    <cellStyle name="20% - Accent5 2 2 6" xfId="4784"/>
    <cellStyle name="20% - Accent5 2 2 6 2" xfId="24818"/>
    <cellStyle name="20% - Accent5 2 2 7" xfId="23783"/>
    <cellStyle name="20% - Accent5 2 3" xfId="5623"/>
    <cellStyle name="20% - Accent5 2 3 2" xfId="8726"/>
    <cellStyle name="20% - Accent5 2 3 2 2" xfId="14919"/>
    <cellStyle name="20% - Accent5 2 3 2 2 2" xfId="34802"/>
    <cellStyle name="20% - Accent5 2 3 2 3" xfId="21071"/>
    <cellStyle name="20% - Accent5 2 3 2 3 2" xfId="40954"/>
    <cellStyle name="20% - Accent5 2 3 2 4" xfId="28649"/>
    <cellStyle name="20% - Accent5 2 3 3" xfId="11853"/>
    <cellStyle name="20% - Accent5 2 3 3 2" xfId="31736"/>
    <cellStyle name="20% - Accent5 2 3 4" xfId="18005"/>
    <cellStyle name="20% - Accent5 2 3 4 2" xfId="37888"/>
    <cellStyle name="20% - Accent5 2 3 5" xfId="25583"/>
    <cellStyle name="20% - Accent5 2 4" xfId="7191"/>
    <cellStyle name="20% - Accent5 2 4 2" xfId="13385"/>
    <cellStyle name="20% - Accent5 2 4 2 2" xfId="33268"/>
    <cellStyle name="20% - Accent5 2 4 3" xfId="19537"/>
    <cellStyle name="20% - Accent5 2 4 3 2" xfId="39420"/>
    <cellStyle name="20% - Accent5 2 4 4" xfId="27115"/>
    <cellStyle name="20% - Accent5 2 5" xfId="10319"/>
    <cellStyle name="20% - Accent5 2 5 2" xfId="30202"/>
    <cellStyle name="20% - Accent5 2 6" xfId="16471"/>
    <cellStyle name="20% - Accent5 2 6 2" xfId="36354"/>
    <cellStyle name="20% - Accent5 2 7" xfId="1348"/>
    <cellStyle name="20% - Accent5 2 7 2" xfId="24049"/>
    <cellStyle name="20% - Accent5 2 8" xfId="22903"/>
    <cellStyle name="20% - Accent5 2 8 2" xfId="42777"/>
    <cellStyle name="20% - Accent5 2 9" xfId="23480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2 2" xfId="35572"/>
    <cellStyle name="20% - Accent5 3 2 2 2 3" xfId="21841"/>
    <cellStyle name="20% - Accent5 3 2 2 2 3 2" xfId="41724"/>
    <cellStyle name="20% - Accent5 3 2 2 2 4" xfId="29419"/>
    <cellStyle name="20% - Accent5 3 2 2 3" xfId="12623"/>
    <cellStyle name="20% - Accent5 3 2 2 3 2" xfId="32506"/>
    <cellStyle name="20% - Accent5 3 2 2 4" xfId="18775"/>
    <cellStyle name="20% - Accent5 3 2 2 4 2" xfId="38658"/>
    <cellStyle name="20% - Accent5 3 2 2 5" xfId="26353"/>
    <cellStyle name="20% - Accent5 3 2 3" xfId="7961"/>
    <cellStyle name="20% - Accent5 3 2 3 2" xfId="14155"/>
    <cellStyle name="20% - Accent5 3 2 3 2 2" xfId="34038"/>
    <cellStyle name="20% - Accent5 3 2 3 3" xfId="20307"/>
    <cellStyle name="20% - Accent5 3 2 3 3 2" xfId="40190"/>
    <cellStyle name="20% - Accent5 3 2 3 4" xfId="27885"/>
    <cellStyle name="20% - Accent5 3 2 4" xfId="11089"/>
    <cellStyle name="20% - Accent5 3 2 4 2" xfId="30972"/>
    <cellStyle name="20% - Accent5 3 2 5" xfId="17241"/>
    <cellStyle name="20% - Accent5 3 2 5 2" xfId="37124"/>
    <cellStyle name="20% - Accent5 3 2 6" xfId="4785"/>
    <cellStyle name="20% - Accent5 3 2 6 2" xfId="24819"/>
    <cellStyle name="20% - Accent5 3 2 7" xfId="23799"/>
    <cellStyle name="20% - Accent5 3 3" xfId="5624"/>
    <cellStyle name="20% - Accent5 3 3 2" xfId="8727"/>
    <cellStyle name="20% - Accent5 3 3 2 2" xfId="14920"/>
    <cellStyle name="20% - Accent5 3 3 2 2 2" xfId="34803"/>
    <cellStyle name="20% - Accent5 3 3 2 3" xfId="21072"/>
    <cellStyle name="20% - Accent5 3 3 2 3 2" xfId="40955"/>
    <cellStyle name="20% - Accent5 3 3 2 4" xfId="28650"/>
    <cellStyle name="20% - Accent5 3 3 3" xfId="11854"/>
    <cellStyle name="20% - Accent5 3 3 3 2" xfId="31737"/>
    <cellStyle name="20% - Accent5 3 3 4" xfId="18006"/>
    <cellStyle name="20% - Accent5 3 3 4 2" xfId="37889"/>
    <cellStyle name="20% - Accent5 3 3 5" xfId="25584"/>
    <cellStyle name="20% - Accent5 3 4" xfId="7192"/>
    <cellStyle name="20% - Accent5 3 4 2" xfId="13386"/>
    <cellStyle name="20% - Accent5 3 4 2 2" xfId="33269"/>
    <cellStyle name="20% - Accent5 3 4 3" xfId="19538"/>
    <cellStyle name="20% - Accent5 3 4 3 2" xfId="39421"/>
    <cellStyle name="20% - Accent5 3 4 4" xfId="27116"/>
    <cellStyle name="20% - Accent5 3 5" xfId="10320"/>
    <cellStyle name="20% - Accent5 3 5 2" xfId="30203"/>
    <cellStyle name="20% - Accent5 3 6" xfId="16472"/>
    <cellStyle name="20% - Accent5 3 6 2" xfId="36355"/>
    <cellStyle name="20% - Accent5 3 7" xfId="1349"/>
    <cellStyle name="20% - Accent5 3 7 2" xfId="24050"/>
    <cellStyle name="20% - Accent5 3 8" xfId="22919"/>
    <cellStyle name="20% - Accent5 3 8 2" xfId="42793"/>
    <cellStyle name="20% - Accent5 3 9" xfId="23496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2 2" xfId="35573"/>
    <cellStyle name="20% - Accent5 4 2 2 2 3" xfId="21842"/>
    <cellStyle name="20% - Accent5 4 2 2 2 3 2" xfId="41725"/>
    <cellStyle name="20% - Accent5 4 2 2 2 4" xfId="29420"/>
    <cellStyle name="20% - Accent5 4 2 2 3" xfId="12624"/>
    <cellStyle name="20% - Accent5 4 2 2 3 2" xfId="32507"/>
    <cellStyle name="20% - Accent5 4 2 2 4" xfId="18776"/>
    <cellStyle name="20% - Accent5 4 2 2 4 2" xfId="38659"/>
    <cellStyle name="20% - Accent5 4 2 2 5" xfId="26354"/>
    <cellStyle name="20% - Accent5 4 2 3" xfId="7962"/>
    <cellStyle name="20% - Accent5 4 2 3 2" xfId="14156"/>
    <cellStyle name="20% - Accent5 4 2 3 2 2" xfId="34039"/>
    <cellStyle name="20% - Accent5 4 2 3 3" xfId="20308"/>
    <cellStyle name="20% - Accent5 4 2 3 3 2" xfId="40191"/>
    <cellStyle name="20% - Accent5 4 2 3 4" xfId="27886"/>
    <cellStyle name="20% - Accent5 4 2 4" xfId="11090"/>
    <cellStyle name="20% - Accent5 4 2 4 2" xfId="30973"/>
    <cellStyle name="20% - Accent5 4 2 5" xfId="17242"/>
    <cellStyle name="20% - Accent5 4 2 5 2" xfId="37125"/>
    <cellStyle name="20% - Accent5 4 2 6" xfId="4786"/>
    <cellStyle name="20% - Accent5 4 2 6 2" xfId="24820"/>
    <cellStyle name="20% - Accent5 4 2 7" xfId="23815"/>
    <cellStyle name="20% - Accent5 4 3" xfId="5625"/>
    <cellStyle name="20% - Accent5 4 3 2" xfId="8728"/>
    <cellStyle name="20% - Accent5 4 3 2 2" xfId="14921"/>
    <cellStyle name="20% - Accent5 4 3 2 2 2" xfId="34804"/>
    <cellStyle name="20% - Accent5 4 3 2 3" xfId="21073"/>
    <cellStyle name="20% - Accent5 4 3 2 3 2" xfId="40956"/>
    <cellStyle name="20% - Accent5 4 3 2 4" xfId="28651"/>
    <cellStyle name="20% - Accent5 4 3 3" xfId="11855"/>
    <cellStyle name="20% - Accent5 4 3 3 2" xfId="31738"/>
    <cellStyle name="20% - Accent5 4 3 4" xfId="18007"/>
    <cellStyle name="20% - Accent5 4 3 4 2" xfId="37890"/>
    <cellStyle name="20% - Accent5 4 3 5" xfId="25585"/>
    <cellStyle name="20% - Accent5 4 4" xfId="7193"/>
    <cellStyle name="20% - Accent5 4 4 2" xfId="13387"/>
    <cellStyle name="20% - Accent5 4 4 2 2" xfId="33270"/>
    <cellStyle name="20% - Accent5 4 4 3" xfId="19539"/>
    <cellStyle name="20% - Accent5 4 4 3 2" xfId="39422"/>
    <cellStyle name="20% - Accent5 4 4 4" xfId="27117"/>
    <cellStyle name="20% - Accent5 4 5" xfId="10321"/>
    <cellStyle name="20% - Accent5 4 5 2" xfId="30204"/>
    <cellStyle name="20% - Accent5 4 6" xfId="16473"/>
    <cellStyle name="20% - Accent5 4 6 2" xfId="36356"/>
    <cellStyle name="20% - Accent5 4 7" xfId="1350"/>
    <cellStyle name="20% - Accent5 4 7 2" xfId="24051"/>
    <cellStyle name="20% - Accent5 4 8" xfId="22935"/>
    <cellStyle name="20% - Accent5 4 8 2" xfId="42809"/>
    <cellStyle name="20% - Accent5 4 9" xfId="23512"/>
    <cellStyle name="20% - Accent5 5" xfId="587"/>
    <cellStyle name="20% - Accent5 5 2" xfId="988"/>
    <cellStyle name="20% - Accent5 5 2 2" xfId="23831"/>
    <cellStyle name="20% - Accent5 5 3" xfId="1351"/>
    <cellStyle name="20% - Accent5 5 4" xfId="22596"/>
    <cellStyle name="20% - Accent5 5 4 2" xfId="42470"/>
    <cellStyle name="20% - Accent5 5 5" xfId="22951"/>
    <cellStyle name="20% - Accent5 5 5 2" xfId="42825"/>
    <cellStyle name="20% - Accent5 5 6" xfId="23528"/>
    <cellStyle name="20% - Accent5 6" xfId="613"/>
    <cellStyle name="20% - Accent5 6 2" xfId="1004"/>
    <cellStyle name="20% - Accent5 6 2 2" xfId="23847"/>
    <cellStyle name="20% - Accent5 6 3" xfId="22757"/>
    <cellStyle name="20% - Accent5 6 3 2" xfId="42631"/>
    <cellStyle name="20% - Accent5 6 4" xfId="22967"/>
    <cellStyle name="20% - Accent5 6 4 2" xfId="42841"/>
    <cellStyle name="20% - Accent5 6 5" xfId="23544"/>
    <cellStyle name="20% - Accent5 7" xfId="637"/>
    <cellStyle name="20% - Accent5 7 2" xfId="1020"/>
    <cellStyle name="20% - Accent5 7 2 2" xfId="23863"/>
    <cellStyle name="20% - Accent5 7 3" xfId="22772"/>
    <cellStyle name="20% - Accent5 7 3 2" xfId="42646"/>
    <cellStyle name="20% - Accent5 7 4" xfId="22983"/>
    <cellStyle name="20% - Accent5 7 4 2" xfId="42857"/>
    <cellStyle name="20% - Accent5 7 5" xfId="23560"/>
    <cellStyle name="20% - Accent5 8" xfId="662"/>
    <cellStyle name="20% - Accent5 8 2" xfId="1036"/>
    <cellStyle name="20% - Accent5 8 2 2" xfId="23879"/>
    <cellStyle name="20% - Accent5 8 3" xfId="22801"/>
    <cellStyle name="20% - Accent5 8 3 2" xfId="42675"/>
    <cellStyle name="20% - Accent5 8 4" xfId="22999"/>
    <cellStyle name="20% - Accent5 8 4 2" xfId="42873"/>
    <cellStyle name="20% - Accent5 8 5" xfId="23576"/>
    <cellStyle name="20% - Accent5 9" xfId="702"/>
    <cellStyle name="20% - Accent5 9 2" xfId="1052"/>
    <cellStyle name="20% - Accent5 9 2 2" xfId="23895"/>
    <cellStyle name="20% - Accent5 9 3" xfId="22696"/>
    <cellStyle name="20% - Accent5 9 3 2" xfId="42570"/>
    <cellStyle name="20% - Accent5 9 4" xfId="23015"/>
    <cellStyle name="20% - Accent5 9 4 2" xfId="42889"/>
    <cellStyle name="20% - Accent5 9 5" xfId="23592"/>
    <cellStyle name="20% - Accent6" xfId="189" builtinId="50" customBuiltin="1"/>
    <cellStyle name="20% - Accent6 10" xfId="734"/>
    <cellStyle name="20% - Accent6 10 2" xfId="1070"/>
    <cellStyle name="20% - Accent6 10 2 2" xfId="23913"/>
    <cellStyle name="20% - Accent6 10 3" xfId="22691"/>
    <cellStyle name="20% - Accent6 10 3 2" xfId="42565"/>
    <cellStyle name="20% - Accent6 10 4" xfId="23033"/>
    <cellStyle name="20% - Accent6 10 4 2" xfId="42907"/>
    <cellStyle name="20% - Accent6 10 5" xfId="23610"/>
    <cellStyle name="20% - Accent6 11" xfId="760"/>
    <cellStyle name="20% - Accent6 11 2" xfId="1086"/>
    <cellStyle name="20% - Accent6 11 2 2" xfId="23929"/>
    <cellStyle name="20% - Accent6 11 3" xfId="22666"/>
    <cellStyle name="20% - Accent6 11 3 2" xfId="42540"/>
    <cellStyle name="20% - Accent6 11 4" xfId="23049"/>
    <cellStyle name="20% - Accent6 11 4 2" xfId="42923"/>
    <cellStyle name="20% - Accent6 11 5" xfId="23626"/>
    <cellStyle name="20% - Accent6 12" xfId="785"/>
    <cellStyle name="20% - Accent6 12 2" xfId="1102"/>
    <cellStyle name="20% - Accent6 12 2 2" xfId="23945"/>
    <cellStyle name="20% - Accent6 12 3" xfId="22688"/>
    <cellStyle name="20% - Accent6 12 3 2" xfId="42562"/>
    <cellStyle name="20% - Accent6 12 4" xfId="23065"/>
    <cellStyle name="20% - Accent6 12 4 2" xfId="42939"/>
    <cellStyle name="20% - Accent6 12 5" xfId="23642"/>
    <cellStyle name="20% - Accent6 13" xfId="809"/>
    <cellStyle name="20% - Accent6 13 2" xfId="1118"/>
    <cellStyle name="20% - Accent6 13 2 2" xfId="23961"/>
    <cellStyle name="20% - Accent6 13 3" xfId="22730"/>
    <cellStyle name="20% - Accent6 13 3 2" xfId="42604"/>
    <cellStyle name="20% - Accent6 13 4" xfId="23081"/>
    <cellStyle name="20% - Accent6 13 4 2" xfId="42955"/>
    <cellStyle name="20% - Accent6 13 5" xfId="23658"/>
    <cellStyle name="20% - Accent6 14" xfId="826"/>
    <cellStyle name="20% - Accent6 14 2" xfId="1134"/>
    <cellStyle name="20% - Accent6 14 2 2" xfId="23977"/>
    <cellStyle name="20% - Accent6 14 3" xfId="22611"/>
    <cellStyle name="20% - Accent6 14 3 2" xfId="42485"/>
    <cellStyle name="20% - Accent6 14 4" xfId="23097"/>
    <cellStyle name="20% - Accent6 14 4 2" xfId="42971"/>
    <cellStyle name="20% - Accent6 14 5" xfId="23674"/>
    <cellStyle name="20% - Accent6 15" xfId="842"/>
    <cellStyle name="20% - Accent6 15 2" xfId="1150"/>
    <cellStyle name="20% - Accent6 15 2 2" xfId="23993"/>
    <cellStyle name="20% - Accent6 15 3" xfId="22591"/>
    <cellStyle name="20% - Accent6 15 3 2" xfId="42465"/>
    <cellStyle name="20% - Accent6 15 4" xfId="23113"/>
    <cellStyle name="20% - Accent6 15 4 2" xfId="42987"/>
    <cellStyle name="20% - Accent6 15 5" xfId="23690"/>
    <cellStyle name="20% - Accent6 16" xfId="866"/>
    <cellStyle name="20% - Accent6 16 2" xfId="23709"/>
    <cellStyle name="20% - Accent6 17" xfId="22829"/>
    <cellStyle name="20% - Accent6 17 2" xfId="42703"/>
    <cellStyle name="20% - Accent6 18" xfId="23403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2 2" xfId="35574"/>
    <cellStyle name="20% - Accent6 2 2 2 2 3" xfId="21843"/>
    <cellStyle name="20% - Accent6 2 2 2 2 3 2" xfId="41726"/>
    <cellStyle name="20% - Accent6 2 2 2 2 4" xfId="29421"/>
    <cellStyle name="20% - Accent6 2 2 2 3" xfId="12625"/>
    <cellStyle name="20% - Accent6 2 2 2 3 2" xfId="32508"/>
    <cellStyle name="20% - Accent6 2 2 2 4" xfId="18777"/>
    <cellStyle name="20% - Accent6 2 2 2 4 2" xfId="38660"/>
    <cellStyle name="20% - Accent6 2 2 2 5" xfId="26355"/>
    <cellStyle name="20% - Accent6 2 2 3" xfId="7963"/>
    <cellStyle name="20% - Accent6 2 2 3 2" xfId="14157"/>
    <cellStyle name="20% - Accent6 2 2 3 2 2" xfId="34040"/>
    <cellStyle name="20% - Accent6 2 2 3 3" xfId="20309"/>
    <cellStyle name="20% - Accent6 2 2 3 3 2" xfId="40192"/>
    <cellStyle name="20% - Accent6 2 2 3 4" xfId="27887"/>
    <cellStyle name="20% - Accent6 2 2 4" xfId="11091"/>
    <cellStyle name="20% - Accent6 2 2 4 2" xfId="30974"/>
    <cellStyle name="20% - Accent6 2 2 5" xfId="17243"/>
    <cellStyle name="20% - Accent6 2 2 5 2" xfId="37126"/>
    <cellStyle name="20% - Accent6 2 2 6" xfId="4787"/>
    <cellStyle name="20% - Accent6 2 2 6 2" xfId="24821"/>
    <cellStyle name="20% - Accent6 2 2 7" xfId="23785"/>
    <cellStyle name="20% - Accent6 2 3" xfId="5626"/>
    <cellStyle name="20% - Accent6 2 3 2" xfId="8729"/>
    <cellStyle name="20% - Accent6 2 3 2 2" xfId="14922"/>
    <cellStyle name="20% - Accent6 2 3 2 2 2" xfId="34805"/>
    <cellStyle name="20% - Accent6 2 3 2 3" xfId="21074"/>
    <cellStyle name="20% - Accent6 2 3 2 3 2" xfId="40957"/>
    <cellStyle name="20% - Accent6 2 3 2 4" xfId="28652"/>
    <cellStyle name="20% - Accent6 2 3 3" xfId="11856"/>
    <cellStyle name="20% - Accent6 2 3 3 2" xfId="31739"/>
    <cellStyle name="20% - Accent6 2 3 4" xfId="18008"/>
    <cellStyle name="20% - Accent6 2 3 4 2" xfId="37891"/>
    <cellStyle name="20% - Accent6 2 3 5" xfId="25586"/>
    <cellStyle name="20% - Accent6 2 4" xfId="7194"/>
    <cellStyle name="20% - Accent6 2 4 2" xfId="13388"/>
    <cellStyle name="20% - Accent6 2 4 2 2" xfId="33271"/>
    <cellStyle name="20% - Accent6 2 4 3" xfId="19540"/>
    <cellStyle name="20% - Accent6 2 4 3 2" xfId="39423"/>
    <cellStyle name="20% - Accent6 2 4 4" xfId="27118"/>
    <cellStyle name="20% - Accent6 2 5" xfId="10322"/>
    <cellStyle name="20% - Accent6 2 5 2" xfId="30205"/>
    <cellStyle name="20% - Accent6 2 6" xfId="16474"/>
    <cellStyle name="20% - Accent6 2 6 2" xfId="36357"/>
    <cellStyle name="20% - Accent6 2 7" xfId="1352"/>
    <cellStyle name="20% - Accent6 2 7 2" xfId="24052"/>
    <cellStyle name="20% - Accent6 2 8" xfId="22905"/>
    <cellStyle name="20% - Accent6 2 8 2" xfId="42779"/>
    <cellStyle name="20% - Accent6 2 9" xfId="23482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2 2" xfId="35575"/>
    <cellStyle name="20% - Accent6 3 2 2 2 3" xfId="21844"/>
    <cellStyle name="20% - Accent6 3 2 2 2 3 2" xfId="41727"/>
    <cellStyle name="20% - Accent6 3 2 2 2 4" xfId="29422"/>
    <cellStyle name="20% - Accent6 3 2 2 3" xfId="12626"/>
    <cellStyle name="20% - Accent6 3 2 2 3 2" xfId="32509"/>
    <cellStyle name="20% - Accent6 3 2 2 4" xfId="18778"/>
    <cellStyle name="20% - Accent6 3 2 2 4 2" xfId="38661"/>
    <cellStyle name="20% - Accent6 3 2 2 5" xfId="26356"/>
    <cellStyle name="20% - Accent6 3 2 3" xfId="7964"/>
    <cellStyle name="20% - Accent6 3 2 3 2" xfId="14158"/>
    <cellStyle name="20% - Accent6 3 2 3 2 2" xfId="34041"/>
    <cellStyle name="20% - Accent6 3 2 3 3" xfId="20310"/>
    <cellStyle name="20% - Accent6 3 2 3 3 2" xfId="40193"/>
    <cellStyle name="20% - Accent6 3 2 3 4" xfId="27888"/>
    <cellStyle name="20% - Accent6 3 2 4" xfId="11092"/>
    <cellStyle name="20% - Accent6 3 2 4 2" xfId="30975"/>
    <cellStyle name="20% - Accent6 3 2 5" xfId="17244"/>
    <cellStyle name="20% - Accent6 3 2 5 2" xfId="37127"/>
    <cellStyle name="20% - Accent6 3 2 6" xfId="4788"/>
    <cellStyle name="20% - Accent6 3 2 6 2" xfId="24822"/>
    <cellStyle name="20% - Accent6 3 2 7" xfId="23801"/>
    <cellStyle name="20% - Accent6 3 3" xfId="5627"/>
    <cellStyle name="20% - Accent6 3 3 2" xfId="8730"/>
    <cellStyle name="20% - Accent6 3 3 2 2" xfId="14923"/>
    <cellStyle name="20% - Accent6 3 3 2 2 2" xfId="34806"/>
    <cellStyle name="20% - Accent6 3 3 2 3" xfId="21075"/>
    <cellStyle name="20% - Accent6 3 3 2 3 2" xfId="40958"/>
    <cellStyle name="20% - Accent6 3 3 2 4" xfId="28653"/>
    <cellStyle name="20% - Accent6 3 3 3" xfId="11857"/>
    <cellStyle name="20% - Accent6 3 3 3 2" xfId="31740"/>
    <cellStyle name="20% - Accent6 3 3 4" xfId="18009"/>
    <cellStyle name="20% - Accent6 3 3 4 2" xfId="37892"/>
    <cellStyle name="20% - Accent6 3 3 5" xfId="25587"/>
    <cellStyle name="20% - Accent6 3 4" xfId="7195"/>
    <cellStyle name="20% - Accent6 3 4 2" xfId="13389"/>
    <cellStyle name="20% - Accent6 3 4 2 2" xfId="33272"/>
    <cellStyle name="20% - Accent6 3 4 3" xfId="19541"/>
    <cellStyle name="20% - Accent6 3 4 3 2" xfId="39424"/>
    <cellStyle name="20% - Accent6 3 4 4" xfId="27119"/>
    <cellStyle name="20% - Accent6 3 5" xfId="10323"/>
    <cellStyle name="20% - Accent6 3 5 2" xfId="30206"/>
    <cellStyle name="20% - Accent6 3 6" xfId="16475"/>
    <cellStyle name="20% - Accent6 3 6 2" xfId="36358"/>
    <cellStyle name="20% - Accent6 3 7" xfId="1353"/>
    <cellStyle name="20% - Accent6 3 7 2" xfId="24053"/>
    <cellStyle name="20% - Accent6 3 8" xfId="22921"/>
    <cellStyle name="20% - Accent6 3 8 2" xfId="42795"/>
    <cellStyle name="20% - Accent6 3 9" xfId="23498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2 2" xfId="35576"/>
    <cellStyle name="20% - Accent6 4 2 2 2 3" xfId="21845"/>
    <cellStyle name="20% - Accent6 4 2 2 2 3 2" xfId="41728"/>
    <cellStyle name="20% - Accent6 4 2 2 2 4" xfId="29423"/>
    <cellStyle name="20% - Accent6 4 2 2 3" xfId="12627"/>
    <cellStyle name="20% - Accent6 4 2 2 3 2" xfId="32510"/>
    <cellStyle name="20% - Accent6 4 2 2 4" xfId="18779"/>
    <cellStyle name="20% - Accent6 4 2 2 4 2" xfId="38662"/>
    <cellStyle name="20% - Accent6 4 2 2 5" xfId="26357"/>
    <cellStyle name="20% - Accent6 4 2 3" xfId="7965"/>
    <cellStyle name="20% - Accent6 4 2 3 2" xfId="14159"/>
    <cellStyle name="20% - Accent6 4 2 3 2 2" xfId="34042"/>
    <cellStyle name="20% - Accent6 4 2 3 3" xfId="20311"/>
    <cellStyle name="20% - Accent6 4 2 3 3 2" xfId="40194"/>
    <cellStyle name="20% - Accent6 4 2 3 4" xfId="27889"/>
    <cellStyle name="20% - Accent6 4 2 4" xfId="11093"/>
    <cellStyle name="20% - Accent6 4 2 4 2" xfId="30976"/>
    <cellStyle name="20% - Accent6 4 2 5" xfId="17245"/>
    <cellStyle name="20% - Accent6 4 2 5 2" xfId="37128"/>
    <cellStyle name="20% - Accent6 4 2 6" xfId="4789"/>
    <cellStyle name="20% - Accent6 4 2 6 2" xfId="24823"/>
    <cellStyle name="20% - Accent6 4 2 7" xfId="23817"/>
    <cellStyle name="20% - Accent6 4 3" xfId="5628"/>
    <cellStyle name="20% - Accent6 4 3 2" xfId="8731"/>
    <cellStyle name="20% - Accent6 4 3 2 2" xfId="14924"/>
    <cellStyle name="20% - Accent6 4 3 2 2 2" xfId="34807"/>
    <cellStyle name="20% - Accent6 4 3 2 3" xfId="21076"/>
    <cellStyle name="20% - Accent6 4 3 2 3 2" xfId="40959"/>
    <cellStyle name="20% - Accent6 4 3 2 4" xfId="28654"/>
    <cellStyle name="20% - Accent6 4 3 3" xfId="11858"/>
    <cellStyle name="20% - Accent6 4 3 3 2" xfId="31741"/>
    <cellStyle name="20% - Accent6 4 3 4" xfId="18010"/>
    <cellStyle name="20% - Accent6 4 3 4 2" xfId="37893"/>
    <cellStyle name="20% - Accent6 4 3 5" xfId="25588"/>
    <cellStyle name="20% - Accent6 4 4" xfId="7196"/>
    <cellStyle name="20% - Accent6 4 4 2" xfId="13390"/>
    <cellStyle name="20% - Accent6 4 4 2 2" xfId="33273"/>
    <cellStyle name="20% - Accent6 4 4 3" xfId="19542"/>
    <cellStyle name="20% - Accent6 4 4 3 2" xfId="39425"/>
    <cellStyle name="20% - Accent6 4 4 4" xfId="27120"/>
    <cellStyle name="20% - Accent6 4 5" xfId="10324"/>
    <cellStyle name="20% - Accent6 4 5 2" xfId="30207"/>
    <cellStyle name="20% - Accent6 4 6" xfId="16476"/>
    <cellStyle name="20% - Accent6 4 6 2" xfId="36359"/>
    <cellStyle name="20% - Accent6 4 7" xfId="1354"/>
    <cellStyle name="20% - Accent6 4 7 2" xfId="24054"/>
    <cellStyle name="20% - Accent6 4 8" xfId="22937"/>
    <cellStyle name="20% - Accent6 4 8 2" xfId="42811"/>
    <cellStyle name="20% - Accent6 4 9" xfId="23514"/>
    <cellStyle name="20% - Accent6 5" xfId="590"/>
    <cellStyle name="20% - Accent6 5 2" xfId="990"/>
    <cellStyle name="20% - Accent6 5 2 2" xfId="23833"/>
    <cellStyle name="20% - Accent6 5 3" xfId="1355"/>
    <cellStyle name="20% - Accent6 5 4" xfId="22590"/>
    <cellStyle name="20% - Accent6 5 4 2" xfId="42464"/>
    <cellStyle name="20% - Accent6 5 5" xfId="22953"/>
    <cellStyle name="20% - Accent6 5 5 2" xfId="42827"/>
    <cellStyle name="20% - Accent6 5 6" xfId="23530"/>
    <cellStyle name="20% - Accent6 6" xfId="617"/>
    <cellStyle name="20% - Accent6 6 2" xfId="1006"/>
    <cellStyle name="20% - Accent6 6 2 2" xfId="23849"/>
    <cellStyle name="20% - Accent6 6 3" xfId="22740"/>
    <cellStyle name="20% - Accent6 6 3 2" xfId="42614"/>
    <cellStyle name="20% - Accent6 6 4" xfId="22969"/>
    <cellStyle name="20% - Accent6 6 4 2" xfId="42843"/>
    <cellStyle name="20% - Accent6 6 5" xfId="23546"/>
    <cellStyle name="20% - Accent6 7" xfId="641"/>
    <cellStyle name="20% - Accent6 7 2" xfId="1022"/>
    <cellStyle name="20% - Accent6 7 2 2" xfId="23865"/>
    <cellStyle name="20% - Accent6 7 3" xfId="22665"/>
    <cellStyle name="20% - Accent6 7 3 2" xfId="42539"/>
    <cellStyle name="20% - Accent6 7 4" xfId="22985"/>
    <cellStyle name="20% - Accent6 7 4 2" xfId="42859"/>
    <cellStyle name="20% - Accent6 7 5" xfId="23562"/>
    <cellStyle name="20% - Accent6 8" xfId="666"/>
    <cellStyle name="20% - Accent6 8 2" xfId="1038"/>
    <cellStyle name="20% - Accent6 8 2 2" xfId="23881"/>
    <cellStyle name="20% - Accent6 8 3" xfId="22662"/>
    <cellStyle name="20% - Accent6 8 3 2" xfId="42536"/>
    <cellStyle name="20% - Accent6 8 4" xfId="23001"/>
    <cellStyle name="20% - Accent6 8 4 2" xfId="42875"/>
    <cellStyle name="20% - Accent6 8 5" xfId="23578"/>
    <cellStyle name="20% - Accent6 9" xfId="706"/>
    <cellStyle name="20% - Accent6 9 2" xfId="1054"/>
    <cellStyle name="20% - Accent6 9 2 2" xfId="23897"/>
    <cellStyle name="20% - Accent6 9 3" xfId="22617"/>
    <cellStyle name="20% - Accent6 9 3 2" xfId="42491"/>
    <cellStyle name="20% - Accent6 9 4" xfId="23017"/>
    <cellStyle name="20% - Accent6 9 4 2" xfId="42891"/>
    <cellStyle name="20% - Accent6 9 5" xfId="23594"/>
    <cellStyle name="40% - Accent1" xfId="170" builtinId="31" customBuiltin="1"/>
    <cellStyle name="40% - Accent1 10" xfId="716"/>
    <cellStyle name="40% - Accent1 10 2" xfId="1061"/>
    <cellStyle name="40% - Accent1 10 2 2" xfId="23904"/>
    <cellStyle name="40% - Accent1 10 3" xfId="22627"/>
    <cellStyle name="40% - Accent1 10 3 2" xfId="42501"/>
    <cellStyle name="40% - Accent1 10 4" xfId="23024"/>
    <cellStyle name="40% - Accent1 10 4 2" xfId="42898"/>
    <cellStyle name="40% - Accent1 10 5" xfId="23601"/>
    <cellStyle name="40% - Accent1 11" xfId="744"/>
    <cellStyle name="40% - Accent1 11 2" xfId="1077"/>
    <cellStyle name="40% - Accent1 11 2 2" xfId="23920"/>
    <cellStyle name="40% - Accent1 11 3" xfId="22809"/>
    <cellStyle name="40% - Accent1 11 3 2" xfId="42683"/>
    <cellStyle name="40% - Accent1 11 4" xfId="23040"/>
    <cellStyle name="40% - Accent1 11 4 2" xfId="42914"/>
    <cellStyle name="40% - Accent1 11 5" xfId="23617"/>
    <cellStyle name="40% - Accent1 12" xfId="770"/>
    <cellStyle name="40% - Accent1 12 2" xfId="1093"/>
    <cellStyle name="40% - Accent1 12 2 2" xfId="23936"/>
    <cellStyle name="40% - Accent1 12 3" xfId="22758"/>
    <cellStyle name="40% - Accent1 12 3 2" xfId="42632"/>
    <cellStyle name="40% - Accent1 12 4" xfId="23056"/>
    <cellStyle name="40% - Accent1 12 4 2" xfId="42930"/>
    <cellStyle name="40% - Accent1 12 5" xfId="23633"/>
    <cellStyle name="40% - Accent1 13" xfId="795"/>
    <cellStyle name="40% - Accent1 13 2" xfId="1109"/>
    <cellStyle name="40% - Accent1 13 2 2" xfId="23952"/>
    <cellStyle name="40% - Accent1 13 3" xfId="22714"/>
    <cellStyle name="40% - Accent1 13 3 2" xfId="42588"/>
    <cellStyle name="40% - Accent1 13 4" xfId="23072"/>
    <cellStyle name="40% - Accent1 13 4 2" xfId="42946"/>
    <cellStyle name="40% - Accent1 13 5" xfId="23649"/>
    <cellStyle name="40% - Accent1 14" xfId="817"/>
    <cellStyle name="40% - Accent1 14 2" xfId="1125"/>
    <cellStyle name="40% - Accent1 14 2 2" xfId="23968"/>
    <cellStyle name="40% - Accent1 14 3" xfId="22786"/>
    <cellStyle name="40% - Accent1 14 3 2" xfId="42660"/>
    <cellStyle name="40% - Accent1 14 4" xfId="23088"/>
    <cellStyle name="40% - Accent1 14 4 2" xfId="42962"/>
    <cellStyle name="40% - Accent1 14 5" xfId="23665"/>
    <cellStyle name="40% - Accent1 15" xfId="833"/>
    <cellStyle name="40% - Accent1 15 2" xfId="1141"/>
    <cellStyle name="40% - Accent1 15 2 2" xfId="23984"/>
    <cellStyle name="40% - Accent1 15 3" xfId="22677"/>
    <cellStyle name="40% - Accent1 15 3 2" xfId="42551"/>
    <cellStyle name="40% - Accent1 15 4" xfId="23104"/>
    <cellStyle name="40% - Accent1 15 4 2" xfId="42978"/>
    <cellStyle name="40% - Accent1 15 5" xfId="23681"/>
    <cellStyle name="40% - Accent1 16" xfId="857"/>
    <cellStyle name="40% - Accent1 16 2" xfId="23700"/>
    <cellStyle name="40% - Accent1 17" xfId="22820"/>
    <cellStyle name="40% - Accent1 17 2" xfId="42694"/>
    <cellStyle name="40% - Accent1 18" xfId="23394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2 2" xfId="35577"/>
    <cellStyle name="40% - Accent1 2 2 2 2 3" xfId="21846"/>
    <cellStyle name="40% - Accent1 2 2 2 2 3 2" xfId="41729"/>
    <cellStyle name="40% - Accent1 2 2 2 2 4" xfId="29424"/>
    <cellStyle name="40% - Accent1 2 2 2 3" xfId="12628"/>
    <cellStyle name="40% - Accent1 2 2 2 3 2" xfId="32511"/>
    <cellStyle name="40% - Accent1 2 2 2 4" xfId="18780"/>
    <cellStyle name="40% - Accent1 2 2 2 4 2" xfId="38663"/>
    <cellStyle name="40% - Accent1 2 2 2 5" xfId="26358"/>
    <cellStyle name="40% - Accent1 2 2 3" xfId="7966"/>
    <cellStyle name="40% - Accent1 2 2 3 2" xfId="14160"/>
    <cellStyle name="40% - Accent1 2 2 3 2 2" xfId="34043"/>
    <cellStyle name="40% - Accent1 2 2 3 3" xfId="20312"/>
    <cellStyle name="40% - Accent1 2 2 3 3 2" xfId="40195"/>
    <cellStyle name="40% - Accent1 2 2 3 4" xfId="27890"/>
    <cellStyle name="40% - Accent1 2 2 4" xfId="11094"/>
    <cellStyle name="40% - Accent1 2 2 4 2" xfId="30977"/>
    <cellStyle name="40% - Accent1 2 2 5" xfId="17246"/>
    <cellStyle name="40% - Accent1 2 2 5 2" xfId="37129"/>
    <cellStyle name="40% - Accent1 2 2 6" xfId="4790"/>
    <cellStyle name="40% - Accent1 2 2 6 2" xfId="24824"/>
    <cellStyle name="40% - Accent1 2 2 7" xfId="23776"/>
    <cellStyle name="40% - Accent1 2 3" xfId="5629"/>
    <cellStyle name="40% - Accent1 2 3 2" xfId="8732"/>
    <cellStyle name="40% - Accent1 2 3 2 2" xfId="14925"/>
    <cellStyle name="40% - Accent1 2 3 2 2 2" xfId="34808"/>
    <cellStyle name="40% - Accent1 2 3 2 3" xfId="21077"/>
    <cellStyle name="40% - Accent1 2 3 2 3 2" xfId="40960"/>
    <cellStyle name="40% - Accent1 2 3 2 4" xfId="28655"/>
    <cellStyle name="40% - Accent1 2 3 3" xfId="11859"/>
    <cellStyle name="40% - Accent1 2 3 3 2" xfId="31742"/>
    <cellStyle name="40% - Accent1 2 3 4" xfId="18011"/>
    <cellStyle name="40% - Accent1 2 3 4 2" xfId="37894"/>
    <cellStyle name="40% - Accent1 2 3 5" xfId="25589"/>
    <cellStyle name="40% - Accent1 2 4" xfId="7197"/>
    <cellStyle name="40% - Accent1 2 4 2" xfId="13391"/>
    <cellStyle name="40% - Accent1 2 4 2 2" xfId="33274"/>
    <cellStyle name="40% - Accent1 2 4 3" xfId="19543"/>
    <cellStyle name="40% - Accent1 2 4 3 2" xfId="39426"/>
    <cellStyle name="40% - Accent1 2 4 4" xfId="27121"/>
    <cellStyle name="40% - Accent1 2 5" xfId="10325"/>
    <cellStyle name="40% - Accent1 2 5 2" xfId="30208"/>
    <cellStyle name="40% - Accent1 2 6" xfId="16477"/>
    <cellStyle name="40% - Accent1 2 6 2" xfId="36360"/>
    <cellStyle name="40% - Accent1 2 7" xfId="1356"/>
    <cellStyle name="40% - Accent1 2 7 2" xfId="24055"/>
    <cellStyle name="40% - Accent1 2 8" xfId="22896"/>
    <cellStyle name="40% - Accent1 2 8 2" xfId="42770"/>
    <cellStyle name="40% - Accent1 2 9" xfId="23473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2 2" xfId="35578"/>
    <cellStyle name="40% - Accent1 3 2 2 2 3" xfId="21847"/>
    <cellStyle name="40% - Accent1 3 2 2 2 3 2" xfId="41730"/>
    <cellStyle name="40% - Accent1 3 2 2 2 4" xfId="29425"/>
    <cellStyle name="40% - Accent1 3 2 2 3" xfId="12629"/>
    <cellStyle name="40% - Accent1 3 2 2 3 2" xfId="32512"/>
    <cellStyle name="40% - Accent1 3 2 2 4" xfId="18781"/>
    <cellStyle name="40% - Accent1 3 2 2 4 2" xfId="38664"/>
    <cellStyle name="40% - Accent1 3 2 2 5" xfId="26359"/>
    <cellStyle name="40% - Accent1 3 2 3" xfId="7967"/>
    <cellStyle name="40% - Accent1 3 2 3 2" xfId="14161"/>
    <cellStyle name="40% - Accent1 3 2 3 2 2" xfId="34044"/>
    <cellStyle name="40% - Accent1 3 2 3 3" xfId="20313"/>
    <cellStyle name="40% - Accent1 3 2 3 3 2" xfId="40196"/>
    <cellStyle name="40% - Accent1 3 2 3 4" xfId="27891"/>
    <cellStyle name="40% - Accent1 3 2 4" xfId="11095"/>
    <cellStyle name="40% - Accent1 3 2 4 2" xfId="30978"/>
    <cellStyle name="40% - Accent1 3 2 5" xfId="17247"/>
    <cellStyle name="40% - Accent1 3 2 5 2" xfId="37130"/>
    <cellStyle name="40% - Accent1 3 2 6" xfId="4791"/>
    <cellStyle name="40% - Accent1 3 2 6 2" xfId="24825"/>
    <cellStyle name="40% - Accent1 3 2 7" xfId="23792"/>
    <cellStyle name="40% - Accent1 3 3" xfId="5630"/>
    <cellStyle name="40% - Accent1 3 3 2" xfId="8733"/>
    <cellStyle name="40% - Accent1 3 3 2 2" xfId="14926"/>
    <cellStyle name="40% - Accent1 3 3 2 2 2" xfId="34809"/>
    <cellStyle name="40% - Accent1 3 3 2 3" xfId="21078"/>
    <cellStyle name="40% - Accent1 3 3 2 3 2" xfId="40961"/>
    <cellStyle name="40% - Accent1 3 3 2 4" xfId="28656"/>
    <cellStyle name="40% - Accent1 3 3 3" xfId="11860"/>
    <cellStyle name="40% - Accent1 3 3 3 2" xfId="31743"/>
    <cellStyle name="40% - Accent1 3 3 4" xfId="18012"/>
    <cellStyle name="40% - Accent1 3 3 4 2" xfId="37895"/>
    <cellStyle name="40% - Accent1 3 3 5" xfId="25590"/>
    <cellStyle name="40% - Accent1 3 4" xfId="7198"/>
    <cellStyle name="40% - Accent1 3 4 2" xfId="13392"/>
    <cellStyle name="40% - Accent1 3 4 2 2" xfId="33275"/>
    <cellStyle name="40% - Accent1 3 4 3" xfId="19544"/>
    <cellStyle name="40% - Accent1 3 4 3 2" xfId="39427"/>
    <cellStyle name="40% - Accent1 3 4 4" xfId="27122"/>
    <cellStyle name="40% - Accent1 3 5" xfId="10326"/>
    <cellStyle name="40% - Accent1 3 5 2" xfId="30209"/>
    <cellStyle name="40% - Accent1 3 6" xfId="16478"/>
    <cellStyle name="40% - Accent1 3 6 2" xfId="36361"/>
    <cellStyle name="40% - Accent1 3 7" xfId="1357"/>
    <cellStyle name="40% - Accent1 3 7 2" xfId="24056"/>
    <cellStyle name="40% - Accent1 3 8" xfId="22912"/>
    <cellStyle name="40% - Accent1 3 8 2" xfId="42786"/>
    <cellStyle name="40% - Accent1 3 9" xfId="23489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2 2" xfId="35579"/>
    <cellStyle name="40% - Accent1 4 2 2 2 3" xfId="21848"/>
    <cellStyle name="40% - Accent1 4 2 2 2 3 2" xfId="41731"/>
    <cellStyle name="40% - Accent1 4 2 2 2 4" xfId="29426"/>
    <cellStyle name="40% - Accent1 4 2 2 3" xfId="12630"/>
    <cellStyle name="40% - Accent1 4 2 2 3 2" xfId="32513"/>
    <cellStyle name="40% - Accent1 4 2 2 4" xfId="18782"/>
    <cellStyle name="40% - Accent1 4 2 2 4 2" xfId="38665"/>
    <cellStyle name="40% - Accent1 4 2 2 5" xfId="26360"/>
    <cellStyle name="40% - Accent1 4 2 3" xfId="7968"/>
    <cellStyle name="40% - Accent1 4 2 3 2" xfId="14162"/>
    <cellStyle name="40% - Accent1 4 2 3 2 2" xfId="34045"/>
    <cellStyle name="40% - Accent1 4 2 3 3" xfId="20314"/>
    <cellStyle name="40% - Accent1 4 2 3 3 2" xfId="40197"/>
    <cellStyle name="40% - Accent1 4 2 3 4" xfId="27892"/>
    <cellStyle name="40% - Accent1 4 2 4" xfId="11096"/>
    <cellStyle name="40% - Accent1 4 2 4 2" xfId="30979"/>
    <cellStyle name="40% - Accent1 4 2 5" xfId="17248"/>
    <cellStyle name="40% - Accent1 4 2 5 2" xfId="37131"/>
    <cellStyle name="40% - Accent1 4 2 6" xfId="4792"/>
    <cellStyle name="40% - Accent1 4 2 6 2" xfId="24826"/>
    <cellStyle name="40% - Accent1 4 2 7" xfId="23808"/>
    <cellStyle name="40% - Accent1 4 3" xfId="5631"/>
    <cellStyle name="40% - Accent1 4 3 2" xfId="8734"/>
    <cellStyle name="40% - Accent1 4 3 2 2" xfId="14927"/>
    <cellStyle name="40% - Accent1 4 3 2 2 2" xfId="34810"/>
    <cellStyle name="40% - Accent1 4 3 2 3" xfId="21079"/>
    <cellStyle name="40% - Accent1 4 3 2 3 2" xfId="40962"/>
    <cellStyle name="40% - Accent1 4 3 2 4" xfId="28657"/>
    <cellStyle name="40% - Accent1 4 3 3" xfId="11861"/>
    <cellStyle name="40% - Accent1 4 3 3 2" xfId="31744"/>
    <cellStyle name="40% - Accent1 4 3 4" xfId="18013"/>
    <cellStyle name="40% - Accent1 4 3 4 2" xfId="37896"/>
    <cellStyle name="40% - Accent1 4 3 5" xfId="25591"/>
    <cellStyle name="40% - Accent1 4 4" xfId="7199"/>
    <cellStyle name="40% - Accent1 4 4 2" xfId="13393"/>
    <cellStyle name="40% - Accent1 4 4 2 2" xfId="33276"/>
    <cellStyle name="40% - Accent1 4 4 3" xfId="19545"/>
    <cellStyle name="40% - Accent1 4 4 3 2" xfId="39428"/>
    <cellStyle name="40% - Accent1 4 4 4" xfId="27123"/>
    <cellStyle name="40% - Accent1 4 5" xfId="10327"/>
    <cellStyle name="40% - Accent1 4 5 2" xfId="30210"/>
    <cellStyle name="40% - Accent1 4 6" xfId="16479"/>
    <cellStyle name="40% - Accent1 4 6 2" xfId="36362"/>
    <cellStyle name="40% - Accent1 4 7" xfId="1358"/>
    <cellStyle name="40% - Accent1 4 7 2" xfId="24057"/>
    <cellStyle name="40% - Accent1 4 8" xfId="22928"/>
    <cellStyle name="40% - Accent1 4 8 2" xfId="42802"/>
    <cellStyle name="40% - Accent1 4 9" xfId="23505"/>
    <cellStyle name="40% - Accent1 5" xfId="574"/>
    <cellStyle name="40% - Accent1 5 10" xfId="23521"/>
    <cellStyle name="40% - Accent1 5 2" xfId="981"/>
    <cellStyle name="40% - Accent1 5 2 2" xfId="6418"/>
    <cellStyle name="40% - Accent1 5 2 2 2" xfId="9504"/>
    <cellStyle name="40% - Accent1 5 2 2 2 2" xfId="15697"/>
    <cellStyle name="40% - Accent1 5 2 2 2 2 2" xfId="35580"/>
    <cellStyle name="40% - Accent1 5 2 2 2 3" xfId="21849"/>
    <cellStyle name="40% - Accent1 5 2 2 2 3 2" xfId="41732"/>
    <cellStyle name="40% - Accent1 5 2 2 2 4" xfId="29427"/>
    <cellStyle name="40% - Accent1 5 2 2 3" xfId="12631"/>
    <cellStyle name="40% - Accent1 5 2 2 3 2" xfId="32514"/>
    <cellStyle name="40% - Accent1 5 2 2 4" xfId="18783"/>
    <cellStyle name="40% - Accent1 5 2 2 4 2" xfId="38666"/>
    <cellStyle name="40% - Accent1 5 2 2 5" xfId="26361"/>
    <cellStyle name="40% - Accent1 5 2 3" xfId="7969"/>
    <cellStyle name="40% - Accent1 5 2 3 2" xfId="14163"/>
    <cellStyle name="40% - Accent1 5 2 3 2 2" xfId="34046"/>
    <cellStyle name="40% - Accent1 5 2 3 3" xfId="20315"/>
    <cellStyle name="40% - Accent1 5 2 3 3 2" xfId="40198"/>
    <cellStyle name="40% - Accent1 5 2 3 4" xfId="27893"/>
    <cellStyle name="40% - Accent1 5 2 4" xfId="11097"/>
    <cellStyle name="40% - Accent1 5 2 4 2" xfId="30980"/>
    <cellStyle name="40% - Accent1 5 2 5" xfId="17249"/>
    <cellStyle name="40% - Accent1 5 2 5 2" xfId="37132"/>
    <cellStyle name="40% - Accent1 5 2 6" xfId="4793"/>
    <cellStyle name="40% - Accent1 5 2 6 2" xfId="24827"/>
    <cellStyle name="40% - Accent1 5 2 7" xfId="23824"/>
    <cellStyle name="40% - Accent1 5 3" xfId="5632"/>
    <cellStyle name="40% - Accent1 5 3 2" xfId="8735"/>
    <cellStyle name="40% - Accent1 5 3 2 2" xfId="14928"/>
    <cellStyle name="40% - Accent1 5 3 2 2 2" xfId="34811"/>
    <cellStyle name="40% - Accent1 5 3 2 3" xfId="21080"/>
    <cellStyle name="40% - Accent1 5 3 2 3 2" xfId="40963"/>
    <cellStyle name="40% - Accent1 5 3 2 4" xfId="28658"/>
    <cellStyle name="40% - Accent1 5 3 3" xfId="11862"/>
    <cellStyle name="40% - Accent1 5 3 3 2" xfId="31745"/>
    <cellStyle name="40% - Accent1 5 3 4" xfId="18014"/>
    <cellStyle name="40% - Accent1 5 3 4 2" xfId="37897"/>
    <cellStyle name="40% - Accent1 5 3 5" xfId="25592"/>
    <cellStyle name="40% - Accent1 5 4" xfId="7200"/>
    <cellStyle name="40% - Accent1 5 4 2" xfId="13394"/>
    <cellStyle name="40% - Accent1 5 4 2 2" xfId="33277"/>
    <cellStyle name="40% - Accent1 5 4 3" xfId="19546"/>
    <cellStyle name="40% - Accent1 5 4 3 2" xfId="39429"/>
    <cellStyle name="40% - Accent1 5 4 4" xfId="27124"/>
    <cellStyle name="40% - Accent1 5 5" xfId="10328"/>
    <cellStyle name="40% - Accent1 5 5 2" xfId="30211"/>
    <cellStyle name="40% - Accent1 5 6" xfId="16480"/>
    <cellStyle name="40% - Accent1 5 6 2" xfId="36363"/>
    <cellStyle name="40% - Accent1 5 7" xfId="1359"/>
    <cellStyle name="40% - Accent1 5 7 2" xfId="24058"/>
    <cellStyle name="40% - Accent1 5 8" xfId="22594"/>
    <cellStyle name="40% - Accent1 5 8 2" xfId="42468"/>
    <cellStyle name="40% - Accent1 5 9" xfId="22944"/>
    <cellStyle name="40% - Accent1 5 9 2" xfId="42818"/>
    <cellStyle name="40% - Accent1 6" xfId="601"/>
    <cellStyle name="40% - Accent1 6 2" xfId="997"/>
    <cellStyle name="40% - Accent1 6 2 2" xfId="23840"/>
    <cellStyle name="40% - Accent1 6 3" xfId="1360"/>
    <cellStyle name="40% - Accent1 6 4" xfId="22612"/>
    <cellStyle name="40% - Accent1 6 4 2" xfId="42486"/>
    <cellStyle name="40% - Accent1 6 5" xfId="22960"/>
    <cellStyle name="40% - Accent1 6 5 2" xfId="42834"/>
    <cellStyle name="40% - Accent1 6 6" xfId="23537"/>
    <cellStyle name="40% - Accent1 7" xfId="625"/>
    <cellStyle name="40% - Accent1 7 2" xfId="1013"/>
    <cellStyle name="40% - Accent1 7 2 2" xfId="23856"/>
    <cellStyle name="40% - Accent1 7 3" xfId="22704"/>
    <cellStyle name="40% - Accent1 7 3 2" xfId="42578"/>
    <cellStyle name="40% - Accent1 7 4" xfId="22976"/>
    <cellStyle name="40% - Accent1 7 4 2" xfId="42850"/>
    <cellStyle name="40% - Accent1 7 5" xfId="23553"/>
    <cellStyle name="40% - Accent1 8" xfId="649"/>
    <cellStyle name="40% - Accent1 8 2" xfId="1029"/>
    <cellStyle name="40% - Accent1 8 2 2" xfId="23872"/>
    <cellStyle name="40% - Accent1 8 3" xfId="22719"/>
    <cellStyle name="40% - Accent1 8 3 2" xfId="42593"/>
    <cellStyle name="40% - Accent1 8 4" xfId="22992"/>
    <cellStyle name="40% - Accent1 8 4 2" xfId="42866"/>
    <cellStyle name="40% - Accent1 8 5" xfId="23569"/>
    <cellStyle name="40% - Accent1 9" xfId="687"/>
    <cellStyle name="40% - Accent1 9 2" xfId="1045"/>
    <cellStyle name="40% - Accent1 9 2 2" xfId="23888"/>
    <cellStyle name="40% - Accent1 9 3" xfId="22606"/>
    <cellStyle name="40% - Accent1 9 3 2" xfId="42480"/>
    <cellStyle name="40% - Accent1 9 4" xfId="23008"/>
    <cellStyle name="40% - Accent1 9 4 2" xfId="42882"/>
    <cellStyle name="40% - Accent1 9 5" xfId="23585"/>
    <cellStyle name="40% - Accent2" xfId="174" builtinId="35" customBuiltin="1"/>
    <cellStyle name="40% - Accent2 10" xfId="719"/>
    <cellStyle name="40% - Accent2 10 2" xfId="1063"/>
    <cellStyle name="40% - Accent2 10 2 2" xfId="23906"/>
    <cellStyle name="40% - Accent2 10 3" xfId="22802"/>
    <cellStyle name="40% - Accent2 10 3 2" xfId="42676"/>
    <cellStyle name="40% - Accent2 10 4" xfId="23026"/>
    <cellStyle name="40% - Accent2 10 4 2" xfId="42900"/>
    <cellStyle name="40% - Accent2 10 5" xfId="23603"/>
    <cellStyle name="40% - Accent2 11" xfId="747"/>
    <cellStyle name="40% - Accent2 11 2" xfId="1079"/>
    <cellStyle name="40% - Accent2 11 2 2" xfId="23922"/>
    <cellStyle name="40% - Accent2 11 3" xfId="1219"/>
    <cellStyle name="40% - Accent2 11 3 2" xfId="24006"/>
    <cellStyle name="40% - Accent2 11 4" xfId="23042"/>
    <cellStyle name="40% - Accent2 11 4 2" xfId="42916"/>
    <cellStyle name="40% - Accent2 11 5" xfId="23619"/>
    <cellStyle name="40% - Accent2 12" xfId="773"/>
    <cellStyle name="40% - Accent2 12 2" xfId="1095"/>
    <cellStyle name="40% - Accent2 12 2 2" xfId="23938"/>
    <cellStyle name="40% - Accent2 12 3" xfId="22622"/>
    <cellStyle name="40% - Accent2 12 3 2" xfId="42496"/>
    <cellStyle name="40% - Accent2 12 4" xfId="23058"/>
    <cellStyle name="40% - Accent2 12 4 2" xfId="42932"/>
    <cellStyle name="40% - Accent2 12 5" xfId="23635"/>
    <cellStyle name="40% - Accent2 13" xfId="797"/>
    <cellStyle name="40% - Accent2 13 2" xfId="1111"/>
    <cellStyle name="40% - Accent2 13 2 2" xfId="23954"/>
    <cellStyle name="40% - Accent2 13 3" xfId="22603"/>
    <cellStyle name="40% - Accent2 13 3 2" xfId="42477"/>
    <cellStyle name="40% - Accent2 13 4" xfId="23074"/>
    <cellStyle name="40% - Accent2 13 4 2" xfId="42948"/>
    <cellStyle name="40% - Accent2 13 5" xfId="23651"/>
    <cellStyle name="40% - Accent2 14" xfId="819"/>
    <cellStyle name="40% - Accent2 14 2" xfId="1127"/>
    <cellStyle name="40% - Accent2 14 2 2" xfId="23970"/>
    <cellStyle name="40% - Accent2 14 3" xfId="22750"/>
    <cellStyle name="40% - Accent2 14 3 2" xfId="42624"/>
    <cellStyle name="40% - Accent2 14 4" xfId="23090"/>
    <cellStyle name="40% - Accent2 14 4 2" xfId="42964"/>
    <cellStyle name="40% - Accent2 14 5" xfId="23667"/>
    <cellStyle name="40% - Accent2 15" xfId="835"/>
    <cellStyle name="40% - Accent2 15 2" xfId="1143"/>
    <cellStyle name="40% - Accent2 15 2 2" xfId="23986"/>
    <cellStyle name="40% - Accent2 15 3" xfId="22732"/>
    <cellStyle name="40% - Accent2 15 3 2" xfId="42606"/>
    <cellStyle name="40% - Accent2 15 4" xfId="23106"/>
    <cellStyle name="40% - Accent2 15 4 2" xfId="42980"/>
    <cellStyle name="40% - Accent2 15 5" xfId="23683"/>
    <cellStyle name="40% - Accent2 16" xfId="859"/>
    <cellStyle name="40% - Accent2 16 2" xfId="23702"/>
    <cellStyle name="40% - Accent2 17" xfId="22822"/>
    <cellStyle name="40% - Accent2 17 2" xfId="42696"/>
    <cellStyle name="40% - Accent2 18" xfId="23396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2 2" xfId="35581"/>
    <cellStyle name="40% - Accent2 2 2 2 2 3" xfId="21850"/>
    <cellStyle name="40% - Accent2 2 2 2 2 3 2" xfId="41733"/>
    <cellStyle name="40% - Accent2 2 2 2 2 4" xfId="29428"/>
    <cellStyle name="40% - Accent2 2 2 2 3" xfId="12632"/>
    <cellStyle name="40% - Accent2 2 2 2 3 2" xfId="32515"/>
    <cellStyle name="40% - Accent2 2 2 2 4" xfId="18784"/>
    <cellStyle name="40% - Accent2 2 2 2 4 2" xfId="38667"/>
    <cellStyle name="40% - Accent2 2 2 2 5" xfId="26362"/>
    <cellStyle name="40% - Accent2 2 2 3" xfId="7970"/>
    <cellStyle name="40% - Accent2 2 2 3 2" xfId="14164"/>
    <cellStyle name="40% - Accent2 2 2 3 2 2" xfId="34047"/>
    <cellStyle name="40% - Accent2 2 2 3 3" xfId="20316"/>
    <cellStyle name="40% - Accent2 2 2 3 3 2" xfId="40199"/>
    <cellStyle name="40% - Accent2 2 2 3 4" xfId="27894"/>
    <cellStyle name="40% - Accent2 2 2 4" xfId="11098"/>
    <cellStyle name="40% - Accent2 2 2 4 2" xfId="30981"/>
    <cellStyle name="40% - Accent2 2 2 5" xfId="17250"/>
    <cellStyle name="40% - Accent2 2 2 5 2" xfId="37133"/>
    <cellStyle name="40% - Accent2 2 2 6" xfId="4794"/>
    <cellStyle name="40% - Accent2 2 2 6 2" xfId="24828"/>
    <cellStyle name="40% - Accent2 2 2 7" xfId="23778"/>
    <cellStyle name="40% - Accent2 2 3" xfId="5633"/>
    <cellStyle name="40% - Accent2 2 3 2" xfId="8736"/>
    <cellStyle name="40% - Accent2 2 3 2 2" xfId="14929"/>
    <cellStyle name="40% - Accent2 2 3 2 2 2" xfId="34812"/>
    <cellStyle name="40% - Accent2 2 3 2 3" xfId="21081"/>
    <cellStyle name="40% - Accent2 2 3 2 3 2" xfId="40964"/>
    <cellStyle name="40% - Accent2 2 3 2 4" xfId="28659"/>
    <cellStyle name="40% - Accent2 2 3 3" xfId="11863"/>
    <cellStyle name="40% - Accent2 2 3 3 2" xfId="31746"/>
    <cellStyle name="40% - Accent2 2 3 4" xfId="18015"/>
    <cellStyle name="40% - Accent2 2 3 4 2" xfId="37898"/>
    <cellStyle name="40% - Accent2 2 3 5" xfId="25593"/>
    <cellStyle name="40% - Accent2 2 4" xfId="7201"/>
    <cellStyle name="40% - Accent2 2 4 2" xfId="13395"/>
    <cellStyle name="40% - Accent2 2 4 2 2" xfId="33278"/>
    <cellStyle name="40% - Accent2 2 4 3" xfId="19547"/>
    <cellStyle name="40% - Accent2 2 4 3 2" xfId="39430"/>
    <cellStyle name="40% - Accent2 2 4 4" xfId="27125"/>
    <cellStyle name="40% - Accent2 2 5" xfId="10329"/>
    <cellStyle name="40% - Accent2 2 5 2" xfId="30212"/>
    <cellStyle name="40% - Accent2 2 6" xfId="16481"/>
    <cellStyle name="40% - Accent2 2 6 2" xfId="36364"/>
    <cellStyle name="40% - Accent2 2 7" xfId="1361"/>
    <cellStyle name="40% - Accent2 2 7 2" xfId="24059"/>
    <cellStyle name="40% - Accent2 2 8" xfId="22898"/>
    <cellStyle name="40% - Accent2 2 8 2" xfId="42772"/>
    <cellStyle name="40% - Accent2 2 9" xfId="23475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2 2" xfId="35582"/>
    <cellStyle name="40% - Accent2 3 2 2 2 3" xfId="21851"/>
    <cellStyle name="40% - Accent2 3 2 2 2 3 2" xfId="41734"/>
    <cellStyle name="40% - Accent2 3 2 2 2 4" xfId="29429"/>
    <cellStyle name="40% - Accent2 3 2 2 3" xfId="12633"/>
    <cellStyle name="40% - Accent2 3 2 2 3 2" xfId="32516"/>
    <cellStyle name="40% - Accent2 3 2 2 4" xfId="18785"/>
    <cellStyle name="40% - Accent2 3 2 2 4 2" xfId="38668"/>
    <cellStyle name="40% - Accent2 3 2 2 5" xfId="26363"/>
    <cellStyle name="40% - Accent2 3 2 3" xfId="7971"/>
    <cellStyle name="40% - Accent2 3 2 3 2" xfId="14165"/>
    <cellStyle name="40% - Accent2 3 2 3 2 2" xfId="34048"/>
    <cellStyle name="40% - Accent2 3 2 3 3" xfId="20317"/>
    <cellStyle name="40% - Accent2 3 2 3 3 2" xfId="40200"/>
    <cellStyle name="40% - Accent2 3 2 3 4" xfId="27895"/>
    <cellStyle name="40% - Accent2 3 2 4" xfId="11099"/>
    <cellStyle name="40% - Accent2 3 2 4 2" xfId="30982"/>
    <cellStyle name="40% - Accent2 3 2 5" xfId="17251"/>
    <cellStyle name="40% - Accent2 3 2 5 2" xfId="37134"/>
    <cellStyle name="40% - Accent2 3 2 6" xfId="4795"/>
    <cellStyle name="40% - Accent2 3 2 6 2" xfId="24829"/>
    <cellStyle name="40% - Accent2 3 2 7" xfId="23794"/>
    <cellStyle name="40% - Accent2 3 3" xfId="5634"/>
    <cellStyle name="40% - Accent2 3 3 2" xfId="8737"/>
    <cellStyle name="40% - Accent2 3 3 2 2" xfId="14930"/>
    <cellStyle name="40% - Accent2 3 3 2 2 2" xfId="34813"/>
    <cellStyle name="40% - Accent2 3 3 2 3" xfId="21082"/>
    <cellStyle name="40% - Accent2 3 3 2 3 2" xfId="40965"/>
    <cellStyle name="40% - Accent2 3 3 2 4" xfId="28660"/>
    <cellStyle name="40% - Accent2 3 3 3" xfId="11864"/>
    <cellStyle name="40% - Accent2 3 3 3 2" xfId="31747"/>
    <cellStyle name="40% - Accent2 3 3 4" xfId="18016"/>
    <cellStyle name="40% - Accent2 3 3 4 2" xfId="37899"/>
    <cellStyle name="40% - Accent2 3 3 5" xfId="25594"/>
    <cellStyle name="40% - Accent2 3 4" xfId="7202"/>
    <cellStyle name="40% - Accent2 3 4 2" xfId="13396"/>
    <cellStyle name="40% - Accent2 3 4 2 2" xfId="33279"/>
    <cellStyle name="40% - Accent2 3 4 3" xfId="19548"/>
    <cellStyle name="40% - Accent2 3 4 3 2" xfId="39431"/>
    <cellStyle name="40% - Accent2 3 4 4" xfId="27126"/>
    <cellStyle name="40% - Accent2 3 5" xfId="10330"/>
    <cellStyle name="40% - Accent2 3 5 2" xfId="30213"/>
    <cellStyle name="40% - Accent2 3 6" xfId="16482"/>
    <cellStyle name="40% - Accent2 3 6 2" xfId="36365"/>
    <cellStyle name="40% - Accent2 3 7" xfId="1362"/>
    <cellStyle name="40% - Accent2 3 7 2" xfId="24060"/>
    <cellStyle name="40% - Accent2 3 8" xfId="22914"/>
    <cellStyle name="40% - Accent2 3 8 2" xfId="42788"/>
    <cellStyle name="40% - Accent2 3 9" xfId="23491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2 2" xfId="35583"/>
    <cellStyle name="40% - Accent2 4 2 2 2 3" xfId="21852"/>
    <cellStyle name="40% - Accent2 4 2 2 2 3 2" xfId="41735"/>
    <cellStyle name="40% - Accent2 4 2 2 2 4" xfId="29430"/>
    <cellStyle name="40% - Accent2 4 2 2 3" xfId="12634"/>
    <cellStyle name="40% - Accent2 4 2 2 3 2" xfId="32517"/>
    <cellStyle name="40% - Accent2 4 2 2 4" xfId="18786"/>
    <cellStyle name="40% - Accent2 4 2 2 4 2" xfId="38669"/>
    <cellStyle name="40% - Accent2 4 2 2 5" xfId="26364"/>
    <cellStyle name="40% - Accent2 4 2 3" xfId="7972"/>
    <cellStyle name="40% - Accent2 4 2 3 2" xfId="14166"/>
    <cellStyle name="40% - Accent2 4 2 3 2 2" xfId="34049"/>
    <cellStyle name="40% - Accent2 4 2 3 3" xfId="20318"/>
    <cellStyle name="40% - Accent2 4 2 3 3 2" xfId="40201"/>
    <cellStyle name="40% - Accent2 4 2 3 4" xfId="27896"/>
    <cellStyle name="40% - Accent2 4 2 4" xfId="11100"/>
    <cellStyle name="40% - Accent2 4 2 4 2" xfId="30983"/>
    <cellStyle name="40% - Accent2 4 2 5" xfId="17252"/>
    <cellStyle name="40% - Accent2 4 2 5 2" xfId="37135"/>
    <cellStyle name="40% - Accent2 4 2 6" xfId="4796"/>
    <cellStyle name="40% - Accent2 4 2 6 2" xfId="24830"/>
    <cellStyle name="40% - Accent2 4 2 7" xfId="23810"/>
    <cellStyle name="40% - Accent2 4 3" xfId="5635"/>
    <cellStyle name="40% - Accent2 4 3 2" xfId="8738"/>
    <cellStyle name="40% - Accent2 4 3 2 2" xfId="14931"/>
    <cellStyle name="40% - Accent2 4 3 2 2 2" xfId="34814"/>
    <cellStyle name="40% - Accent2 4 3 2 3" xfId="21083"/>
    <cellStyle name="40% - Accent2 4 3 2 3 2" xfId="40966"/>
    <cellStyle name="40% - Accent2 4 3 2 4" xfId="28661"/>
    <cellStyle name="40% - Accent2 4 3 3" xfId="11865"/>
    <cellStyle name="40% - Accent2 4 3 3 2" xfId="31748"/>
    <cellStyle name="40% - Accent2 4 3 4" xfId="18017"/>
    <cellStyle name="40% - Accent2 4 3 4 2" xfId="37900"/>
    <cellStyle name="40% - Accent2 4 3 5" xfId="25595"/>
    <cellStyle name="40% - Accent2 4 4" xfId="7203"/>
    <cellStyle name="40% - Accent2 4 4 2" xfId="13397"/>
    <cellStyle name="40% - Accent2 4 4 2 2" xfId="33280"/>
    <cellStyle name="40% - Accent2 4 4 3" xfId="19549"/>
    <cellStyle name="40% - Accent2 4 4 3 2" xfId="39432"/>
    <cellStyle name="40% - Accent2 4 4 4" xfId="27127"/>
    <cellStyle name="40% - Accent2 4 5" xfId="10331"/>
    <cellStyle name="40% - Accent2 4 5 2" xfId="30214"/>
    <cellStyle name="40% - Accent2 4 6" xfId="16483"/>
    <cellStyle name="40% - Accent2 4 6 2" xfId="36366"/>
    <cellStyle name="40% - Accent2 4 7" xfId="1363"/>
    <cellStyle name="40% - Accent2 4 7 2" xfId="24061"/>
    <cellStyle name="40% - Accent2 4 8" xfId="22930"/>
    <cellStyle name="40% - Accent2 4 8 2" xfId="42804"/>
    <cellStyle name="40% - Accent2 4 9" xfId="23507"/>
    <cellStyle name="40% - Accent2 5" xfId="577"/>
    <cellStyle name="40% - Accent2 5 2" xfId="983"/>
    <cellStyle name="40% - Accent2 5 2 2" xfId="23826"/>
    <cellStyle name="40% - Accent2 5 3" xfId="1364"/>
    <cellStyle name="40% - Accent2 5 4" xfId="22682"/>
    <cellStyle name="40% - Accent2 5 4 2" xfId="42556"/>
    <cellStyle name="40% - Accent2 5 5" xfId="22946"/>
    <cellStyle name="40% - Accent2 5 5 2" xfId="42820"/>
    <cellStyle name="40% - Accent2 5 6" xfId="23523"/>
    <cellStyle name="40% - Accent2 6" xfId="604"/>
    <cellStyle name="40% - Accent2 6 2" xfId="999"/>
    <cellStyle name="40% - Accent2 6 2 2" xfId="23842"/>
    <cellStyle name="40% - Accent2 6 3" xfId="22718"/>
    <cellStyle name="40% - Accent2 6 3 2" xfId="42592"/>
    <cellStyle name="40% - Accent2 6 4" xfId="22962"/>
    <cellStyle name="40% - Accent2 6 4 2" xfId="42836"/>
    <cellStyle name="40% - Accent2 6 5" xfId="23539"/>
    <cellStyle name="40% - Accent2 7" xfId="628"/>
    <cellStyle name="40% - Accent2 7 2" xfId="1015"/>
    <cellStyle name="40% - Accent2 7 2 2" xfId="23858"/>
    <cellStyle name="40% - Accent2 7 3" xfId="22722"/>
    <cellStyle name="40% - Accent2 7 3 2" xfId="42596"/>
    <cellStyle name="40% - Accent2 7 4" xfId="22978"/>
    <cellStyle name="40% - Accent2 7 4 2" xfId="42852"/>
    <cellStyle name="40% - Accent2 7 5" xfId="23555"/>
    <cellStyle name="40% - Accent2 8" xfId="652"/>
    <cellStyle name="40% - Accent2 8 2" xfId="1031"/>
    <cellStyle name="40% - Accent2 8 2 2" xfId="23874"/>
    <cellStyle name="40% - Accent2 8 3" xfId="22784"/>
    <cellStyle name="40% - Accent2 8 3 2" xfId="42658"/>
    <cellStyle name="40% - Accent2 8 4" xfId="22994"/>
    <cellStyle name="40% - Accent2 8 4 2" xfId="42868"/>
    <cellStyle name="40% - Accent2 8 5" xfId="23571"/>
    <cellStyle name="40% - Accent2 9" xfId="691"/>
    <cellStyle name="40% - Accent2 9 2" xfId="1047"/>
    <cellStyle name="40% - Accent2 9 2 2" xfId="23890"/>
    <cellStyle name="40% - Accent2 9 3" xfId="22619"/>
    <cellStyle name="40% - Accent2 9 3 2" xfId="42493"/>
    <cellStyle name="40% - Accent2 9 4" xfId="23010"/>
    <cellStyle name="40% - Accent2 9 4 2" xfId="42884"/>
    <cellStyle name="40% - Accent2 9 5" xfId="23587"/>
    <cellStyle name="40% - Accent3" xfId="178" builtinId="39" customBuiltin="1"/>
    <cellStyle name="40% - Accent3 10" xfId="723"/>
    <cellStyle name="40% - Accent3 10 2" xfId="1065"/>
    <cellStyle name="40% - Accent3 10 2 2" xfId="23908"/>
    <cellStyle name="40% - Accent3 10 3" xfId="22626"/>
    <cellStyle name="40% - Accent3 10 3 2" xfId="42500"/>
    <cellStyle name="40% - Accent3 10 4" xfId="23028"/>
    <cellStyle name="40% - Accent3 10 4 2" xfId="42902"/>
    <cellStyle name="40% - Accent3 10 5" xfId="23605"/>
    <cellStyle name="40% - Accent3 11" xfId="750"/>
    <cellStyle name="40% - Accent3 11 2" xfId="1081"/>
    <cellStyle name="40% - Accent3 11 2 2" xfId="23924"/>
    <cellStyle name="40% - Accent3 11 3" xfId="22724"/>
    <cellStyle name="40% - Accent3 11 3 2" xfId="42598"/>
    <cellStyle name="40% - Accent3 11 4" xfId="23044"/>
    <cellStyle name="40% - Accent3 11 4 2" xfId="42918"/>
    <cellStyle name="40% - Accent3 11 5" xfId="23621"/>
    <cellStyle name="40% - Accent3 12" xfId="776"/>
    <cellStyle name="40% - Accent3 12 2" xfId="1097"/>
    <cellStyle name="40% - Accent3 12 2 2" xfId="23940"/>
    <cellStyle name="40% - Accent3 12 3" xfId="22712"/>
    <cellStyle name="40% - Accent3 12 3 2" xfId="42586"/>
    <cellStyle name="40% - Accent3 12 4" xfId="23060"/>
    <cellStyle name="40% - Accent3 12 4 2" xfId="42934"/>
    <cellStyle name="40% - Accent3 12 5" xfId="23637"/>
    <cellStyle name="40% - Accent3 13" xfId="800"/>
    <cellStyle name="40% - Accent3 13 2" xfId="1113"/>
    <cellStyle name="40% - Accent3 13 2 2" xfId="23956"/>
    <cellStyle name="40% - Accent3 13 3" xfId="22787"/>
    <cellStyle name="40% - Accent3 13 3 2" xfId="42661"/>
    <cellStyle name="40% - Accent3 13 4" xfId="23076"/>
    <cellStyle name="40% - Accent3 13 4 2" xfId="42950"/>
    <cellStyle name="40% - Accent3 13 5" xfId="23653"/>
    <cellStyle name="40% - Accent3 14" xfId="821"/>
    <cellStyle name="40% - Accent3 14 2" xfId="1129"/>
    <cellStyle name="40% - Accent3 14 2 2" xfId="23972"/>
    <cellStyle name="40% - Accent3 14 3" xfId="22658"/>
    <cellStyle name="40% - Accent3 14 3 2" xfId="42532"/>
    <cellStyle name="40% - Accent3 14 4" xfId="23092"/>
    <cellStyle name="40% - Accent3 14 4 2" xfId="42966"/>
    <cellStyle name="40% - Accent3 14 5" xfId="23669"/>
    <cellStyle name="40% - Accent3 15" xfId="837"/>
    <cellStyle name="40% - Accent3 15 2" xfId="1145"/>
    <cellStyle name="40% - Accent3 15 2 2" xfId="23988"/>
    <cellStyle name="40% - Accent3 15 3" xfId="22668"/>
    <cellStyle name="40% - Accent3 15 3 2" xfId="42542"/>
    <cellStyle name="40% - Accent3 15 4" xfId="23108"/>
    <cellStyle name="40% - Accent3 15 4 2" xfId="42982"/>
    <cellStyle name="40% - Accent3 15 5" xfId="23685"/>
    <cellStyle name="40% - Accent3 16" xfId="861"/>
    <cellStyle name="40% - Accent3 16 2" xfId="23704"/>
    <cellStyle name="40% - Accent3 17" xfId="22824"/>
    <cellStyle name="40% - Accent3 17 2" xfId="42698"/>
    <cellStyle name="40% - Accent3 18" xfId="23398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2 2" xfId="35584"/>
    <cellStyle name="40% - Accent3 2 2 2 2 3" xfId="21853"/>
    <cellStyle name="40% - Accent3 2 2 2 2 3 2" xfId="41736"/>
    <cellStyle name="40% - Accent3 2 2 2 2 4" xfId="29431"/>
    <cellStyle name="40% - Accent3 2 2 2 3" xfId="12635"/>
    <cellStyle name="40% - Accent3 2 2 2 3 2" xfId="32518"/>
    <cellStyle name="40% - Accent3 2 2 2 4" xfId="18787"/>
    <cellStyle name="40% - Accent3 2 2 2 4 2" xfId="38670"/>
    <cellStyle name="40% - Accent3 2 2 2 5" xfId="26365"/>
    <cellStyle name="40% - Accent3 2 2 3" xfId="7973"/>
    <cellStyle name="40% - Accent3 2 2 3 2" xfId="14167"/>
    <cellStyle name="40% - Accent3 2 2 3 2 2" xfId="34050"/>
    <cellStyle name="40% - Accent3 2 2 3 3" xfId="20319"/>
    <cellStyle name="40% - Accent3 2 2 3 3 2" xfId="40202"/>
    <cellStyle name="40% - Accent3 2 2 3 4" xfId="27897"/>
    <cellStyle name="40% - Accent3 2 2 4" xfId="11101"/>
    <cellStyle name="40% - Accent3 2 2 4 2" xfId="30984"/>
    <cellStyle name="40% - Accent3 2 2 5" xfId="17253"/>
    <cellStyle name="40% - Accent3 2 2 5 2" xfId="37136"/>
    <cellStyle name="40% - Accent3 2 2 6" xfId="4797"/>
    <cellStyle name="40% - Accent3 2 2 6 2" xfId="24831"/>
    <cellStyle name="40% - Accent3 2 2 7" xfId="23780"/>
    <cellStyle name="40% - Accent3 2 3" xfId="5636"/>
    <cellStyle name="40% - Accent3 2 3 2" xfId="8739"/>
    <cellStyle name="40% - Accent3 2 3 2 2" xfId="14932"/>
    <cellStyle name="40% - Accent3 2 3 2 2 2" xfId="34815"/>
    <cellStyle name="40% - Accent3 2 3 2 3" xfId="21084"/>
    <cellStyle name="40% - Accent3 2 3 2 3 2" xfId="40967"/>
    <cellStyle name="40% - Accent3 2 3 2 4" xfId="28662"/>
    <cellStyle name="40% - Accent3 2 3 3" xfId="11866"/>
    <cellStyle name="40% - Accent3 2 3 3 2" xfId="31749"/>
    <cellStyle name="40% - Accent3 2 3 4" xfId="18018"/>
    <cellStyle name="40% - Accent3 2 3 4 2" xfId="37901"/>
    <cellStyle name="40% - Accent3 2 3 5" xfId="25596"/>
    <cellStyle name="40% - Accent3 2 4" xfId="7204"/>
    <cellStyle name="40% - Accent3 2 4 2" xfId="13398"/>
    <cellStyle name="40% - Accent3 2 4 2 2" xfId="33281"/>
    <cellStyle name="40% - Accent3 2 4 3" xfId="19550"/>
    <cellStyle name="40% - Accent3 2 4 3 2" xfId="39433"/>
    <cellStyle name="40% - Accent3 2 4 4" xfId="27128"/>
    <cellStyle name="40% - Accent3 2 5" xfId="10332"/>
    <cellStyle name="40% - Accent3 2 5 2" xfId="30215"/>
    <cellStyle name="40% - Accent3 2 6" xfId="16484"/>
    <cellStyle name="40% - Accent3 2 6 2" xfId="36367"/>
    <cellStyle name="40% - Accent3 2 7" xfId="1365"/>
    <cellStyle name="40% - Accent3 2 7 2" xfId="24062"/>
    <cellStyle name="40% - Accent3 2 8" xfId="22900"/>
    <cellStyle name="40% - Accent3 2 8 2" xfId="42774"/>
    <cellStyle name="40% - Accent3 2 9" xfId="23477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2 2" xfId="35585"/>
    <cellStyle name="40% - Accent3 3 2 2 2 3" xfId="21854"/>
    <cellStyle name="40% - Accent3 3 2 2 2 3 2" xfId="41737"/>
    <cellStyle name="40% - Accent3 3 2 2 2 4" xfId="29432"/>
    <cellStyle name="40% - Accent3 3 2 2 3" xfId="12636"/>
    <cellStyle name="40% - Accent3 3 2 2 3 2" xfId="32519"/>
    <cellStyle name="40% - Accent3 3 2 2 4" xfId="18788"/>
    <cellStyle name="40% - Accent3 3 2 2 4 2" xfId="38671"/>
    <cellStyle name="40% - Accent3 3 2 2 5" xfId="26366"/>
    <cellStyle name="40% - Accent3 3 2 3" xfId="7974"/>
    <cellStyle name="40% - Accent3 3 2 3 2" xfId="14168"/>
    <cellStyle name="40% - Accent3 3 2 3 2 2" xfId="34051"/>
    <cellStyle name="40% - Accent3 3 2 3 3" xfId="20320"/>
    <cellStyle name="40% - Accent3 3 2 3 3 2" xfId="40203"/>
    <cellStyle name="40% - Accent3 3 2 3 4" xfId="27898"/>
    <cellStyle name="40% - Accent3 3 2 4" xfId="11102"/>
    <cellStyle name="40% - Accent3 3 2 4 2" xfId="30985"/>
    <cellStyle name="40% - Accent3 3 2 5" xfId="17254"/>
    <cellStyle name="40% - Accent3 3 2 5 2" xfId="37137"/>
    <cellStyle name="40% - Accent3 3 2 6" xfId="4798"/>
    <cellStyle name="40% - Accent3 3 2 6 2" xfId="24832"/>
    <cellStyle name="40% - Accent3 3 2 7" xfId="23796"/>
    <cellStyle name="40% - Accent3 3 3" xfId="5637"/>
    <cellStyle name="40% - Accent3 3 3 2" xfId="8740"/>
    <cellStyle name="40% - Accent3 3 3 2 2" xfId="14933"/>
    <cellStyle name="40% - Accent3 3 3 2 2 2" xfId="34816"/>
    <cellStyle name="40% - Accent3 3 3 2 3" xfId="21085"/>
    <cellStyle name="40% - Accent3 3 3 2 3 2" xfId="40968"/>
    <cellStyle name="40% - Accent3 3 3 2 4" xfId="28663"/>
    <cellStyle name="40% - Accent3 3 3 3" xfId="11867"/>
    <cellStyle name="40% - Accent3 3 3 3 2" xfId="31750"/>
    <cellStyle name="40% - Accent3 3 3 4" xfId="18019"/>
    <cellStyle name="40% - Accent3 3 3 4 2" xfId="37902"/>
    <cellStyle name="40% - Accent3 3 3 5" xfId="25597"/>
    <cellStyle name="40% - Accent3 3 4" xfId="7205"/>
    <cellStyle name="40% - Accent3 3 4 2" xfId="13399"/>
    <cellStyle name="40% - Accent3 3 4 2 2" xfId="33282"/>
    <cellStyle name="40% - Accent3 3 4 3" xfId="19551"/>
    <cellStyle name="40% - Accent3 3 4 3 2" xfId="39434"/>
    <cellStyle name="40% - Accent3 3 4 4" xfId="27129"/>
    <cellStyle name="40% - Accent3 3 5" xfId="10333"/>
    <cellStyle name="40% - Accent3 3 5 2" xfId="30216"/>
    <cellStyle name="40% - Accent3 3 6" xfId="16485"/>
    <cellStyle name="40% - Accent3 3 6 2" xfId="36368"/>
    <cellStyle name="40% - Accent3 3 7" xfId="1366"/>
    <cellStyle name="40% - Accent3 3 7 2" xfId="24063"/>
    <cellStyle name="40% - Accent3 3 8" xfId="22916"/>
    <cellStyle name="40% - Accent3 3 8 2" xfId="42790"/>
    <cellStyle name="40% - Accent3 3 9" xfId="23493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2 2" xfId="35586"/>
    <cellStyle name="40% - Accent3 4 2 2 2 3" xfId="21855"/>
    <cellStyle name="40% - Accent3 4 2 2 2 3 2" xfId="41738"/>
    <cellStyle name="40% - Accent3 4 2 2 2 4" xfId="29433"/>
    <cellStyle name="40% - Accent3 4 2 2 3" xfId="12637"/>
    <cellStyle name="40% - Accent3 4 2 2 3 2" xfId="32520"/>
    <cellStyle name="40% - Accent3 4 2 2 4" xfId="18789"/>
    <cellStyle name="40% - Accent3 4 2 2 4 2" xfId="38672"/>
    <cellStyle name="40% - Accent3 4 2 2 5" xfId="26367"/>
    <cellStyle name="40% - Accent3 4 2 3" xfId="7975"/>
    <cellStyle name="40% - Accent3 4 2 3 2" xfId="14169"/>
    <cellStyle name="40% - Accent3 4 2 3 2 2" xfId="34052"/>
    <cellStyle name="40% - Accent3 4 2 3 3" xfId="20321"/>
    <cellStyle name="40% - Accent3 4 2 3 3 2" xfId="40204"/>
    <cellStyle name="40% - Accent3 4 2 3 4" xfId="27899"/>
    <cellStyle name="40% - Accent3 4 2 4" xfId="11103"/>
    <cellStyle name="40% - Accent3 4 2 4 2" xfId="30986"/>
    <cellStyle name="40% - Accent3 4 2 5" xfId="17255"/>
    <cellStyle name="40% - Accent3 4 2 5 2" xfId="37138"/>
    <cellStyle name="40% - Accent3 4 2 6" xfId="4799"/>
    <cellStyle name="40% - Accent3 4 2 6 2" xfId="24833"/>
    <cellStyle name="40% - Accent3 4 2 7" xfId="23812"/>
    <cellStyle name="40% - Accent3 4 3" xfId="5638"/>
    <cellStyle name="40% - Accent3 4 3 2" xfId="8741"/>
    <cellStyle name="40% - Accent3 4 3 2 2" xfId="14934"/>
    <cellStyle name="40% - Accent3 4 3 2 2 2" xfId="34817"/>
    <cellStyle name="40% - Accent3 4 3 2 3" xfId="21086"/>
    <cellStyle name="40% - Accent3 4 3 2 3 2" xfId="40969"/>
    <cellStyle name="40% - Accent3 4 3 2 4" xfId="28664"/>
    <cellStyle name="40% - Accent3 4 3 3" xfId="11868"/>
    <cellStyle name="40% - Accent3 4 3 3 2" xfId="31751"/>
    <cellStyle name="40% - Accent3 4 3 4" xfId="18020"/>
    <cellStyle name="40% - Accent3 4 3 4 2" xfId="37903"/>
    <cellStyle name="40% - Accent3 4 3 5" xfId="25598"/>
    <cellStyle name="40% - Accent3 4 4" xfId="7206"/>
    <cellStyle name="40% - Accent3 4 4 2" xfId="13400"/>
    <cellStyle name="40% - Accent3 4 4 2 2" xfId="33283"/>
    <cellStyle name="40% - Accent3 4 4 3" xfId="19552"/>
    <cellStyle name="40% - Accent3 4 4 3 2" xfId="39435"/>
    <cellStyle name="40% - Accent3 4 4 4" xfId="27130"/>
    <cellStyle name="40% - Accent3 4 5" xfId="10334"/>
    <cellStyle name="40% - Accent3 4 5 2" xfId="30217"/>
    <cellStyle name="40% - Accent3 4 6" xfId="16486"/>
    <cellStyle name="40% - Accent3 4 6 2" xfId="36369"/>
    <cellStyle name="40% - Accent3 4 7" xfId="1367"/>
    <cellStyle name="40% - Accent3 4 7 2" xfId="24064"/>
    <cellStyle name="40% - Accent3 4 8" xfId="22932"/>
    <cellStyle name="40% - Accent3 4 8 2" xfId="42806"/>
    <cellStyle name="40% - Accent3 4 9" xfId="23509"/>
    <cellStyle name="40% - Accent3 5" xfId="581"/>
    <cellStyle name="40% - Accent3 5 10" xfId="23525"/>
    <cellStyle name="40% - Accent3 5 2" xfId="985"/>
    <cellStyle name="40% - Accent3 5 2 2" xfId="6425"/>
    <cellStyle name="40% - Accent3 5 2 2 2" xfId="9511"/>
    <cellStyle name="40% - Accent3 5 2 2 2 2" xfId="15704"/>
    <cellStyle name="40% - Accent3 5 2 2 2 2 2" xfId="35587"/>
    <cellStyle name="40% - Accent3 5 2 2 2 3" xfId="21856"/>
    <cellStyle name="40% - Accent3 5 2 2 2 3 2" xfId="41739"/>
    <cellStyle name="40% - Accent3 5 2 2 2 4" xfId="29434"/>
    <cellStyle name="40% - Accent3 5 2 2 3" xfId="12638"/>
    <cellStyle name="40% - Accent3 5 2 2 3 2" xfId="32521"/>
    <cellStyle name="40% - Accent3 5 2 2 4" xfId="18790"/>
    <cellStyle name="40% - Accent3 5 2 2 4 2" xfId="38673"/>
    <cellStyle name="40% - Accent3 5 2 2 5" xfId="26368"/>
    <cellStyle name="40% - Accent3 5 2 3" xfId="7976"/>
    <cellStyle name="40% - Accent3 5 2 3 2" xfId="14170"/>
    <cellStyle name="40% - Accent3 5 2 3 2 2" xfId="34053"/>
    <cellStyle name="40% - Accent3 5 2 3 3" xfId="20322"/>
    <cellStyle name="40% - Accent3 5 2 3 3 2" xfId="40205"/>
    <cellStyle name="40% - Accent3 5 2 3 4" xfId="27900"/>
    <cellStyle name="40% - Accent3 5 2 4" xfId="11104"/>
    <cellStyle name="40% - Accent3 5 2 4 2" xfId="30987"/>
    <cellStyle name="40% - Accent3 5 2 5" xfId="17256"/>
    <cellStyle name="40% - Accent3 5 2 5 2" xfId="37139"/>
    <cellStyle name="40% - Accent3 5 2 6" xfId="4800"/>
    <cellStyle name="40% - Accent3 5 2 6 2" xfId="24834"/>
    <cellStyle name="40% - Accent3 5 2 7" xfId="23828"/>
    <cellStyle name="40% - Accent3 5 3" xfId="5639"/>
    <cellStyle name="40% - Accent3 5 3 2" xfId="8742"/>
    <cellStyle name="40% - Accent3 5 3 2 2" xfId="14935"/>
    <cellStyle name="40% - Accent3 5 3 2 2 2" xfId="34818"/>
    <cellStyle name="40% - Accent3 5 3 2 3" xfId="21087"/>
    <cellStyle name="40% - Accent3 5 3 2 3 2" xfId="40970"/>
    <cellStyle name="40% - Accent3 5 3 2 4" xfId="28665"/>
    <cellStyle name="40% - Accent3 5 3 3" xfId="11869"/>
    <cellStyle name="40% - Accent3 5 3 3 2" xfId="31752"/>
    <cellStyle name="40% - Accent3 5 3 4" xfId="18021"/>
    <cellStyle name="40% - Accent3 5 3 4 2" xfId="37904"/>
    <cellStyle name="40% - Accent3 5 3 5" xfId="25599"/>
    <cellStyle name="40% - Accent3 5 4" xfId="7207"/>
    <cellStyle name="40% - Accent3 5 4 2" xfId="13401"/>
    <cellStyle name="40% - Accent3 5 4 2 2" xfId="33284"/>
    <cellStyle name="40% - Accent3 5 4 3" xfId="19553"/>
    <cellStyle name="40% - Accent3 5 4 3 2" xfId="39436"/>
    <cellStyle name="40% - Accent3 5 4 4" xfId="27131"/>
    <cellStyle name="40% - Accent3 5 5" xfId="10335"/>
    <cellStyle name="40% - Accent3 5 5 2" xfId="30218"/>
    <cellStyle name="40% - Accent3 5 6" xfId="16487"/>
    <cellStyle name="40% - Accent3 5 6 2" xfId="36370"/>
    <cellStyle name="40% - Accent3 5 7" xfId="1368"/>
    <cellStyle name="40% - Accent3 5 7 2" xfId="24065"/>
    <cellStyle name="40% - Accent3 5 8" xfId="22630"/>
    <cellStyle name="40% - Accent3 5 8 2" xfId="42504"/>
    <cellStyle name="40% - Accent3 5 9" xfId="22948"/>
    <cellStyle name="40% - Accent3 5 9 2" xfId="42822"/>
    <cellStyle name="40% - Accent3 6" xfId="607"/>
    <cellStyle name="40% - Accent3 6 2" xfId="1001"/>
    <cellStyle name="40% - Accent3 6 2 2" xfId="23844"/>
    <cellStyle name="40% - Accent3 6 3" xfId="1369"/>
    <cellStyle name="40% - Accent3 6 4" xfId="22805"/>
    <cellStyle name="40% - Accent3 6 4 2" xfId="42679"/>
    <cellStyle name="40% - Accent3 6 5" xfId="22964"/>
    <cellStyle name="40% - Accent3 6 5 2" xfId="42838"/>
    <cellStyle name="40% - Accent3 6 6" xfId="23541"/>
    <cellStyle name="40% - Accent3 7" xfId="631"/>
    <cellStyle name="40% - Accent3 7 2" xfId="1017"/>
    <cellStyle name="40% - Accent3 7 2 2" xfId="23860"/>
    <cellStyle name="40% - Accent3 7 3" xfId="22599"/>
    <cellStyle name="40% - Accent3 7 3 2" xfId="42473"/>
    <cellStyle name="40% - Accent3 7 4" xfId="22980"/>
    <cellStyle name="40% - Accent3 7 4 2" xfId="42854"/>
    <cellStyle name="40% - Accent3 7 5" xfId="23557"/>
    <cellStyle name="40% - Accent3 8" xfId="656"/>
    <cellStyle name="40% - Accent3 8 2" xfId="1033"/>
    <cellStyle name="40% - Accent3 8 2 2" xfId="23876"/>
    <cellStyle name="40% - Accent3 8 3" xfId="22721"/>
    <cellStyle name="40% - Accent3 8 3 2" xfId="42595"/>
    <cellStyle name="40% - Accent3 8 4" xfId="22996"/>
    <cellStyle name="40% - Accent3 8 4 2" xfId="42870"/>
    <cellStyle name="40% - Accent3 8 5" xfId="23573"/>
    <cellStyle name="40% - Accent3 9" xfId="695"/>
    <cellStyle name="40% - Accent3 9 2" xfId="1049"/>
    <cellStyle name="40% - Accent3 9 2 2" xfId="23892"/>
    <cellStyle name="40% - Accent3 9 3" xfId="22717"/>
    <cellStyle name="40% - Accent3 9 3 2" xfId="42591"/>
    <cellStyle name="40% - Accent3 9 4" xfId="23012"/>
    <cellStyle name="40% - Accent3 9 4 2" xfId="42886"/>
    <cellStyle name="40% - Accent3 9 5" xfId="23589"/>
    <cellStyle name="40% - Accent4" xfId="182" builtinId="43" customBuiltin="1"/>
    <cellStyle name="40% - Accent4 10" xfId="727"/>
    <cellStyle name="40% - Accent4 10 2" xfId="1067"/>
    <cellStyle name="40% - Accent4 10 2 2" xfId="23910"/>
    <cellStyle name="40% - Accent4 10 3" xfId="22649"/>
    <cellStyle name="40% - Accent4 10 3 2" xfId="42523"/>
    <cellStyle name="40% - Accent4 10 4" xfId="23030"/>
    <cellStyle name="40% - Accent4 10 4 2" xfId="42904"/>
    <cellStyle name="40% - Accent4 10 5" xfId="23607"/>
    <cellStyle name="40% - Accent4 11" xfId="754"/>
    <cellStyle name="40% - Accent4 11 2" xfId="1083"/>
    <cellStyle name="40% - Accent4 11 2 2" xfId="23926"/>
    <cellStyle name="40% - Accent4 11 3" xfId="22602"/>
    <cellStyle name="40% - Accent4 11 3 2" xfId="42476"/>
    <cellStyle name="40% - Accent4 11 4" xfId="23046"/>
    <cellStyle name="40% - Accent4 11 4 2" xfId="42920"/>
    <cellStyle name="40% - Accent4 11 5" xfId="23623"/>
    <cellStyle name="40% - Accent4 12" xfId="780"/>
    <cellStyle name="40% - Accent4 12 2" xfId="1099"/>
    <cellStyle name="40% - Accent4 12 2 2" xfId="23942"/>
    <cellStyle name="40% - Accent4 12 3" xfId="22661"/>
    <cellStyle name="40% - Accent4 12 3 2" xfId="42535"/>
    <cellStyle name="40% - Accent4 12 4" xfId="23062"/>
    <cellStyle name="40% - Accent4 12 4 2" xfId="42936"/>
    <cellStyle name="40% - Accent4 12 5" xfId="23639"/>
    <cellStyle name="40% - Accent4 13" xfId="804"/>
    <cellStyle name="40% - Accent4 13 2" xfId="1115"/>
    <cellStyle name="40% - Accent4 13 2 2" xfId="23958"/>
    <cellStyle name="40% - Accent4 13 3" xfId="22683"/>
    <cellStyle name="40% - Accent4 13 3 2" xfId="42557"/>
    <cellStyle name="40% - Accent4 13 4" xfId="23078"/>
    <cellStyle name="40% - Accent4 13 4 2" xfId="42952"/>
    <cellStyle name="40% - Accent4 13 5" xfId="23655"/>
    <cellStyle name="40% - Accent4 14" xfId="823"/>
    <cellStyle name="40% - Accent4 14 2" xfId="1131"/>
    <cellStyle name="40% - Accent4 14 2 2" xfId="23974"/>
    <cellStyle name="40% - Accent4 14 3" xfId="22771"/>
    <cellStyle name="40% - Accent4 14 3 2" xfId="42645"/>
    <cellStyle name="40% - Accent4 14 4" xfId="23094"/>
    <cellStyle name="40% - Accent4 14 4 2" xfId="42968"/>
    <cellStyle name="40% - Accent4 14 5" xfId="23671"/>
    <cellStyle name="40% - Accent4 15" xfId="839"/>
    <cellStyle name="40% - Accent4 15 2" xfId="1147"/>
    <cellStyle name="40% - Accent4 15 2 2" xfId="23990"/>
    <cellStyle name="40% - Accent4 15 3" xfId="22643"/>
    <cellStyle name="40% - Accent4 15 3 2" xfId="42517"/>
    <cellStyle name="40% - Accent4 15 4" xfId="23110"/>
    <cellStyle name="40% - Accent4 15 4 2" xfId="42984"/>
    <cellStyle name="40% - Accent4 15 5" xfId="23687"/>
    <cellStyle name="40% - Accent4 16" xfId="863"/>
    <cellStyle name="40% - Accent4 16 2" xfId="23706"/>
    <cellStyle name="40% - Accent4 17" xfId="22826"/>
    <cellStyle name="40% - Accent4 17 2" xfId="42700"/>
    <cellStyle name="40% - Accent4 18" xfId="23400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2 2" xfId="35588"/>
    <cellStyle name="40% - Accent4 2 2 2 2 3" xfId="21857"/>
    <cellStyle name="40% - Accent4 2 2 2 2 3 2" xfId="41740"/>
    <cellStyle name="40% - Accent4 2 2 2 2 4" xfId="29435"/>
    <cellStyle name="40% - Accent4 2 2 2 3" xfId="12639"/>
    <cellStyle name="40% - Accent4 2 2 2 3 2" xfId="32522"/>
    <cellStyle name="40% - Accent4 2 2 2 4" xfId="18791"/>
    <cellStyle name="40% - Accent4 2 2 2 4 2" xfId="38674"/>
    <cellStyle name="40% - Accent4 2 2 2 5" xfId="26369"/>
    <cellStyle name="40% - Accent4 2 2 3" xfId="7977"/>
    <cellStyle name="40% - Accent4 2 2 3 2" xfId="14171"/>
    <cellStyle name="40% - Accent4 2 2 3 2 2" xfId="34054"/>
    <cellStyle name="40% - Accent4 2 2 3 3" xfId="20323"/>
    <cellStyle name="40% - Accent4 2 2 3 3 2" xfId="40206"/>
    <cellStyle name="40% - Accent4 2 2 3 4" xfId="27901"/>
    <cellStyle name="40% - Accent4 2 2 4" xfId="11105"/>
    <cellStyle name="40% - Accent4 2 2 4 2" xfId="30988"/>
    <cellStyle name="40% - Accent4 2 2 5" xfId="17257"/>
    <cellStyle name="40% - Accent4 2 2 5 2" xfId="37140"/>
    <cellStyle name="40% - Accent4 2 2 6" xfId="4801"/>
    <cellStyle name="40% - Accent4 2 2 6 2" xfId="24835"/>
    <cellStyle name="40% - Accent4 2 2 7" xfId="23782"/>
    <cellStyle name="40% - Accent4 2 3" xfId="5640"/>
    <cellStyle name="40% - Accent4 2 3 2" xfId="8743"/>
    <cellStyle name="40% - Accent4 2 3 2 2" xfId="14936"/>
    <cellStyle name="40% - Accent4 2 3 2 2 2" xfId="34819"/>
    <cellStyle name="40% - Accent4 2 3 2 3" xfId="21088"/>
    <cellStyle name="40% - Accent4 2 3 2 3 2" xfId="40971"/>
    <cellStyle name="40% - Accent4 2 3 2 4" xfId="28666"/>
    <cellStyle name="40% - Accent4 2 3 3" xfId="11870"/>
    <cellStyle name="40% - Accent4 2 3 3 2" xfId="31753"/>
    <cellStyle name="40% - Accent4 2 3 4" xfId="18022"/>
    <cellStyle name="40% - Accent4 2 3 4 2" xfId="37905"/>
    <cellStyle name="40% - Accent4 2 3 5" xfId="25600"/>
    <cellStyle name="40% - Accent4 2 4" xfId="7208"/>
    <cellStyle name="40% - Accent4 2 4 2" xfId="13402"/>
    <cellStyle name="40% - Accent4 2 4 2 2" xfId="33285"/>
    <cellStyle name="40% - Accent4 2 4 3" xfId="19554"/>
    <cellStyle name="40% - Accent4 2 4 3 2" xfId="39437"/>
    <cellStyle name="40% - Accent4 2 4 4" xfId="27132"/>
    <cellStyle name="40% - Accent4 2 5" xfId="10336"/>
    <cellStyle name="40% - Accent4 2 5 2" xfId="30219"/>
    <cellStyle name="40% - Accent4 2 6" xfId="16488"/>
    <cellStyle name="40% - Accent4 2 6 2" xfId="36371"/>
    <cellStyle name="40% - Accent4 2 7" xfId="1370"/>
    <cellStyle name="40% - Accent4 2 7 2" xfId="24066"/>
    <cellStyle name="40% - Accent4 2 8" xfId="22902"/>
    <cellStyle name="40% - Accent4 2 8 2" xfId="42776"/>
    <cellStyle name="40% - Accent4 2 9" xfId="23479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2 2" xfId="35589"/>
    <cellStyle name="40% - Accent4 3 2 2 2 3" xfId="21858"/>
    <cellStyle name="40% - Accent4 3 2 2 2 3 2" xfId="41741"/>
    <cellStyle name="40% - Accent4 3 2 2 2 4" xfId="29436"/>
    <cellStyle name="40% - Accent4 3 2 2 3" xfId="12640"/>
    <cellStyle name="40% - Accent4 3 2 2 3 2" xfId="32523"/>
    <cellStyle name="40% - Accent4 3 2 2 4" xfId="18792"/>
    <cellStyle name="40% - Accent4 3 2 2 4 2" xfId="38675"/>
    <cellStyle name="40% - Accent4 3 2 2 5" xfId="26370"/>
    <cellStyle name="40% - Accent4 3 2 3" xfId="7978"/>
    <cellStyle name="40% - Accent4 3 2 3 2" xfId="14172"/>
    <cellStyle name="40% - Accent4 3 2 3 2 2" xfId="34055"/>
    <cellStyle name="40% - Accent4 3 2 3 3" xfId="20324"/>
    <cellStyle name="40% - Accent4 3 2 3 3 2" xfId="40207"/>
    <cellStyle name="40% - Accent4 3 2 3 4" xfId="27902"/>
    <cellStyle name="40% - Accent4 3 2 4" xfId="11106"/>
    <cellStyle name="40% - Accent4 3 2 4 2" xfId="30989"/>
    <cellStyle name="40% - Accent4 3 2 5" xfId="17258"/>
    <cellStyle name="40% - Accent4 3 2 5 2" xfId="37141"/>
    <cellStyle name="40% - Accent4 3 2 6" xfId="4802"/>
    <cellStyle name="40% - Accent4 3 2 6 2" xfId="24836"/>
    <cellStyle name="40% - Accent4 3 2 7" xfId="23798"/>
    <cellStyle name="40% - Accent4 3 3" xfId="5641"/>
    <cellStyle name="40% - Accent4 3 3 2" xfId="8744"/>
    <cellStyle name="40% - Accent4 3 3 2 2" xfId="14937"/>
    <cellStyle name="40% - Accent4 3 3 2 2 2" xfId="34820"/>
    <cellStyle name="40% - Accent4 3 3 2 3" xfId="21089"/>
    <cellStyle name="40% - Accent4 3 3 2 3 2" xfId="40972"/>
    <cellStyle name="40% - Accent4 3 3 2 4" xfId="28667"/>
    <cellStyle name="40% - Accent4 3 3 3" xfId="11871"/>
    <cellStyle name="40% - Accent4 3 3 3 2" xfId="31754"/>
    <cellStyle name="40% - Accent4 3 3 4" xfId="18023"/>
    <cellStyle name="40% - Accent4 3 3 4 2" xfId="37906"/>
    <cellStyle name="40% - Accent4 3 3 5" xfId="25601"/>
    <cellStyle name="40% - Accent4 3 4" xfId="7209"/>
    <cellStyle name="40% - Accent4 3 4 2" xfId="13403"/>
    <cellStyle name="40% - Accent4 3 4 2 2" xfId="33286"/>
    <cellStyle name="40% - Accent4 3 4 3" xfId="19555"/>
    <cellStyle name="40% - Accent4 3 4 3 2" xfId="39438"/>
    <cellStyle name="40% - Accent4 3 4 4" xfId="27133"/>
    <cellStyle name="40% - Accent4 3 5" xfId="10337"/>
    <cellStyle name="40% - Accent4 3 5 2" xfId="30220"/>
    <cellStyle name="40% - Accent4 3 6" xfId="16489"/>
    <cellStyle name="40% - Accent4 3 6 2" xfId="36372"/>
    <cellStyle name="40% - Accent4 3 7" xfId="1371"/>
    <cellStyle name="40% - Accent4 3 7 2" xfId="24067"/>
    <cellStyle name="40% - Accent4 3 8" xfId="22918"/>
    <cellStyle name="40% - Accent4 3 8 2" xfId="42792"/>
    <cellStyle name="40% - Accent4 3 9" xfId="23495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2 2" xfId="35590"/>
    <cellStyle name="40% - Accent4 4 2 2 2 3" xfId="21859"/>
    <cellStyle name="40% - Accent4 4 2 2 2 3 2" xfId="41742"/>
    <cellStyle name="40% - Accent4 4 2 2 2 4" xfId="29437"/>
    <cellStyle name="40% - Accent4 4 2 2 3" xfId="12641"/>
    <cellStyle name="40% - Accent4 4 2 2 3 2" xfId="32524"/>
    <cellStyle name="40% - Accent4 4 2 2 4" xfId="18793"/>
    <cellStyle name="40% - Accent4 4 2 2 4 2" xfId="38676"/>
    <cellStyle name="40% - Accent4 4 2 2 5" xfId="26371"/>
    <cellStyle name="40% - Accent4 4 2 3" xfId="7979"/>
    <cellStyle name="40% - Accent4 4 2 3 2" xfId="14173"/>
    <cellStyle name="40% - Accent4 4 2 3 2 2" xfId="34056"/>
    <cellStyle name="40% - Accent4 4 2 3 3" xfId="20325"/>
    <cellStyle name="40% - Accent4 4 2 3 3 2" xfId="40208"/>
    <cellStyle name="40% - Accent4 4 2 3 4" xfId="27903"/>
    <cellStyle name="40% - Accent4 4 2 4" xfId="11107"/>
    <cellStyle name="40% - Accent4 4 2 4 2" xfId="30990"/>
    <cellStyle name="40% - Accent4 4 2 5" xfId="17259"/>
    <cellStyle name="40% - Accent4 4 2 5 2" xfId="37142"/>
    <cellStyle name="40% - Accent4 4 2 6" xfId="4803"/>
    <cellStyle name="40% - Accent4 4 2 6 2" xfId="24837"/>
    <cellStyle name="40% - Accent4 4 2 7" xfId="23814"/>
    <cellStyle name="40% - Accent4 4 3" xfId="5642"/>
    <cellStyle name="40% - Accent4 4 3 2" xfId="8745"/>
    <cellStyle name="40% - Accent4 4 3 2 2" xfId="14938"/>
    <cellStyle name="40% - Accent4 4 3 2 2 2" xfId="34821"/>
    <cellStyle name="40% - Accent4 4 3 2 3" xfId="21090"/>
    <cellStyle name="40% - Accent4 4 3 2 3 2" xfId="40973"/>
    <cellStyle name="40% - Accent4 4 3 2 4" xfId="28668"/>
    <cellStyle name="40% - Accent4 4 3 3" xfId="11872"/>
    <cellStyle name="40% - Accent4 4 3 3 2" xfId="31755"/>
    <cellStyle name="40% - Accent4 4 3 4" xfId="18024"/>
    <cellStyle name="40% - Accent4 4 3 4 2" xfId="37907"/>
    <cellStyle name="40% - Accent4 4 3 5" xfId="25602"/>
    <cellStyle name="40% - Accent4 4 4" xfId="7210"/>
    <cellStyle name="40% - Accent4 4 4 2" xfId="13404"/>
    <cellStyle name="40% - Accent4 4 4 2 2" xfId="33287"/>
    <cellStyle name="40% - Accent4 4 4 3" xfId="19556"/>
    <cellStyle name="40% - Accent4 4 4 3 2" xfId="39439"/>
    <cellStyle name="40% - Accent4 4 4 4" xfId="27134"/>
    <cellStyle name="40% - Accent4 4 5" xfId="10338"/>
    <cellStyle name="40% - Accent4 4 5 2" xfId="30221"/>
    <cellStyle name="40% - Accent4 4 6" xfId="16490"/>
    <cellStyle name="40% - Accent4 4 6 2" xfId="36373"/>
    <cellStyle name="40% - Accent4 4 7" xfId="1372"/>
    <cellStyle name="40% - Accent4 4 7 2" xfId="24068"/>
    <cellStyle name="40% - Accent4 4 8" xfId="22934"/>
    <cellStyle name="40% - Accent4 4 8 2" xfId="42808"/>
    <cellStyle name="40% - Accent4 4 9" xfId="23511"/>
    <cellStyle name="40% - Accent4 5" xfId="585"/>
    <cellStyle name="40% - Accent4 5 10" xfId="23527"/>
    <cellStyle name="40% - Accent4 5 2" xfId="987"/>
    <cellStyle name="40% - Accent4 5 2 2" xfId="6429"/>
    <cellStyle name="40% - Accent4 5 2 2 2" xfId="9515"/>
    <cellStyle name="40% - Accent4 5 2 2 2 2" xfId="15708"/>
    <cellStyle name="40% - Accent4 5 2 2 2 2 2" xfId="35591"/>
    <cellStyle name="40% - Accent4 5 2 2 2 3" xfId="21860"/>
    <cellStyle name="40% - Accent4 5 2 2 2 3 2" xfId="41743"/>
    <cellStyle name="40% - Accent4 5 2 2 2 4" xfId="29438"/>
    <cellStyle name="40% - Accent4 5 2 2 3" xfId="12642"/>
    <cellStyle name="40% - Accent4 5 2 2 3 2" xfId="32525"/>
    <cellStyle name="40% - Accent4 5 2 2 4" xfId="18794"/>
    <cellStyle name="40% - Accent4 5 2 2 4 2" xfId="38677"/>
    <cellStyle name="40% - Accent4 5 2 2 5" xfId="26372"/>
    <cellStyle name="40% - Accent4 5 2 3" xfId="7980"/>
    <cellStyle name="40% - Accent4 5 2 3 2" xfId="14174"/>
    <cellStyle name="40% - Accent4 5 2 3 2 2" xfId="34057"/>
    <cellStyle name="40% - Accent4 5 2 3 3" xfId="20326"/>
    <cellStyle name="40% - Accent4 5 2 3 3 2" xfId="40209"/>
    <cellStyle name="40% - Accent4 5 2 3 4" xfId="27904"/>
    <cellStyle name="40% - Accent4 5 2 4" xfId="11108"/>
    <cellStyle name="40% - Accent4 5 2 4 2" xfId="30991"/>
    <cellStyle name="40% - Accent4 5 2 5" xfId="17260"/>
    <cellStyle name="40% - Accent4 5 2 5 2" xfId="37143"/>
    <cellStyle name="40% - Accent4 5 2 6" xfId="4804"/>
    <cellStyle name="40% - Accent4 5 2 6 2" xfId="24838"/>
    <cellStyle name="40% - Accent4 5 2 7" xfId="23830"/>
    <cellStyle name="40% - Accent4 5 3" xfId="5643"/>
    <cellStyle name="40% - Accent4 5 3 2" xfId="8746"/>
    <cellStyle name="40% - Accent4 5 3 2 2" xfId="14939"/>
    <cellStyle name="40% - Accent4 5 3 2 2 2" xfId="34822"/>
    <cellStyle name="40% - Accent4 5 3 2 3" xfId="21091"/>
    <cellStyle name="40% - Accent4 5 3 2 3 2" xfId="40974"/>
    <cellStyle name="40% - Accent4 5 3 2 4" xfId="28669"/>
    <cellStyle name="40% - Accent4 5 3 3" xfId="11873"/>
    <cellStyle name="40% - Accent4 5 3 3 2" xfId="31756"/>
    <cellStyle name="40% - Accent4 5 3 4" xfId="18025"/>
    <cellStyle name="40% - Accent4 5 3 4 2" xfId="37908"/>
    <cellStyle name="40% - Accent4 5 3 5" xfId="25603"/>
    <cellStyle name="40% - Accent4 5 4" xfId="7211"/>
    <cellStyle name="40% - Accent4 5 4 2" xfId="13405"/>
    <cellStyle name="40% - Accent4 5 4 2 2" xfId="33288"/>
    <cellStyle name="40% - Accent4 5 4 3" xfId="19557"/>
    <cellStyle name="40% - Accent4 5 4 3 2" xfId="39440"/>
    <cellStyle name="40% - Accent4 5 4 4" xfId="27135"/>
    <cellStyle name="40% - Accent4 5 5" xfId="10339"/>
    <cellStyle name="40% - Accent4 5 5 2" xfId="30222"/>
    <cellStyle name="40% - Accent4 5 6" xfId="16491"/>
    <cellStyle name="40% - Accent4 5 6 2" xfId="36374"/>
    <cellStyle name="40% - Accent4 5 7" xfId="1373"/>
    <cellStyle name="40% - Accent4 5 7 2" xfId="24069"/>
    <cellStyle name="40% - Accent4 5 8" xfId="22756"/>
    <cellStyle name="40% - Accent4 5 8 2" xfId="42630"/>
    <cellStyle name="40% - Accent4 5 9" xfId="22950"/>
    <cellStyle name="40% - Accent4 5 9 2" xfId="42824"/>
    <cellStyle name="40% - Accent4 6" xfId="610"/>
    <cellStyle name="40% - Accent4 6 2" xfId="1003"/>
    <cellStyle name="40% - Accent4 6 2 2" xfId="23846"/>
    <cellStyle name="40% - Accent4 6 3" xfId="1374"/>
    <cellStyle name="40% - Accent4 6 4" xfId="22693"/>
    <cellStyle name="40% - Accent4 6 4 2" xfId="42567"/>
    <cellStyle name="40% - Accent4 6 5" xfId="22966"/>
    <cellStyle name="40% - Accent4 6 5 2" xfId="42840"/>
    <cellStyle name="40% - Accent4 6 6" xfId="23543"/>
    <cellStyle name="40% - Accent4 7" xfId="635"/>
    <cellStyle name="40% - Accent4 7 2" xfId="1019"/>
    <cellStyle name="40% - Accent4 7 2 2" xfId="23862"/>
    <cellStyle name="40% - Accent4 7 3" xfId="22676"/>
    <cellStyle name="40% - Accent4 7 3 2" xfId="42550"/>
    <cellStyle name="40% - Accent4 7 4" xfId="22982"/>
    <cellStyle name="40% - Accent4 7 4 2" xfId="42856"/>
    <cellStyle name="40% - Accent4 7 5" xfId="23559"/>
    <cellStyle name="40% - Accent4 8" xfId="660"/>
    <cellStyle name="40% - Accent4 8 2" xfId="1035"/>
    <cellStyle name="40% - Accent4 8 2 2" xfId="23878"/>
    <cellStyle name="40% - Accent4 8 3" xfId="22614"/>
    <cellStyle name="40% - Accent4 8 3 2" xfId="42488"/>
    <cellStyle name="40% - Accent4 8 4" xfId="22998"/>
    <cellStyle name="40% - Accent4 8 4 2" xfId="42872"/>
    <cellStyle name="40% - Accent4 8 5" xfId="23575"/>
    <cellStyle name="40% - Accent4 9" xfId="699"/>
    <cellStyle name="40% - Accent4 9 2" xfId="1051"/>
    <cellStyle name="40% - Accent4 9 2 2" xfId="23894"/>
    <cellStyle name="40% - Accent4 9 3" xfId="22652"/>
    <cellStyle name="40% - Accent4 9 3 2" xfId="42526"/>
    <cellStyle name="40% - Accent4 9 4" xfId="23014"/>
    <cellStyle name="40% - Accent4 9 4 2" xfId="42888"/>
    <cellStyle name="40% - Accent4 9 5" xfId="23591"/>
    <cellStyle name="40% - Accent5" xfId="186" builtinId="47" customBuiltin="1"/>
    <cellStyle name="40% - Accent5 10" xfId="731"/>
    <cellStyle name="40% - Accent5 10 2" xfId="1069"/>
    <cellStyle name="40% - Accent5 10 2 2" xfId="23912"/>
    <cellStyle name="40% - Accent5 10 3" xfId="22797"/>
    <cellStyle name="40% - Accent5 10 3 2" xfId="42671"/>
    <cellStyle name="40% - Accent5 10 4" xfId="23032"/>
    <cellStyle name="40% - Accent5 10 4 2" xfId="42906"/>
    <cellStyle name="40% - Accent5 10 5" xfId="23609"/>
    <cellStyle name="40% - Accent5 11" xfId="757"/>
    <cellStyle name="40% - Accent5 11 2" xfId="1085"/>
    <cellStyle name="40% - Accent5 11 2 2" xfId="23928"/>
    <cellStyle name="40% - Accent5 11 3" xfId="22793"/>
    <cellStyle name="40% - Accent5 11 3 2" xfId="42667"/>
    <cellStyle name="40% - Accent5 11 4" xfId="23048"/>
    <cellStyle name="40% - Accent5 11 4 2" xfId="42922"/>
    <cellStyle name="40% - Accent5 11 5" xfId="23625"/>
    <cellStyle name="40% - Accent5 12" xfId="783"/>
    <cellStyle name="40% - Accent5 12 2" xfId="1101"/>
    <cellStyle name="40% - Accent5 12 2 2" xfId="23944"/>
    <cellStyle name="40% - Accent5 12 3" xfId="22780"/>
    <cellStyle name="40% - Accent5 12 3 2" xfId="42654"/>
    <cellStyle name="40% - Accent5 12 4" xfId="23064"/>
    <cellStyle name="40% - Accent5 12 4 2" xfId="42938"/>
    <cellStyle name="40% - Accent5 12 5" xfId="23641"/>
    <cellStyle name="40% - Accent5 13" xfId="807"/>
    <cellStyle name="40% - Accent5 13 2" xfId="1117"/>
    <cellStyle name="40% - Accent5 13 2 2" xfId="23960"/>
    <cellStyle name="40% - Accent5 13 3" xfId="22743"/>
    <cellStyle name="40% - Accent5 13 3 2" xfId="42617"/>
    <cellStyle name="40% - Accent5 13 4" xfId="23080"/>
    <cellStyle name="40% - Accent5 13 4 2" xfId="42954"/>
    <cellStyle name="40% - Accent5 13 5" xfId="23657"/>
    <cellStyle name="40% - Accent5 14" xfId="825"/>
    <cellStyle name="40% - Accent5 14 2" xfId="1133"/>
    <cellStyle name="40% - Accent5 14 2 2" xfId="23976"/>
    <cellStyle name="40% - Accent5 14 3" xfId="22609"/>
    <cellStyle name="40% - Accent5 14 3 2" xfId="42483"/>
    <cellStyle name="40% - Accent5 14 4" xfId="23096"/>
    <cellStyle name="40% - Accent5 14 4 2" xfId="42970"/>
    <cellStyle name="40% - Accent5 14 5" xfId="23673"/>
    <cellStyle name="40% - Accent5 15" xfId="841"/>
    <cellStyle name="40% - Accent5 15 2" xfId="1149"/>
    <cellStyle name="40% - Accent5 15 2 2" xfId="23992"/>
    <cellStyle name="40% - Accent5 15 3" xfId="22600"/>
    <cellStyle name="40% - Accent5 15 3 2" xfId="42474"/>
    <cellStyle name="40% - Accent5 15 4" xfId="23112"/>
    <cellStyle name="40% - Accent5 15 4 2" xfId="42986"/>
    <cellStyle name="40% - Accent5 15 5" xfId="23689"/>
    <cellStyle name="40% - Accent5 16" xfId="865"/>
    <cellStyle name="40% - Accent5 16 2" xfId="23708"/>
    <cellStyle name="40% - Accent5 17" xfId="22828"/>
    <cellStyle name="40% - Accent5 17 2" xfId="42702"/>
    <cellStyle name="40% - Accent5 18" xfId="23402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2 2" xfId="35592"/>
    <cellStyle name="40% - Accent5 2 2 2 2 3" xfId="21861"/>
    <cellStyle name="40% - Accent5 2 2 2 2 3 2" xfId="41744"/>
    <cellStyle name="40% - Accent5 2 2 2 2 4" xfId="29439"/>
    <cellStyle name="40% - Accent5 2 2 2 3" xfId="12643"/>
    <cellStyle name="40% - Accent5 2 2 2 3 2" xfId="32526"/>
    <cellStyle name="40% - Accent5 2 2 2 4" xfId="18795"/>
    <cellStyle name="40% - Accent5 2 2 2 4 2" xfId="38678"/>
    <cellStyle name="40% - Accent5 2 2 2 5" xfId="26373"/>
    <cellStyle name="40% - Accent5 2 2 3" xfId="7981"/>
    <cellStyle name="40% - Accent5 2 2 3 2" xfId="14175"/>
    <cellStyle name="40% - Accent5 2 2 3 2 2" xfId="34058"/>
    <cellStyle name="40% - Accent5 2 2 3 3" xfId="20327"/>
    <cellStyle name="40% - Accent5 2 2 3 3 2" xfId="40210"/>
    <cellStyle name="40% - Accent5 2 2 3 4" xfId="27905"/>
    <cellStyle name="40% - Accent5 2 2 4" xfId="11109"/>
    <cellStyle name="40% - Accent5 2 2 4 2" xfId="30992"/>
    <cellStyle name="40% - Accent5 2 2 5" xfId="17261"/>
    <cellStyle name="40% - Accent5 2 2 5 2" xfId="37144"/>
    <cellStyle name="40% - Accent5 2 2 6" xfId="4805"/>
    <cellStyle name="40% - Accent5 2 2 6 2" xfId="24839"/>
    <cellStyle name="40% - Accent5 2 2 7" xfId="23784"/>
    <cellStyle name="40% - Accent5 2 3" xfId="5644"/>
    <cellStyle name="40% - Accent5 2 3 2" xfId="8747"/>
    <cellStyle name="40% - Accent5 2 3 2 2" xfId="14940"/>
    <cellStyle name="40% - Accent5 2 3 2 2 2" xfId="34823"/>
    <cellStyle name="40% - Accent5 2 3 2 3" xfId="21092"/>
    <cellStyle name="40% - Accent5 2 3 2 3 2" xfId="40975"/>
    <cellStyle name="40% - Accent5 2 3 2 4" xfId="28670"/>
    <cellStyle name="40% - Accent5 2 3 3" xfId="11874"/>
    <cellStyle name="40% - Accent5 2 3 3 2" xfId="31757"/>
    <cellStyle name="40% - Accent5 2 3 4" xfId="18026"/>
    <cellStyle name="40% - Accent5 2 3 4 2" xfId="37909"/>
    <cellStyle name="40% - Accent5 2 3 5" xfId="25604"/>
    <cellStyle name="40% - Accent5 2 4" xfId="7212"/>
    <cellStyle name="40% - Accent5 2 4 2" xfId="13406"/>
    <cellStyle name="40% - Accent5 2 4 2 2" xfId="33289"/>
    <cellStyle name="40% - Accent5 2 4 3" xfId="19558"/>
    <cellStyle name="40% - Accent5 2 4 3 2" xfId="39441"/>
    <cellStyle name="40% - Accent5 2 4 4" xfId="27136"/>
    <cellStyle name="40% - Accent5 2 5" xfId="10340"/>
    <cellStyle name="40% - Accent5 2 5 2" xfId="30223"/>
    <cellStyle name="40% - Accent5 2 6" xfId="16492"/>
    <cellStyle name="40% - Accent5 2 6 2" xfId="36375"/>
    <cellStyle name="40% - Accent5 2 7" xfId="1375"/>
    <cellStyle name="40% - Accent5 2 7 2" xfId="24070"/>
    <cellStyle name="40% - Accent5 2 8" xfId="22904"/>
    <cellStyle name="40% - Accent5 2 8 2" xfId="42778"/>
    <cellStyle name="40% - Accent5 2 9" xfId="23481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2 2" xfId="35593"/>
    <cellStyle name="40% - Accent5 3 2 2 2 3" xfId="21862"/>
    <cellStyle name="40% - Accent5 3 2 2 2 3 2" xfId="41745"/>
    <cellStyle name="40% - Accent5 3 2 2 2 4" xfId="29440"/>
    <cellStyle name="40% - Accent5 3 2 2 3" xfId="12644"/>
    <cellStyle name="40% - Accent5 3 2 2 3 2" xfId="32527"/>
    <cellStyle name="40% - Accent5 3 2 2 4" xfId="18796"/>
    <cellStyle name="40% - Accent5 3 2 2 4 2" xfId="38679"/>
    <cellStyle name="40% - Accent5 3 2 2 5" xfId="26374"/>
    <cellStyle name="40% - Accent5 3 2 3" xfId="7982"/>
    <cellStyle name="40% - Accent5 3 2 3 2" xfId="14176"/>
    <cellStyle name="40% - Accent5 3 2 3 2 2" xfId="34059"/>
    <cellStyle name="40% - Accent5 3 2 3 3" xfId="20328"/>
    <cellStyle name="40% - Accent5 3 2 3 3 2" xfId="40211"/>
    <cellStyle name="40% - Accent5 3 2 3 4" xfId="27906"/>
    <cellStyle name="40% - Accent5 3 2 4" xfId="11110"/>
    <cellStyle name="40% - Accent5 3 2 4 2" xfId="30993"/>
    <cellStyle name="40% - Accent5 3 2 5" xfId="17262"/>
    <cellStyle name="40% - Accent5 3 2 5 2" xfId="37145"/>
    <cellStyle name="40% - Accent5 3 2 6" xfId="4806"/>
    <cellStyle name="40% - Accent5 3 2 6 2" xfId="24840"/>
    <cellStyle name="40% - Accent5 3 2 7" xfId="23800"/>
    <cellStyle name="40% - Accent5 3 3" xfId="5645"/>
    <cellStyle name="40% - Accent5 3 3 2" xfId="8748"/>
    <cellStyle name="40% - Accent5 3 3 2 2" xfId="14941"/>
    <cellStyle name="40% - Accent5 3 3 2 2 2" xfId="34824"/>
    <cellStyle name="40% - Accent5 3 3 2 3" xfId="21093"/>
    <cellStyle name="40% - Accent5 3 3 2 3 2" xfId="40976"/>
    <cellStyle name="40% - Accent5 3 3 2 4" xfId="28671"/>
    <cellStyle name="40% - Accent5 3 3 3" xfId="11875"/>
    <cellStyle name="40% - Accent5 3 3 3 2" xfId="31758"/>
    <cellStyle name="40% - Accent5 3 3 4" xfId="18027"/>
    <cellStyle name="40% - Accent5 3 3 4 2" xfId="37910"/>
    <cellStyle name="40% - Accent5 3 3 5" xfId="25605"/>
    <cellStyle name="40% - Accent5 3 4" xfId="7213"/>
    <cellStyle name="40% - Accent5 3 4 2" xfId="13407"/>
    <cellStyle name="40% - Accent5 3 4 2 2" xfId="33290"/>
    <cellStyle name="40% - Accent5 3 4 3" xfId="19559"/>
    <cellStyle name="40% - Accent5 3 4 3 2" xfId="39442"/>
    <cellStyle name="40% - Accent5 3 4 4" xfId="27137"/>
    <cellStyle name="40% - Accent5 3 5" xfId="10341"/>
    <cellStyle name="40% - Accent5 3 5 2" xfId="30224"/>
    <cellStyle name="40% - Accent5 3 6" xfId="16493"/>
    <cellStyle name="40% - Accent5 3 6 2" xfId="36376"/>
    <cellStyle name="40% - Accent5 3 7" xfId="1376"/>
    <cellStyle name="40% - Accent5 3 7 2" xfId="24071"/>
    <cellStyle name="40% - Accent5 3 8" xfId="22920"/>
    <cellStyle name="40% - Accent5 3 8 2" xfId="42794"/>
    <cellStyle name="40% - Accent5 3 9" xfId="23497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2 2" xfId="35594"/>
    <cellStyle name="40% - Accent5 4 2 2 2 3" xfId="21863"/>
    <cellStyle name="40% - Accent5 4 2 2 2 3 2" xfId="41746"/>
    <cellStyle name="40% - Accent5 4 2 2 2 4" xfId="29441"/>
    <cellStyle name="40% - Accent5 4 2 2 3" xfId="12645"/>
    <cellStyle name="40% - Accent5 4 2 2 3 2" xfId="32528"/>
    <cellStyle name="40% - Accent5 4 2 2 4" xfId="18797"/>
    <cellStyle name="40% - Accent5 4 2 2 4 2" xfId="38680"/>
    <cellStyle name="40% - Accent5 4 2 2 5" xfId="26375"/>
    <cellStyle name="40% - Accent5 4 2 3" xfId="7983"/>
    <cellStyle name="40% - Accent5 4 2 3 2" xfId="14177"/>
    <cellStyle name="40% - Accent5 4 2 3 2 2" xfId="34060"/>
    <cellStyle name="40% - Accent5 4 2 3 3" xfId="20329"/>
    <cellStyle name="40% - Accent5 4 2 3 3 2" xfId="40212"/>
    <cellStyle name="40% - Accent5 4 2 3 4" xfId="27907"/>
    <cellStyle name="40% - Accent5 4 2 4" xfId="11111"/>
    <cellStyle name="40% - Accent5 4 2 4 2" xfId="30994"/>
    <cellStyle name="40% - Accent5 4 2 5" xfId="17263"/>
    <cellStyle name="40% - Accent5 4 2 5 2" xfId="37146"/>
    <cellStyle name="40% - Accent5 4 2 6" xfId="4807"/>
    <cellStyle name="40% - Accent5 4 2 6 2" xfId="24841"/>
    <cellStyle name="40% - Accent5 4 2 7" xfId="23816"/>
    <cellStyle name="40% - Accent5 4 3" xfId="5646"/>
    <cellStyle name="40% - Accent5 4 3 2" xfId="8749"/>
    <cellStyle name="40% - Accent5 4 3 2 2" xfId="14942"/>
    <cellStyle name="40% - Accent5 4 3 2 2 2" xfId="34825"/>
    <cellStyle name="40% - Accent5 4 3 2 3" xfId="21094"/>
    <cellStyle name="40% - Accent5 4 3 2 3 2" xfId="40977"/>
    <cellStyle name="40% - Accent5 4 3 2 4" xfId="28672"/>
    <cellStyle name="40% - Accent5 4 3 3" xfId="11876"/>
    <cellStyle name="40% - Accent5 4 3 3 2" xfId="31759"/>
    <cellStyle name="40% - Accent5 4 3 4" xfId="18028"/>
    <cellStyle name="40% - Accent5 4 3 4 2" xfId="37911"/>
    <cellStyle name="40% - Accent5 4 3 5" xfId="25606"/>
    <cellStyle name="40% - Accent5 4 4" xfId="7214"/>
    <cellStyle name="40% - Accent5 4 4 2" xfId="13408"/>
    <cellStyle name="40% - Accent5 4 4 2 2" xfId="33291"/>
    <cellStyle name="40% - Accent5 4 4 3" xfId="19560"/>
    <cellStyle name="40% - Accent5 4 4 3 2" xfId="39443"/>
    <cellStyle name="40% - Accent5 4 4 4" xfId="27138"/>
    <cellStyle name="40% - Accent5 4 5" xfId="10342"/>
    <cellStyle name="40% - Accent5 4 5 2" xfId="30225"/>
    <cellStyle name="40% - Accent5 4 6" xfId="16494"/>
    <cellStyle name="40% - Accent5 4 6 2" xfId="36377"/>
    <cellStyle name="40% - Accent5 4 7" xfId="1377"/>
    <cellStyle name="40% - Accent5 4 7 2" xfId="24072"/>
    <cellStyle name="40% - Accent5 4 8" xfId="22936"/>
    <cellStyle name="40% - Accent5 4 8 2" xfId="42810"/>
    <cellStyle name="40% - Accent5 4 9" xfId="23513"/>
    <cellStyle name="40% - Accent5 5" xfId="588"/>
    <cellStyle name="40% - Accent5 5 2" xfId="989"/>
    <cellStyle name="40% - Accent5 5 2 2" xfId="23832"/>
    <cellStyle name="40% - Accent5 5 3" xfId="1378"/>
    <cellStyle name="40% - Accent5 5 4" xfId="22690"/>
    <cellStyle name="40% - Accent5 5 4 2" xfId="42564"/>
    <cellStyle name="40% - Accent5 5 5" xfId="22952"/>
    <cellStyle name="40% - Accent5 5 5 2" xfId="42826"/>
    <cellStyle name="40% - Accent5 5 6" xfId="23529"/>
    <cellStyle name="40% - Accent5 6" xfId="614"/>
    <cellStyle name="40% - Accent5 6 2" xfId="1005"/>
    <cellStyle name="40% - Accent5 6 2 2" xfId="23848"/>
    <cellStyle name="40% - Accent5 6 3" xfId="22726"/>
    <cellStyle name="40% - Accent5 6 3 2" xfId="42600"/>
    <cellStyle name="40% - Accent5 6 4" xfId="22968"/>
    <cellStyle name="40% - Accent5 6 4 2" xfId="42842"/>
    <cellStyle name="40% - Accent5 6 5" xfId="23545"/>
    <cellStyle name="40% - Accent5 7" xfId="638"/>
    <cellStyle name="40% - Accent5 7 2" xfId="1021"/>
    <cellStyle name="40% - Accent5 7 2 2" xfId="23864"/>
    <cellStyle name="40% - Accent5 7 3" xfId="22744"/>
    <cellStyle name="40% - Accent5 7 3 2" xfId="42618"/>
    <cellStyle name="40% - Accent5 7 4" xfId="22984"/>
    <cellStyle name="40% - Accent5 7 4 2" xfId="42858"/>
    <cellStyle name="40% - Accent5 7 5" xfId="23561"/>
    <cellStyle name="40% - Accent5 8" xfId="663"/>
    <cellStyle name="40% - Accent5 8 2" xfId="1037"/>
    <cellStyle name="40% - Accent5 8 2 2" xfId="23880"/>
    <cellStyle name="40% - Accent5 8 3" xfId="1163"/>
    <cellStyle name="40% - Accent5 8 3 2" xfId="24003"/>
    <cellStyle name="40% - Accent5 8 4" xfId="23000"/>
    <cellStyle name="40% - Accent5 8 4 2" xfId="42874"/>
    <cellStyle name="40% - Accent5 8 5" xfId="23577"/>
    <cellStyle name="40% - Accent5 9" xfId="703"/>
    <cellStyle name="40% - Accent5 9 2" xfId="1053"/>
    <cellStyle name="40% - Accent5 9 2 2" xfId="23896"/>
    <cellStyle name="40% - Accent5 9 3" xfId="22642"/>
    <cellStyle name="40% - Accent5 9 3 2" xfId="42516"/>
    <cellStyle name="40% - Accent5 9 4" xfId="23016"/>
    <cellStyle name="40% - Accent5 9 4 2" xfId="42890"/>
    <cellStyle name="40% - Accent5 9 5" xfId="23593"/>
    <cellStyle name="40% - Accent6" xfId="190" builtinId="51" customBuiltin="1"/>
    <cellStyle name="40% - Accent6 10" xfId="735"/>
    <cellStyle name="40% - Accent6 10 2" xfId="1071"/>
    <cellStyle name="40% - Accent6 10 2 2" xfId="23914"/>
    <cellStyle name="40% - Accent6 10 3" xfId="22776"/>
    <cellStyle name="40% - Accent6 10 3 2" xfId="42650"/>
    <cellStyle name="40% - Accent6 10 4" xfId="23034"/>
    <cellStyle name="40% - Accent6 10 4 2" xfId="42908"/>
    <cellStyle name="40% - Accent6 10 5" xfId="23611"/>
    <cellStyle name="40% - Accent6 11" xfId="761"/>
    <cellStyle name="40% - Accent6 11 2" xfId="1087"/>
    <cellStyle name="40% - Accent6 11 2 2" xfId="23930"/>
    <cellStyle name="40% - Accent6 11 3" xfId="22713"/>
    <cellStyle name="40% - Accent6 11 3 2" xfId="42587"/>
    <cellStyle name="40% - Accent6 11 4" xfId="23050"/>
    <cellStyle name="40% - Accent6 11 4 2" xfId="42924"/>
    <cellStyle name="40% - Accent6 11 5" xfId="23627"/>
    <cellStyle name="40% - Accent6 12" xfId="786"/>
    <cellStyle name="40% - Accent6 12 2" xfId="1103"/>
    <cellStyle name="40% - Accent6 12 2 2" xfId="23946"/>
    <cellStyle name="40% - Accent6 12 3" xfId="22635"/>
    <cellStyle name="40% - Accent6 12 3 2" xfId="42509"/>
    <cellStyle name="40% - Accent6 12 4" xfId="23066"/>
    <cellStyle name="40% - Accent6 12 4 2" xfId="42940"/>
    <cellStyle name="40% - Accent6 12 5" xfId="23643"/>
    <cellStyle name="40% - Accent6 13" xfId="810"/>
    <cellStyle name="40% - Accent6 13 2" xfId="1119"/>
    <cellStyle name="40% - Accent6 13 2 2" xfId="23962"/>
    <cellStyle name="40% - Accent6 13 3" xfId="22747"/>
    <cellStyle name="40% - Accent6 13 3 2" xfId="42621"/>
    <cellStyle name="40% - Accent6 13 4" xfId="23082"/>
    <cellStyle name="40% - Accent6 13 4 2" xfId="42956"/>
    <cellStyle name="40% - Accent6 13 5" xfId="23659"/>
    <cellStyle name="40% - Accent6 14" xfId="827"/>
    <cellStyle name="40% - Accent6 14 2" xfId="1135"/>
    <cellStyle name="40% - Accent6 14 2 2" xfId="23978"/>
    <cellStyle name="40% - Accent6 14 3" xfId="22738"/>
    <cellStyle name="40% - Accent6 14 3 2" xfId="42612"/>
    <cellStyle name="40% - Accent6 14 4" xfId="23098"/>
    <cellStyle name="40% - Accent6 14 4 2" xfId="42972"/>
    <cellStyle name="40% - Accent6 14 5" xfId="23675"/>
    <cellStyle name="40% - Accent6 15" xfId="843"/>
    <cellStyle name="40% - Accent6 15 2" xfId="1151"/>
    <cellStyle name="40% - Accent6 15 2 2" xfId="23994"/>
    <cellStyle name="40% - Accent6 15 3" xfId="22808"/>
    <cellStyle name="40% - Accent6 15 3 2" xfId="42682"/>
    <cellStyle name="40% - Accent6 15 4" xfId="23114"/>
    <cellStyle name="40% - Accent6 15 4 2" xfId="42988"/>
    <cellStyle name="40% - Accent6 15 5" xfId="23691"/>
    <cellStyle name="40% - Accent6 16" xfId="867"/>
    <cellStyle name="40% - Accent6 16 2" xfId="23710"/>
    <cellStyle name="40% - Accent6 17" xfId="22830"/>
    <cellStyle name="40% - Accent6 17 2" xfId="42704"/>
    <cellStyle name="40% - Accent6 18" xfId="23404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2 2" xfId="35595"/>
    <cellStyle name="40% - Accent6 2 2 2 2 3" xfId="21864"/>
    <cellStyle name="40% - Accent6 2 2 2 2 3 2" xfId="41747"/>
    <cellStyle name="40% - Accent6 2 2 2 2 4" xfId="29442"/>
    <cellStyle name="40% - Accent6 2 2 2 3" xfId="12646"/>
    <cellStyle name="40% - Accent6 2 2 2 3 2" xfId="32529"/>
    <cellStyle name="40% - Accent6 2 2 2 4" xfId="18798"/>
    <cellStyle name="40% - Accent6 2 2 2 4 2" xfId="38681"/>
    <cellStyle name="40% - Accent6 2 2 2 5" xfId="26376"/>
    <cellStyle name="40% - Accent6 2 2 3" xfId="7984"/>
    <cellStyle name="40% - Accent6 2 2 3 2" xfId="14178"/>
    <cellStyle name="40% - Accent6 2 2 3 2 2" xfId="34061"/>
    <cellStyle name="40% - Accent6 2 2 3 3" xfId="20330"/>
    <cellStyle name="40% - Accent6 2 2 3 3 2" xfId="40213"/>
    <cellStyle name="40% - Accent6 2 2 3 4" xfId="27908"/>
    <cellStyle name="40% - Accent6 2 2 4" xfId="11112"/>
    <cellStyle name="40% - Accent6 2 2 4 2" xfId="30995"/>
    <cellStyle name="40% - Accent6 2 2 5" xfId="17264"/>
    <cellStyle name="40% - Accent6 2 2 5 2" xfId="37147"/>
    <cellStyle name="40% - Accent6 2 2 6" xfId="4808"/>
    <cellStyle name="40% - Accent6 2 2 6 2" xfId="24842"/>
    <cellStyle name="40% - Accent6 2 2 7" xfId="23786"/>
    <cellStyle name="40% - Accent6 2 3" xfId="5647"/>
    <cellStyle name="40% - Accent6 2 3 2" xfId="8750"/>
    <cellStyle name="40% - Accent6 2 3 2 2" xfId="14943"/>
    <cellStyle name="40% - Accent6 2 3 2 2 2" xfId="34826"/>
    <cellStyle name="40% - Accent6 2 3 2 3" xfId="21095"/>
    <cellStyle name="40% - Accent6 2 3 2 3 2" xfId="40978"/>
    <cellStyle name="40% - Accent6 2 3 2 4" xfId="28673"/>
    <cellStyle name="40% - Accent6 2 3 3" xfId="11877"/>
    <cellStyle name="40% - Accent6 2 3 3 2" xfId="31760"/>
    <cellStyle name="40% - Accent6 2 3 4" xfId="18029"/>
    <cellStyle name="40% - Accent6 2 3 4 2" xfId="37912"/>
    <cellStyle name="40% - Accent6 2 3 5" xfId="25607"/>
    <cellStyle name="40% - Accent6 2 4" xfId="7215"/>
    <cellStyle name="40% - Accent6 2 4 2" xfId="13409"/>
    <cellStyle name="40% - Accent6 2 4 2 2" xfId="33292"/>
    <cellStyle name="40% - Accent6 2 4 3" xfId="19561"/>
    <cellStyle name="40% - Accent6 2 4 3 2" xfId="39444"/>
    <cellStyle name="40% - Accent6 2 4 4" xfId="27139"/>
    <cellStyle name="40% - Accent6 2 5" xfId="10343"/>
    <cellStyle name="40% - Accent6 2 5 2" xfId="30226"/>
    <cellStyle name="40% - Accent6 2 6" xfId="16495"/>
    <cellStyle name="40% - Accent6 2 6 2" xfId="36378"/>
    <cellStyle name="40% - Accent6 2 7" xfId="1379"/>
    <cellStyle name="40% - Accent6 2 7 2" xfId="24073"/>
    <cellStyle name="40% - Accent6 2 8" xfId="22906"/>
    <cellStyle name="40% - Accent6 2 8 2" xfId="42780"/>
    <cellStyle name="40% - Accent6 2 9" xfId="23483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2 2" xfId="35596"/>
    <cellStyle name="40% - Accent6 3 2 2 2 3" xfId="21865"/>
    <cellStyle name="40% - Accent6 3 2 2 2 3 2" xfId="41748"/>
    <cellStyle name="40% - Accent6 3 2 2 2 4" xfId="29443"/>
    <cellStyle name="40% - Accent6 3 2 2 3" xfId="12647"/>
    <cellStyle name="40% - Accent6 3 2 2 3 2" xfId="32530"/>
    <cellStyle name="40% - Accent6 3 2 2 4" xfId="18799"/>
    <cellStyle name="40% - Accent6 3 2 2 4 2" xfId="38682"/>
    <cellStyle name="40% - Accent6 3 2 2 5" xfId="26377"/>
    <cellStyle name="40% - Accent6 3 2 3" xfId="7985"/>
    <cellStyle name="40% - Accent6 3 2 3 2" xfId="14179"/>
    <cellStyle name="40% - Accent6 3 2 3 2 2" xfId="34062"/>
    <cellStyle name="40% - Accent6 3 2 3 3" xfId="20331"/>
    <cellStyle name="40% - Accent6 3 2 3 3 2" xfId="40214"/>
    <cellStyle name="40% - Accent6 3 2 3 4" xfId="27909"/>
    <cellStyle name="40% - Accent6 3 2 4" xfId="11113"/>
    <cellStyle name="40% - Accent6 3 2 4 2" xfId="30996"/>
    <cellStyle name="40% - Accent6 3 2 5" xfId="17265"/>
    <cellStyle name="40% - Accent6 3 2 5 2" xfId="37148"/>
    <cellStyle name="40% - Accent6 3 2 6" xfId="4809"/>
    <cellStyle name="40% - Accent6 3 2 6 2" xfId="24843"/>
    <cellStyle name="40% - Accent6 3 2 7" xfId="23802"/>
    <cellStyle name="40% - Accent6 3 3" xfId="5648"/>
    <cellStyle name="40% - Accent6 3 3 2" xfId="8751"/>
    <cellStyle name="40% - Accent6 3 3 2 2" xfId="14944"/>
    <cellStyle name="40% - Accent6 3 3 2 2 2" xfId="34827"/>
    <cellStyle name="40% - Accent6 3 3 2 3" xfId="21096"/>
    <cellStyle name="40% - Accent6 3 3 2 3 2" xfId="40979"/>
    <cellStyle name="40% - Accent6 3 3 2 4" xfId="28674"/>
    <cellStyle name="40% - Accent6 3 3 3" xfId="11878"/>
    <cellStyle name="40% - Accent6 3 3 3 2" xfId="31761"/>
    <cellStyle name="40% - Accent6 3 3 4" xfId="18030"/>
    <cellStyle name="40% - Accent6 3 3 4 2" xfId="37913"/>
    <cellStyle name="40% - Accent6 3 3 5" xfId="25608"/>
    <cellStyle name="40% - Accent6 3 4" xfId="7216"/>
    <cellStyle name="40% - Accent6 3 4 2" xfId="13410"/>
    <cellStyle name="40% - Accent6 3 4 2 2" xfId="33293"/>
    <cellStyle name="40% - Accent6 3 4 3" xfId="19562"/>
    <cellStyle name="40% - Accent6 3 4 3 2" xfId="39445"/>
    <cellStyle name="40% - Accent6 3 4 4" xfId="27140"/>
    <cellStyle name="40% - Accent6 3 5" xfId="10344"/>
    <cellStyle name="40% - Accent6 3 5 2" xfId="30227"/>
    <cellStyle name="40% - Accent6 3 6" xfId="16496"/>
    <cellStyle name="40% - Accent6 3 6 2" xfId="36379"/>
    <cellStyle name="40% - Accent6 3 7" xfId="1380"/>
    <cellStyle name="40% - Accent6 3 7 2" xfId="24074"/>
    <cellStyle name="40% - Accent6 3 8" xfId="22922"/>
    <cellStyle name="40% - Accent6 3 8 2" xfId="42796"/>
    <cellStyle name="40% - Accent6 3 9" xfId="23499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2 2" xfId="35597"/>
    <cellStyle name="40% - Accent6 4 2 2 2 3" xfId="21866"/>
    <cellStyle name="40% - Accent6 4 2 2 2 3 2" xfId="41749"/>
    <cellStyle name="40% - Accent6 4 2 2 2 4" xfId="29444"/>
    <cellStyle name="40% - Accent6 4 2 2 3" xfId="12648"/>
    <cellStyle name="40% - Accent6 4 2 2 3 2" xfId="32531"/>
    <cellStyle name="40% - Accent6 4 2 2 4" xfId="18800"/>
    <cellStyle name="40% - Accent6 4 2 2 4 2" xfId="38683"/>
    <cellStyle name="40% - Accent6 4 2 2 5" xfId="26378"/>
    <cellStyle name="40% - Accent6 4 2 3" xfId="7986"/>
    <cellStyle name="40% - Accent6 4 2 3 2" xfId="14180"/>
    <cellStyle name="40% - Accent6 4 2 3 2 2" xfId="34063"/>
    <cellStyle name="40% - Accent6 4 2 3 3" xfId="20332"/>
    <cellStyle name="40% - Accent6 4 2 3 3 2" xfId="40215"/>
    <cellStyle name="40% - Accent6 4 2 3 4" xfId="27910"/>
    <cellStyle name="40% - Accent6 4 2 4" xfId="11114"/>
    <cellStyle name="40% - Accent6 4 2 4 2" xfId="30997"/>
    <cellStyle name="40% - Accent6 4 2 5" xfId="17266"/>
    <cellStyle name="40% - Accent6 4 2 5 2" xfId="37149"/>
    <cellStyle name="40% - Accent6 4 2 6" xfId="4810"/>
    <cellStyle name="40% - Accent6 4 2 6 2" xfId="24844"/>
    <cellStyle name="40% - Accent6 4 2 7" xfId="23818"/>
    <cellStyle name="40% - Accent6 4 3" xfId="5649"/>
    <cellStyle name="40% - Accent6 4 3 2" xfId="8752"/>
    <cellStyle name="40% - Accent6 4 3 2 2" xfId="14945"/>
    <cellStyle name="40% - Accent6 4 3 2 2 2" xfId="34828"/>
    <cellStyle name="40% - Accent6 4 3 2 3" xfId="21097"/>
    <cellStyle name="40% - Accent6 4 3 2 3 2" xfId="40980"/>
    <cellStyle name="40% - Accent6 4 3 2 4" xfId="28675"/>
    <cellStyle name="40% - Accent6 4 3 3" xfId="11879"/>
    <cellStyle name="40% - Accent6 4 3 3 2" xfId="31762"/>
    <cellStyle name="40% - Accent6 4 3 4" xfId="18031"/>
    <cellStyle name="40% - Accent6 4 3 4 2" xfId="37914"/>
    <cellStyle name="40% - Accent6 4 3 5" xfId="25609"/>
    <cellStyle name="40% - Accent6 4 4" xfId="7217"/>
    <cellStyle name="40% - Accent6 4 4 2" xfId="13411"/>
    <cellStyle name="40% - Accent6 4 4 2 2" xfId="33294"/>
    <cellStyle name="40% - Accent6 4 4 3" xfId="19563"/>
    <cellStyle name="40% - Accent6 4 4 3 2" xfId="39446"/>
    <cellStyle name="40% - Accent6 4 4 4" xfId="27141"/>
    <cellStyle name="40% - Accent6 4 5" xfId="10345"/>
    <cellStyle name="40% - Accent6 4 5 2" xfId="30228"/>
    <cellStyle name="40% - Accent6 4 6" xfId="16497"/>
    <cellStyle name="40% - Accent6 4 6 2" xfId="36380"/>
    <cellStyle name="40% - Accent6 4 7" xfId="1381"/>
    <cellStyle name="40% - Accent6 4 7 2" xfId="24075"/>
    <cellStyle name="40% - Accent6 4 8" xfId="22938"/>
    <cellStyle name="40% - Accent6 4 8 2" xfId="42812"/>
    <cellStyle name="40% - Accent6 4 9" xfId="23515"/>
    <cellStyle name="40% - Accent6 5" xfId="591"/>
    <cellStyle name="40% - Accent6 5 10" xfId="23531"/>
    <cellStyle name="40% - Accent6 5 2" xfId="991"/>
    <cellStyle name="40% - Accent6 5 2 2" xfId="6436"/>
    <cellStyle name="40% - Accent6 5 2 2 2" xfId="9522"/>
    <cellStyle name="40% - Accent6 5 2 2 2 2" xfId="15715"/>
    <cellStyle name="40% - Accent6 5 2 2 2 2 2" xfId="35598"/>
    <cellStyle name="40% - Accent6 5 2 2 2 3" xfId="21867"/>
    <cellStyle name="40% - Accent6 5 2 2 2 3 2" xfId="41750"/>
    <cellStyle name="40% - Accent6 5 2 2 2 4" xfId="29445"/>
    <cellStyle name="40% - Accent6 5 2 2 3" xfId="12649"/>
    <cellStyle name="40% - Accent6 5 2 2 3 2" xfId="32532"/>
    <cellStyle name="40% - Accent6 5 2 2 4" xfId="18801"/>
    <cellStyle name="40% - Accent6 5 2 2 4 2" xfId="38684"/>
    <cellStyle name="40% - Accent6 5 2 2 5" xfId="26379"/>
    <cellStyle name="40% - Accent6 5 2 3" xfId="7987"/>
    <cellStyle name="40% - Accent6 5 2 3 2" xfId="14181"/>
    <cellStyle name="40% - Accent6 5 2 3 2 2" xfId="34064"/>
    <cellStyle name="40% - Accent6 5 2 3 3" xfId="20333"/>
    <cellStyle name="40% - Accent6 5 2 3 3 2" xfId="40216"/>
    <cellStyle name="40% - Accent6 5 2 3 4" xfId="27911"/>
    <cellStyle name="40% - Accent6 5 2 4" xfId="11115"/>
    <cellStyle name="40% - Accent6 5 2 4 2" xfId="30998"/>
    <cellStyle name="40% - Accent6 5 2 5" xfId="17267"/>
    <cellStyle name="40% - Accent6 5 2 5 2" xfId="37150"/>
    <cellStyle name="40% - Accent6 5 2 6" xfId="4811"/>
    <cellStyle name="40% - Accent6 5 2 6 2" xfId="24845"/>
    <cellStyle name="40% - Accent6 5 2 7" xfId="23834"/>
    <cellStyle name="40% - Accent6 5 3" xfId="5650"/>
    <cellStyle name="40% - Accent6 5 3 2" xfId="8753"/>
    <cellStyle name="40% - Accent6 5 3 2 2" xfId="14946"/>
    <cellStyle name="40% - Accent6 5 3 2 2 2" xfId="34829"/>
    <cellStyle name="40% - Accent6 5 3 2 3" xfId="21098"/>
    <cellStyle name="40% - Accent6 5 3 2 3 2" xfId="40981"/>
    <cellStyle name="40% - Accent6 5 3 2 4" xfId="28676"/>
    <cellStyle name="40% - Accent6 5 3 3" xfId="11880"/>
    <cellStyle name="40% - Accent6 5 3 3 2" xfId="31763"/>
    <cellStyle name="40% - Accent6 5 3 4" xfId="18032"/>
    <cellStyle name="40% - Accent6 5 3 4 2" xfId="37915"/>
    <cellStyle name="40% - Accent6 5 3 5" xfId="25610"/>
    <cellStyle name="40% - Accent6 5 4" xfId="7218"/>
    <cellStyle name="40% - Accent6 5 4 2" xfId="13412"/>
    <cellStyle name="40% - Accent6 5 4 2 2" xfId="33295"/>
    <cellStyle name="40% - Accent6 5 4 3" xfId="19564"/>
    <cellStyle name="40% - Accent6 5 4 3 2" xfId="39447"/>
    <cellStyle name="40% - Accent6 5 4 4" xfId="27142"/>
    <cellStyle name="40% - Accent6 5 5" xfId="10346"/>
    <cellStyle name="40% - Accent6 5 5 2" xfId="30229"/>
    <cellStyle name="40% - Accent6 5 6" xfId="16498"/>
    <cellStyle name="40% - Accent6 5 6 2" xfId="36381"/>
    <cellStyle name="40% - Accent6 5 7" xfId="1382"/>
    <cellStyle name="40% - Accent6 5 7 2" xfId="24076"/>
    <cellStyle name="40% - Accent6 5 8" xfId="22720"/>
    <cellStyle name="40% - Accent6 5 8 2" xfId="42594"/>
    <cellStyle name="40% - Accent6 5 9" xfId="22954"/>
    <cellStyle name="40% - Accent6 5 9 2" xfId="42828"/>
    <cellStyle name="40% - Accent6 6" xfId="618"/>
    <cellStyle name="40% - Accent6 6 2" xfId="1007"/>
    <cellStyle name="40% - Accent6 6 2 2" xfId="23850"/>
    <cellStyle name="40% - Accent6 6 3" xfId="1383"/>
    <cellStyle name="40% - Accent6 6 4" xfId="22616"/>
    <cellStyle name="40% - Accent6 6 4 2" xfId="42490"/>
    <cellStyle name="40% - Accent6 6 5" xfId="22970"/>
    <cellStyle name="40% - Accent6 6 5 2" xfId="42844"/>
    <cellStyle name="40% - Accent6 6 6" xfId="23547"/>
    <cellStyle name="40% - Accent6 7" xfId="642"/>
    <cellStyle name="40% - Accent6 7 2" xfId="1023"/>
    <cellStyle name="40% - Accent6 7 2 2" xfId="23866"/>
    <cellStyle name="40% - Accent6 7 3" xfId="22785"/>
    <cellStyle name="40% - Accent6 7 3 2" xfId="42659"/>
    <cellStyle name="40% - Accent6 7 4" xfId="22986"/>
    <cellStyle name="40% - Accent6 7 4 2" xfId="42860"/>
    <cellStyle name="40% - Accent6 7 5" xfId="23563"/>
    <cellStyle name="40% - Accent6 8" xfId="667"/>
    <cellStyle name="40% - Accent6 8 2" xfId="1039"/>
    <cellStyle name="40% - Accent6 8 2 2" xfId="23882"/>
    <cellStyle name="40% - Accent6 8 3" xfId="22648"/>
    <cellStyle name="40% - Accent6 8 3 2" xfId="42522"/>
    <cellStyle name="40% - Accent6 8 4" xfId="23002"/>
    <cellStyle name="40% - Accent6 8 4 2" xfId="42876"/>
    <cellStyle name="40% - Accent6 8 5" xfId="23579"/>
    <cellStyle name="40% - Accent6 9" xfId="707"/>
    <cellStyle name="40% - Accent6 9 2" xfId="1055"/>
    <cellStyle name="40% - Accent6 9 2 2" xfId="23898"/>
    <cellStyle name="40% - Accent6 9 3" xfId="22593"/>
    <cellStyle name="40% - Accent6 9 3 2" xfId="42467"/>
    <cellStyle name="40% - Accent6 9 4" xfId="23018"/>
    <cellStyle name="40% - Accent6 9 4 2" xfId="42892"/>
    <cellStyle name="40% - Accent6 9 5" xfId="23595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2 5" xfId="23720"/>
    <cellStyle name="Comma 10 3" xfId="1470"/>
    <cellStyle name="Comma 10 4" xfId="4715"/>
    <cellStyle name="Comma 10 5" xfId="1466"/>
    <cellStyle name="Comma 10 6" xfId="1302"/>
    <cellStyle name="Comma 10 7" xfId="22695"/>
    <cellStyle name="Comma 10 7 2" xfId="42569"/>
    <cellStyle name="Comma 10 8" xfId="22840"/>
    <cellStyle name="Comma 10 8 2" xfId="42714"/>
    <cellStyle name="Comma 10 9" xfId="226"/>
    <cellStyle name="Comma 10 9 2" xfId="23417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10 2" xfId="23419"/>
    <cellStyle name="Comma 11 2" xfId="879"/>
    <cellStyle name="Comma 11 2 2" xfId="1482"/>
    <cellStyle name="Comma 11 2 3" xfId="2372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8 2" xfId="42687"/>
    <cellStyle name="Comma 11 9" xfId="22842"/>
    <cellStyle name="Comma 11 9 2" xfId="42716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2 5" xfId="23724"/>
    <cellStyle name="Comma 12 3" xfId="1501"/>
    <cellStyle name="Comma 12 4" xfId="1497"/>
    <cellStyle name="Comma 12 5" xfId="22746"/>
    <cellStyle name="Comma 12 5 2" xfId="42620"/>
    <cellStyle name="Comma 12 6" xfId="22844"/>
    <cellStyle name="Comma 12 6 2" xfId="42718"/>
    <cellStyle name="Comma 12 7" xfId="230"/>
    <cellStyle name="Comma 12 7 2" xfId="23421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2 5" xfId="23725"/>
    <cellStyle name="Comma 13 3" xfId="1512"/>
    <cellStyle name="Comma 13 4" xfId="22741"/>
    <cellStyle name="Comma 13 4 2" xfId="42615"/>
    <cellStyle name="Comma 13 5" xfId="22845"/>
    <cellStyle name="Comma 13 5 2" xfId="42719"/>
    <cellStyle name="Comma 13 6" xfId="231"/>
    <cellStyle name="Comma 13 6 2" xfId="23422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2 2" xfId="23723"/>
    <cellStyle name="Comma 14 3" xfId="1526"/>
    <cellStyle name="Comma 14 4" xfId="22769"/>
    <cellStyle name="Comma 14 4 2" xfId="42643"/>
    <cellStyle name="Comma 14 5" xfId="22843"/>
    <cellStyle name="Comma 14 5 2" xfId="42717"/>
    <cellStyle name="Comma 14 6" xfId="229"/>
    <cellStyle name="Comma 14 6 2" xfId="23420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2 2" xfId="35599"/>
    <cellStyle name="Comma 143 2 2 2 3" xfId="21868"/>
    <cellStyle name="Comma 143 2 2 2 3 2" xfId="41751"/>
    <cellStyle name="Comma 143 2 2 2 4" xfId="29446"/>
    <cellStyle name="Comma 143 2 2 3" xfId="12650"/>
    <cellStyle name="Comma 143 2 2 3 2" xfId="32533"/>
    <cellStyle name="Comma 143 2 2 4" xfId="18802"/>
    <cellStyle name="Comma 143 2 2 4 2" xfId="38685"/>
    <cellStyle name="Comma 143 2 2 5" xfId="26380"/>
    <cellStyle name="Comma 143 2 3" xfId="7988"/>
    <cellStyle name="Comma 143 2 3 2" xfId="14182"/>
    <cellStyle name="Comma 143 2 3 2 2" xfId="34065"/>
    <cellStyle name="Comma 143 2 3 3" xfId="20334"/>
    <cellStyle name="Comma 143 2 3 3 2" xfId="40217"/>
    <cellStyle name="Comma 143 2 3 4" xfId="27912"/>
    <cellStyle name="Comma 143 2 4" xfId="11116"/>
    <cellStyle name="Comma 143 2 4 2" xfId="30999"/>
    <cellStyle name="Comma 143 2 5" xfId="17268"/>
    <cellStyle name="Comma 143 2 5 2" xfId="37151"/>
    <cellStyle name="Comma 143 2 6" xfId="24846"/>
    <cellStyle name="Comma 143 3" xfId="5651"/>
    <cellStyle name="Comma 143 3 2" xfId="8754"/>
    <cellStyle name="Comma 143 3 2 2" xfId="14947"/>
    <cellStyle name="Comma 143 3 2 2 2" xfId="34830"/>
    <cellStyle name="Comma 143 3 2 3" xfId="21099"/>
    <cellStyle name="Comma 143 3 2 3 2" xfId="40982"/>
    <cellStyle name="Comma 143 3 2 4" xfId="28677"/>
    <cellStyle name="Comma 143 3 3" xfId="11881"/>
    <cellStyle name="Comma 143 3 3 2" xfId="31764"/>
    <cellStyle name="Comma 143 3 4" xfId="18033"/>
    <cellStyle name="Comma 143 3 4 2" xfId="37916"/>
    <cellStyle name="Comma 143 3 5" xfId="25611"/>
    <cellStyle name="Comma 143 4" xfId="7219"/>
    <cellStyle name="Comma 143 4 2" xfId="13413"/>
    <cellStyle name="Comma 143 4 2 2" xfId="33296"/>
    <cellStyle name="Comma 143 4 3" xfId="19565"/>
    <cellStyle name="Comma 143 4 3 2" xfId="39448"/>
    <cellStyle name="Comma 143 4 4" xfId="27143"/>
    <cellStyle name="Comma 143 5" xfId="10347"/>
    <cellStyle name="Comma 143 5 2" xfId="30230"/>
    <cellStyle name="Comma 143 6" xfId="16499"/>
    <cellStyle name="Comma 143 6 2" xfId="36382"/>
    <cellStyle name="Comma 143 7" xfId="24077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2 2" xfId="35600"/>
    <cellStyle name="Comma 144 2 2 2 3" xfId="21869"/>
    <cellStyle name="Comma 144 2 2 2 3 2" xfId="41752"/>
    <cellStyle name="Comma 144 2 2 2 4" xfId="29447"/>
    <cellStyle name="Comma 144 2 2 3" xfId="12651"/>
    <cellStyle name="Comma 144 2 2 3 2" xfId="32534"/>
    <cellStyle name="Comma 144 2 2 4" xfId="18803"/>
    <cellStyle name="Comma 144 2 2 4 2" xfId="38686"/>
    <cellStyle name="Comma 144 2 2 5" xfId="26381"/>
    <cellStyle name="Comma 144 2 3" xfId="7989"/>
    <cellStyle name="Comma 144 2 3 2" xfId="14183"/>
    <cellStyle name="Comma 144 2 3 2 2" xfId="34066"/>
    <cellStyle name="Comma 144 2 3 3" xfId="20335"/>
    <cellStyle name="Comma 144 2 3 3 2" xfId="40218"/>
    <cellStyle name="Comma 144 2 3 4" xfId="27913"/>
    <cellStyle name="Comma 144 2 4" xfId="11117"/>
    <cellStyle name="Comma 144 2 4 2" xfId="31000"/>
    <cellStyle name="Comma 144 2 5" xfId="17269"/>
    <cellStyle name="Comma 144 2 5 2" xfId="37152"/>
    <cellStyle name="Comma 144 2 6" xfId="24847"/>
    <cellStyle name="Comma 144 3" xfId="5652"/>
    <cellStyle name="Comma 144 3 2" xfId="8755"/>
    <cellStyle name="Comma 144 3 2 2" xfId="14948"/>
    <cellStyle name="Comma 144 3 2 2 2" xfId="34831"/>
    <cellStyle name="Comma 144 3 2 3" xfId="21100"/>
    <cellStyle name="Comma 144 3 2 3 2" xfId="40983"/>
    <cellStyle name="Comma 144 3 2 4" xfId="28678"/>
    <cellStyle name="Comma 144 3 3" xfId="11882"/>
    <cellStyle name="Comma 144 3 3 2" xfId="31765"/>
    <cellStyle name="Comma 144 3 4" xfId="18034"/>
    <cellStyle name="Comma 144 3 4 2" xfId="37917"/>
    <cellStyle name="Comma 144 3 5" xfId="25612"/>
    <cellStyle name="Comma 144 4" xfId="7220"/>
    <cellStyle name="Comma 144 4 2" xfId="13414"/>
    <cellStyle name="Comma 144 4 2 2" xfId="33297"/>
    <cellStyle name="Comma 144 4 3" xfId="19566"/>
    <cellStyle name="Comma 144 4 3 2" xfId="39449"/>
    <cellStyle name="Comma 144 4 4" xfId="27144"/>
    <cellStyle name="Comma 144 5" xfId="10348"/>
    <cellStyle name="Comma 144 5 2" xfId="30231"/>
    <cellStyle name="Comma 144 6" xfId="16500"/>
    <cellStyle name="Comma 144 6 2" xfId="36383"/>
    <cellStyle name="Comma 144 7" xfId="24078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2 2" xfId="35601"/>
    <cellStyle name="Comma 145 2 2 2 3" xfId="21870"/>
    <cellStyle name="Comma 145 2 2 2 3 2" xfId="41753"/>
    <cellStyle name="Comma 145 2 2 2 4" xfId="29448"/>
    <cellStyle name="Comma 145 2 2 3" xfId="12652"/>
    <cellStyle name="Comma 145 2 2 3 2" xfId="32535"/>
    <cellStyle name="Comma 145 2 2 4" xfId="18804"/>
    <cellStyle name="Comma 145 2 2 4 2" xfId="38687"/>
    <cellStyle name="Comma 145 2 2 5" xfId="26382"/>
    <cellStyle name="Comma 145 2 3" xfId="7990"/>
    <cellStyle name="Comma 145 2 3 2" xfId="14184"/>
    <cellStyle name="Comma 145 2 3 2 2" xfId="34067"/>
    <cellStyle name="Comma 145 2 3 3" xfId="20336"/>
    <cellStyle name="Comma 145 2 3 3 2" xfId="40219"/>
    <cellStyle name="Comma 145 2 3 4" xfId="27914"/>
    <cellStyle name="Comma 145 2 4" xfId="11118"/>
    <cellStyle name="Comma 145 2 4 2" xfId="31001"/>
    <cellStyle name="Comma 145 2 5" xfId="17270"/>
    <cellStyle name="Comma 145 2 5 2" xfId="37153"/>
    <cellStyle name="Comma 145 2 6" xfId="24848"/>
    <cellStyle name="Comma 145 3" xfId="5653"/>
    <cellStyle name="Comma 145 3 2" xfId="8756"/>
    <cellStyle name="Comma 145 3 2 2" xfId="14949"/>
    <cellStyle name="Comma 145 3 2 2 2" xfId="34832"/>
    <cellStyle name="Comma 145 3 2 3" xfId="21101"/>
    <cellStyle name="Comma 145 3 2 3 2" xfId="40984"/>
    <cellStyle name="Comma 145 3 2 4" xfId="28679"/>
    <cellStyle name="Comma 145 3 3" xfId="11883"/>
    <cellStyle name="Comma 145 3 3 2" xfId="31766"/>
    <cellStyle name="Comma 145 3 4" xfId="18035"/>
    <cellStyle name="Comma 145 3 4 2" xfId="37918"/>
    <cellStyle name="Comma 145 3 5" xfId="25613"/>
    <cellStyle name="Comma 145 4" xfId="7221"/>
    <cellStyle name="Comma 145 4 2" xfId="13415"/>
    <cellStyle name="Comma 145 4 2 2" xfId="33298"/>
    <cellStyle name="Comma 145 4 3" xfId="19567"/>
    <cellStyle name="Comma 145 4 3 2" xfId="39450"/>
    <cellStyle name="Comma 145 4 4" xfId="27145"/>
    <cellStyle name="Comma 145 5" xfId="10349"/>
    <cellStyle name="Comma 145 5 2" xfId="30232"/>
    <cellStyle name="Comma 145 6" xfId="16501"/>
    <cellStyle name="Comma 145 6 2" xfId="36384"/>
    <cellStyle name="Comma 145 7" xfId="24079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2 2" xfId="35602"/>
    <cellStyle name="Comma 146 2 2 2 3" xfId="21871"/>
    <cellStyle name="Comma 146 2 2 2 3 2" xfId="41754"/>
    <cellStyle name="Comma 146 2 2 2 4" xfId="29449"/>
    <cellStyle name="Comma 146 2 2 3" xfId="12653"/>
    <cellStyle name="Comma 146 2 2 3 2" xfId="32536"/>
    <cellStyle name="Comma 146 2 2 4" xfId="18805"/>
    <cellStyle name="Comma 146 2 2 4 2" xfId="38688"/>
    <cellStyle name="Comma 146 2 2 5" xfId="26383"/>
    <cellStyle name="Comma 146 2 3" xfId="7991"/>
    <cellStyle name="Comma 146 2 3 2" xfId="14185"/>
    <cellStyle name="Comma 146 2 3 2 2" xfId="34068"/>
    <cellStyle name="Comma 146 2 3 3" xfId="20337"/>
    <cellStyle name="Comma 146 2 3 3 2" xfId="40220"/>
    <cellStyle name="Comma 146 2 3 4" xfId="27915"/>
    <cellStyle name="Comma 146 2 4" xfId="11119"/>
    <cellStyle name="Comma 146 2 4 2" xfId="31002"/>
    <cellStyle name="Comma 146 2 5" xfId="17271"/>
    <cellStyle name="Comma 146 2 5 2" xfId="37154"/>
    <cellStyle name="Comma 146 2 6" xfId="24849"/>
    <cellStyle name="Comma 146 3" xfId="5654"/>
    <cellStyle name="Comma 146 3 2" xfId="8757"/>
    <cellStyle name="Comma 146 3 2 2" xfId="14950"/>
    <cellStyle name="Comma 146 3 2 2 2" xfId="34833"/>
    <cellStyle name="Comma 146 3 2 3" xfId="21102"/>
    <cellStyle name="Comma 146 3 2 3 2" xfId="40985"/>
    <cellStyle name="Comma 146 3 2 4" xfId="28680"/>
    <cellStyle name="Comma 146 3 3" xfId="11884"/>
    <cellStyle name="Comma 146 3 3 2" xfId="31767"/>
    <cellStyle name="Comma 146 3 4" xfId="18036"/>
    <cellStyle name="Comma 146 3 4 2" xfId="37919"/>
    <cellStyle name="Comma 146 3 5" xfId="25614"/>
    <cellStyle name="Comma 146 4" xfId="7222"/>
    <cellStyle name="Comma 146 4 2" xfId="13416"/>
    <cellStyle name="Comma 146 4 2 2" xfId="33299"/>
    <cellStyle name="Comma 146 4 3" xfId="19568"/>
    <cellStyle name="Comma 146 4 3 2" xfId="39451"/>
    <cellStyle name="Comma 146 4 4" xfId="27146"/>
    <cellStyle name="Comma 146 5" xfId="10350"/>
    <cellStyle name="Comma 146 5 2" xfId="30233"/>
    <cellStyle name="Comma 146 6" xfId="16502"/>
    <cellStyle name="Comma 146 6 2" xfId="36385"/>
    <cellStyle name="Comma 146 7" xfId="24080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2 2" xfId="35603"/>
    <cellStyle name="Comma 147 2 2 2 3" xfId="21872"/>
    <cellStyle name="Comma 147 2 2 2 3 2" xfId="41755"/>
    <cellStyle name="Comma 147 2 2 2 4" xfId="29450"/>
    <cellStyle name="Comma 147 2 2 3" xfId="12654"/>
    <cellStyle name="Comma 147 2 2 3 2" xfId="32537"/>
    <cellStyle name="Comma 147 2 2 4" xfId="18806"/>
    <cellStyle name="Comma 147 2 2 4 2" xfId="38689"/>
    <cellStyle name="Comma 147 2 2 5" xfId="26384"/>
    <cellStyle name="Comma 147 2 3" xfId="7992"/>
    <cellStyle name="Comma 147 2 3 2" xfId="14186"/>
    <cellStyle name="Comma 147 2 3 2 2" xfId="34069"/>
    <cellStyle name="Comma 147 2 3 3" xfId="20338"/>
    <cellStyle name="Comma 147 2 3 3 2" xfId="40221"/>
    <cellStyle name="Comma 147 2 3 4" xfId="27916"/>
    <cellStyle name="Comma 147 2 4" xfId="11120"/>
    <cellStyle name="Comma 147 2 4 2" xfId="31003"/>
    <cellStyle name="Comma 147 2 5" xfId="17272"/>
    <cellStyle name="Comma 147 2 5 2" xfId="37155"/>
    <cellStyle name="Comma 147 2 6" xfId="24850"/>
    <cellStyle name="Comma 147 3" xfId="5655"/>
    <cellStyle name="Comma 147 3 2" xfId="8758"/>
    <cellStyle name="Comma 147 3 2 2" xfId="14951"/>
    <cellStyle name="Comma 147 3 2 2 2" xfId="34834"/>
    <cellStyle name="Comma 147 3 2 3" xfId="21103"/>
    <cellStyle name="Comma 147 3 2 3 2" xfId="40986"/>
    <cellStyle name="Comma 147 3 2 4" xfId="28681"/>
    <cellStyle name="Comma 147 3 3" xfId="11885"/>
    <cellStyle name="Comma 147 3 3 2" xfId="31768"/>
    <cellStyle name="Comma 147 3 4" xfId="18037"/>
    <cellStyle name="Comma 147 3 4 2" xfId="37920"/>
    <cellStyle name="Comma 147 3 5" xfId="25615"/>
    <cellStyle name="Comma 147 4" xfId="7223"/>
    <cellStyle name="Comma 147 4 2" xfId="13417"/>
    <cellStyle name="Comma 147 4 2 2" xfId="33300"/>
    <cellStyle name="Comma 147 4 3" xfId="19569"/>
    <cellStyle name="Comma 147 4 3 2" xfId="39452"/>
    <cellStyle name="Comma 147 4 4" xfId="27147"/>
    <cellStyle name="Comma 147 5" xfId="10351"/>
    <cellStyle name="Comma 147 5 2" xfId="30234"/>
    <cellStyle name="Comma 147 6" xfId="16503"/>
    <cellStyle name="Comma 147 6 2" xfId="36386"/>
    <cellStyle name="Comma 147 7" xfId="24081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2 2" xfId="35604"/>
    <cellStyle name="Comma 148 2 2 2 3" xfId="21873"/>
    <cellStyle name="Comma 148 2 2 2 3 2" xfId="41756"/>
    <cellStyle name="Comma 148 2 2 2 4" xfId="29451"/>
    <cellStyle name="Comma 148 2 2 3" xfId="12655"/>
    <cellStyle name="Comma 148 2 2 3 2" xfId="32538"/>
    <cellStyle name="Comma 148 2 2 4" xfId="18807"/>
    <cellStyle name="Comma 148 2 2 4 2" xfId="38690"/>
    <cellStyle name="Comma 148 2 2 5" xfId="26385"/>
    <cellStyle name="Comma 148 2 3" xfId="7993"/>
    <cellStyle name="Comma 148 2 3 2" xfId="14187"/>
    <cellStyle name="Comma 148 2 3 2 2" xfId="34070"/>
    <cellStyle name="Comma 148 2 3 3" xfId="20339"/>
    <cellStyle name="Comma 148 2 3 3 2" xfId="40222"/>
    <cellStyle name="Comma 148 2 3 4" xfId="27917"/>
    <cellStyle name="Comma 148 2 4" xfId="11121"/>
    <cellStyle name="Comma 148 2 4 2" xfId="31004"/>
    <cellStyle name="Comma 148 2 5" xfId="17273"/>
    <cellStyle name="Comma 148 2 5 2" xfId="37156"/>
    <cellStyle name="Comma 148 2 6" xfId="24851"/>
    <cellStyle name="Comma 148 3" xfId="5656"/>
    <cellStyle name="Comma 148 3 2" xfId="8759"/>
    <cellStyle name="Comma 148 3 2 2" xfId="14952"/>
    <cellStyle name="Comma 148 3 2 2 2" xfId="34835"/>
    <cellStyle name="Comma 148 3 2 3" xfId="21104"/>
    <cellStyle name="Comma 148 3 2 3 2" xfId="40987"/>
    <cellStyle name="Comma 148 3 2 4" xfId="28682"/>
    <cellStyle name="Comma 148 3 3" xfId="11886"/>
    <cellStyle name="Comma 148 3 3 2" xfId="31769"/>
    <cellStyle name="Comma 148 3 4" xfId="18038"/>
    <cellStyle name="Comma 148 3 4 2" xfId="37921"/>
    <cellStyle name="Comma 148 3 5" xfId="25616"/>
    <cellStyle name="Comma 148 4" xfId="7224"/>
    <cellStyle name="Comma 148 4 2" xfId="13418"/>
    <cellStyle name="Comma 148 4 2 2" xfId="33301"/>
    <cellStyle name="Comma 148 4 3" xfId="19570"/>
    <cellStyle name="Comma 148 4 3 2" xfId="39453"/>
    <cellStyle name="Comma 148 4 4" xfId="27148"/>
    <cellStyle name="Comma 148 5" xfId="10352"/>
    <cellStyle name="Comma 148 5 2" xfId="30235"/>
    <cellStyle name="Comma 148 6" xfId="16504"/>
    <cellStyle name="Comma 148 6 2" xfId="36387"/>
    <cellStyle name="Comma 148 7" xfId="24082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2 2" xfId="35605"/>
    <cellStyle name="Comma 149 2 2 2 3" xfId="21874"/>
    <cellStyle name="Comma 149 2 2 2 3 2" xfId="41757"/>
    <cellStyle name="Comma 149 2 2 2 4" xfId="29452"/>
    <cellStyle name="Comma 149 2 2 3" xfId="12656"/>
    <cellStyle name="Comma 149 2 2 3 2" xfId="32539"/>
    <cellStyle name="Comma 149 2 2 4" xfId="18808"/>
    <cellStyle name="Comma 149 2 2 4 2" xfId="38691"/>
    <cellStyle name="Comma 149 2 2 5" xfId="26386"/>
    <cellStyle name="Comma 149 2 3" xfId="7994"/>
    <cellStyle name="Comma 149 2 3 2" xfId="14188"/>
    <cellStyle name="Comma 149 2 3 2 2" xfId="34071"/>
    <cellStyle name="Comma 149 2 3 3" xfId="20340"/>
    <cellStyle name="Comma 149 2 3 3 2" xfId="40223"/>
    <cellStyle name="Comma 149 2 3 4" xfId="27918"/>
    <cellStyle name="Comma 149 2 4" xfId="11122"/>
    <cellStyle name="Comma 149 2 4 2" xfId="31005"/>
    <cellStyle name="Comma 149 2 5" xfId="17274"/>
    <cellStyle name="Comma 149 2 5 2" xfId="37157"/>
    <cellStyle name="Comma 149 2 6" xfId="24852"/>
    <cellStyle name="Comma 149 3" xfId="5657"/>
    <cellStyle name="Comma 149 3 2" xfId="8760"/>
    <cellStyle name="Comma 149 3 2 2" xfId="14953"/>
    <cellStyle name="Comma 149 3 2 2 2" xfId="34836"/>
    <cellStyle name="Comma 149 3 2 3" xfId="21105"/>
    <cellStyle name="Comma 149 3 2 3 2" xfId="40988"/>
    <cellStyle name="Comma 149 3 2 4" xfId="28683"/>
    <cellStyle name="Comma 149 3 3" xfId="11887"/>
    <cellStyle name="Comma 149 3 3 2" xfId="31770"/>
    <cellStyle name="Comma 149 3 4" xfId="18039"/>
    <cellStyle name="Comma 149 3 4 2" xfId="37922"/>
    <cellStyle name="Comma 149 3 5" xfId="25617"/>
    <cellStyle name="Comma 149 4" xfId="7225"/>
    <cellStyle name="Comma 149 4 2" xfId="13419"/>
    <cellStyle name="Comma 149 4 2 2" xfId="33302"/>
    <cellStyle name="Comma 149 4 3" xfId="19571"/>
    <cellStyle name="Comma 149 4 3 2" xfId="39454"/>
    <cellStyle name="Comma 149 4 4" xfId="27149"/>
    <cellStyle name="Comma 149 5" xfId="10353"/>
    <cellStyle name="Comma 149 5 2" xfId="30236"/>
    <cellStyle name="Comma 149 6" xfId="16505"/>
    <cellStyle name="Comma 149 6 2" xfId="36388"/>
    <cellStyle name="Comma 149 7" xfId="24083"/>
    <cellStyle name="Comma 15" xfId="232"/>
    <cellStyle name="Comma 15 2" xfId="883"/>
    <cellStyle name="Comma 15 2 2" xfId="1556"/>
    <cellStyle name="Comma 15 2 3" xfId="23726"/>
    <cellStyle name="Comma 15 3" xfId="1555"/>
    <cellStyle name="Comma 15 4" xfId="22621"/>
    <cellStyle name="Comma 15 4 2" xfId="42495"/>
    <cellStyle name="Comma 15 5" xfId="22846"/>
    <cellStyle name="Comma 15 5 2" xfId="42720"/>
    <cellStyle name="Comma 15 6" xfId="23423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2 2" xfId="35606"/>
    <cellStyle name="Comma 150 2 2 2 3" xfId="21875"/>
    <cellStyle name="Comma 150 2 2 2 3 2" xfId="41758"/>
    <cellStyle name="Comma 150 2 2 2 4" xfId="29453"/>
    <cellStyle name="Comma 150 2 2 3" xfId="12657"/>
    <cellStyle name="Comma 150 2 2 3 2" xfId="32540"/>
    <cellStyle name="Comma 150 2 2 4" xfId="18809"/>
    <cellStyle name="Comma 150 2 2 4 2" xfId="38692"/>
    <cellStyle name="Comma 150 2 2 5" xfId="26387"/>
    <cellStyle name="Comma 150 2 3" xfId="7995"/>
    <cellStyle name="Comma 150 2 3 2" xfId="14189"/>
    <cellStyle name="Comma 150 2 3 2 2" xfId="34072"/>
    <cellStyle name="Comma 150 2 3 3" xfId="20341"/>
    <cellStyle name="Comma 150 2 3 3 2" xfId="40224"/>
    <cellStyle name="Comma 150 2 3 4" xfId="27919"/>
    <cellStyle name="Comma 150 2 4" xfId="11123"/>
    <cellStyle name="Comma 150 2 4 2" xfId="31006"/>
    <cellStyle name="Comma 150 2 5" xfId="17275"/>
    <cellStyle name="Comma 150 2 5 2" xfId="37158"/>
    <cellStyle name="Comma 150 2 6" xfId="24853"/>
    <cellStyle name="Comma 150 3" xfId="5658"/>
    <cellStyle name="Comma 150 3 2" xfId="8761"/>
    <cellStyle name="Comma 150 3 2 2" xfId="14954"/>
    <cellStyle name="Comma 150 3 2 2 2" xfId="34837"/>
    <cellStyle name="Comma 150 3 2 3" xfId="21106"/>
    <cellStyle name="Comma 150 3 2 3 2" xfId="40989"/>
    <cellStyle name="Comma 150 3 2 4" xfId="28684"/>
    <cellStyle name="Comma 150 3 3" xfId="11888"/>
    <cellStyle name="Comma 150 3 3 2" xfId="31771"/>
    <cellStyle name="Comma 150 3 4" xfId="18040"/>
    <cellStyle name="Comma 150 3 4 2" xfId="37923"/>
    <cellStyle name="Comma 150 3 5" xfId="25618"/>
    <cellStyle name="Comma 150 4" xfId="7226"/>
    <cellStyle name="Comma 150 4 2" xfId="13420"/>
    <cellStyle name="Comma 150 4 2 2" xfId="33303"/>
    <cellStyle name="Comma 150 4 3" xfId="19572"/>
    <cellStyle name="Comma 150 4 3 2" xfId="39455"/>
    <cellStyle name="Comma 150 4 4" xfId="27150"/>
    <cellStyle name="Comma 150 5" xfId="10354"/>
    <cellStyle name="Comma 150 5 2" xfId="30237"/>
    <cellStyle name="Comma 150 6" xfId="16506"/>
    <cellStyle name="Comma 150 6 2" xfId="36389"/>
    <cellStyle name="Comma 150 7" xfId="24084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2 2" xfId="35607"/>
    <cellStyle name="Comma 151 2 2 2 3" xfId="21876"/>
    <cellStyle name="Comma 151 2 2 2 3 2" xfId="41759"/>
    <cellStyle name="Comma 151 2 2 2 4" xfId="29454"/>
    <cellStyle name="Comma 151 2 2 3" xfId="12658"/>
    <cellStyle name="Comma 151 2 2 3 2" xfId="32541"/>
    <cellStyle name="Comma 151 2 2 4" xfId="18810"/>
    <cellStyle name="Comma 151 2 2 4 2" xfId="38693"/>
    <cellStyle name="Comma 151 2 2 5" xfId="26388"/>
    <cellStyle name="Comma 151 2 3" xfId="7996"/>
    <cellStyle name="Comma 151 2 3 2" xfId="14190"/>
    <cellStyle name="Comma 151 2 3 2 2" xfId="34073"/>
    <cellStyle name="Comma 151 2 3 3" xfId="20342"/>
    <cellStyle name="Comma 151 2 3 3 2" xfId="40225"/>
    <cellStyle name="Comma 151 2 3 4" xfId="27920"/>
    <cellStyle name="Comma 151 2 4" xfId="11124"/>
    <cellStyle name="Comma 151 2 4 2" xfId="31007"/>
    <cellStyle name="Comma 151 2 5" xfId="17276"/>
    <cellStyle name="Comma 151 2 5 2" xfId="37159"/>
    <cellStyle name="Comma 151 2 6" xfId="24854"/>
    <cellStyle name="Comma 151 3" xfId="5659"/>
    <cellStyle name="Comma 151 3 2" xfId="8762"/>
    <cellStyle name="Comma 151 3 2 2" xfId="14955"/>
    <cellStyle name="Comma 151 3 2 2 2" xfId="34838"/>
    <cellStyle name="Comma 151 3 2 3" xfId="21107"/>
    <cellStyle name="Comma 151 3 2 3 2" xfId="40990"/>
    <cellStyle name="Comma 151 3 2 4" xfId="28685"/>
    <cellStyle name="Comma 151 3 3" xfId="11889"/>
    <cellStyle name="Comma 151 3 3 2" xfId="31772"/>
    <cellStyle name="Comma 151 3 4" xfId="18041"/>
    <cellStyle name="Comma 151 3 4 2" xfId="37924"/>
    <cellStyle name="Comma 151 3 5" xfId="25619"/>
    <cellStyle name="Comma 151 4" xfId="7227"/>
    <cellStyle name="Comma 151 4 2" xfId="13421"/>
    <cellStyle name="Comma 151 4 2 2" xfId="33304"/>
    <cellStyle name="Comma 151 4 3" xfId="19573"/>
    <cellStyle name="Comma 151 4 3 2" xfId="39456"/>
    <cellStyle name="Comma 151 4 4" xfId="27151"/>
    <cellStyle name="Comma 151 5" xfId="10355"/>
    <cellStyle name="Comma 151 5 2" xfId="30238"/>
    <cellStyle name="Comma 151 6" xfId="16507"/>
    <cellStyle name="Comma 151 6 2" xfId="36390"/>
    <cellStyle name="Comma 151 7" xfId="24085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2 2" xfId="35608"/>
    <cellStyle name="Comma 152 2 2 2 3" xfId="21877"/>
    <cellStyle name="Comma 152 2 2 2 3 2" xfId="41760"/>
    <cellStyle name="Comma 152 2 2 2 4" xfId="29455"/>
    <cellStyle name="Comma 152 2 2 3" xfId="12659"/>
    <cellStyle name="Comma 152 2 2 3 2" xfId="32542"/>
    <cellStyle name="Comma 152 2 2 4" xfId="18811"/>
    <cellStyle name="Comma 152 2 2 4 2" xfId="38694"/>
    <cellStyle name="Comma 152 2 2 5" xfId="26389"/>
    <cellStyle name="Comma 152 2 3" xfId="7997"/>
    <cellStyle name="Comma 152 2 3 2" xfId="14191"/>
    <cellStyle name="Comma 152 2 3 2 2" xfId="34074"/>
    <cellStyle name="Comma 152 2 3 3" xfId="20343"/>
    <cellStyle name="Comma 152 2 3 3 2" xfId="40226"/>
    <cellStyle name="Comma 152 2 3 4" xfId="27921"/>
    <cellStyle name="Comma 152 2 4" xfId="11125"/>
    <cellStyle name="Comma 152 2 4 2" xfId="31008"/>
    <cellStyle name="Comma 152 2 5" xfId="17277"/>
    <cellStyle name="Comma 152 2 5 2" xfId="37160"/>
    <cellStyle name="Comma 152 2 6" xfId="24855"/>
    <cellStyle name="Comma 152 3" xfId="5660"/>
    <cellStyle name="Comma 152 3 2" xfId="8763"/>
    <cellStyle name="Comma 152 3 2 2" xfId="14956"/>
    <cellStyle name="Comma 152 3 2 2 2" xfId="34839"/>
    <cellStyle name="Comma 152 3 2 3" xfId="21108"/>
    <cellStyle name="Comma 152 3 2 3 2" xfId="40991"/>
    <cellStyle name="Comma 152 3 2 4" xfId="28686"/>
    <cellStyle name="Comma 152 3 3" xfId="11890"/>
    <cellStyle name="Comma 152 3 3 2" xfId="31773"/>
    <cellStyle name="Comma 152 3 4" xfId="18042"/>
    <cellStyle name="Comma 152 3 4 2" xfId="37925"/>
    <cellStyle name="Comma 152 3 5" xfId="25620"/>
    <cellStyle name="Comma 152 4" xfId="7228"/>
    <cellStyle name="Comma 152 4 2" xfId="13422"/>
    <cellStyle name="Comma 152 4 2 2" xfId="33305"/>
    <cellStyle name="Comma 152 4 3" xfId="19574"/>
    <cellStyle name="Comma 152 4 3 2" xfId="39457"/>
    <cellStyle name="Comma 152 4 4" xfId="27152"/>
    <cellStyle name="Comma 152 5" xfId="10356"/>
    <cellStyle name="Comma 152 5 2" xfId="30239"/>
    <cellStyle name="Comma 152 6" xfId="16508"/>
    <cellStyle name="Comma 152 6 2" xfId="36391"/>
    <cellStyle name="Comma 152 7" xfId="24086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2 2" xfId="35609"/>
    <cellStyle name="Comma 153 2 2 2 3" xfId="21878"/>
    <cellStyle name="Comma 153 2 2 2 3 2" xfId="41761"/>
    <cellStyle name="Comma 153 2 2 2 4" xfId="29456"/>
    <cellStyle name="Comma 153 2 2 3" xfId="12660"/>
    <cellStyle name="Comma 153 2 2 3 2" xfId="32543"/>
    <cellStyle name="Comma 153 2 2 4" xfId="18812"/>
    <cellStyle name="Comma 153 2 2 4 2" xfId="38695"/>
    <cellStyle name="Comma 153 2 2 5" xfId="26390"/>
    <cellStyle name="Comma 153 2 3" xfId="7998"/>
    <cellStyle name="Comma 153 2 3 2" xfId="14192"/>
    <cellStyle name="Comma 153 2 3 2 2" xfId="34075"/>
    <cellStyle name="Comma 153 2 3 3" xfId="20344"/>
    <cellStyle name="Comma 153 2 3 3 2" xfId="40227"/>
    <cellStyle name="Comma 153 2 3 4" xfId="27922"/>
    <cellStyle name="Comma 153 2 4" xfId="11126"/>
    <cellStyle name="Comma 153 2 4 2" xfId="31009"/>
    <cellStyle name="Comma 153 2 5" xfId="17278"/>
    <cellStyle name="Comma 153 2 5 2" xfId="37161"/>
    <cellStyle name="Comma 153 2 6" xfId="24856"/>
    <cellStyle name="Comma 153 3" xfId="5661"/>
    <cellStyle name="Comma 153 3 2" xfId="8764"/>
    <cellStyle name="Comma 153 3 2 2" xfId="14957"/>
    <cellStyle name="Comma 153 3 2 2 2" xfId="34840"/>
    <cellStyle name="Comma 153 3 2 3" xfId="21109"/>
    <cellStyle name="Comma 153 3 2 3 2" xfId="40992"/>
    <cellStyle name="Comma 153 3 2 4" xfId="28687"/>
    <cellStyle name="Comma 153 3 3" xfId="11891"/>
    <cellStyle name="Comma 153 3 3 2" xfId="31774"/>
    <cellStyle name="Comma 153 3 4" xfId="18043"/>
    <cellStyle name="Comma 153 3 4 2" xfId="37926"/>
    <cellStyle name="Comma 153 3 5" xfId="25621"/>
    <cellStyle name="Comma 153 4" xfId="7229"/>
    <cellStyle name="Comma 153 4 2" xfId="13423"/>
    <cellStyle name="Comma 153 4 2 2" xfId="33306"/>
    <cellStyle name="Comma 153 4 3" xfId="19575"/>
    <cellStyle name="Comma 153 4 3 2" xfId="39458"/>
    <cellStyle name="Comma 153 4 4" xfId="27153"/>
    <cellStyle name="Comma 153 5" xfId="10357"/>
    <cellStyle name="Comma 153 5 2" xfId="30240"/>
    <cellStyle name="Comma 153 6" xfId="16509"/>
    <cellStyle name="Comma 153 6 2" xfId="36392"/>
    <cellStyle name="Comma 153 7" xfId="24087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2 2" xfId="23727"/>
    <cellStyle name="Comma 16 3" xfId="1570"/>
    <cellStyle name="Comma 16 4" xfId="22815"/>
    <cellStyle name="Comma 16 4 2" xfId="42689"/>
    <cellStyle name="Comma 16 5" xfId="22847"/>
    <cellStyle name="Comma 16 5 2" xfId="42721"/>
    <cellStyle name="Comma 16 6" xfId="23424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2 2" xfId="23728"/>
    <cellStyle name="Comma 17 3" xfId="1581"/>
    <cellStyle name="Comma 17 4" xfId="22615"/>
    <cellStyle name="Comma 17 4 2" xfId="42489"/>
    <cellStyle name="Comma 17 5" xfId="22848"/>
    <cellStyle name="Comma 17 5 2" xfId="42722"/>
    <cellStyle name="Comma 17 6" xfId="23425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2 2" xfId="23730"/>
    <cellStyle name="Comma 18 3" xfId="1592"/>
    <cellStyle name="Comma 18 4" xfId="22761"/>
    <cellStyle name="Comma 18 4 2" xfId="42635"/>
    <cellStyle name="Comma 18 5" xfId="22850"/>
    <cellStyle name="Comma 18 5 2" xfId="42724"/>
    <cellStyle name="Comma 18 6" xfId="23427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2 2" xfId="35610"/>
    <cellStyle name="Comma 182 2 2 2 3" xfId="21879"/>
    <cellStyle name="Comma 182 2 2 2 3 2" xfId="41762"/>
    <cellStyle name="Comma 182 2 2 2 4" xfId="29457"/>
    <cellStyle name="Comma 182 2 2 3" xfId="12661"/>
    <cellStyle name="Comma 182 2 2 3 2" xfId="32544"/>
    <cellStyle name="Comma 182 2 2 4" xfId="18813"/>
    <cellStyle name="Comma 182 2 2 4 2" xfId="38696"/>
    <cellStyle name="Comma 182 2 2 5" xfId="26391"/>
    <cellStyle name="Comma 182 2 3" xfId="7999"/>
    <cellStyle name="Comma 182 2 3 2" xfId="14193"/>
    <cellStyle name="Comma 182 2 3 2 2" xfId="34076"/>
    <cellStyle name="Comma 182 2 3 3" xfId="20345"/>
    <cellStyle name="Comma 182 2 3 3 2" xfId="40228"/>
    <cellStyle name="Comma 182 2 3 4" xfId="27923"/>
    <cellStyle name="Comma 182 2 4" xfId="11127"/>
    <cellStyle name="Comma 182 2 4 2" xfId="31010"/>
    <cellStyle name="Comma 182 2 5" xfId="17279"/>
    <cellStyle name="Comma 182 2 5 2" xfId="37162"/>
    <cellStyle name="Comma 182 2 6" xfId="24857"/>
    <cellStyle name="Comma 182 3" xfId="5662"/>
    <cellStyle name="Comma 182 3 2" xfId="8765"/>
    <cellStyle name="Comma 182 3 2 2" xfId="14958"/>
    <cellStyle name="Comma 182 3 2 2 2" xfId="34841"/>
    <cellStyle name="Comma 182 3 2 3" xfId="21110"/>
    <cellStyle name="Comma 182 3 2 3 2" xfId="40993"/>
    <cellStyle name="Comma 182 3 2 4" xfId="28688"/>
    <cellStyle name="Comma 182 3 3" xfId="11892"/>
    <cellStyle name="Comma 182 3 3 2" xfId="31775"/>
    <cellStyle name="Comma 182 3 4" xfId="18044"/>
    <cellStyle name="Comma 182 3 4 2" xfId="37927"/>
    <cellStyle name="Comma 182 3 5" xfId="25622"/>
    <cellStyle name="Comma 182 4" xfId="7230"/>
    <cellStyle name="Comma 182 4 2" xfId="13424"/>
    <cellStyle name="Comma 182 4 2 2" xfId="33307"/>
    <cellStyle name="Comma 182 4 3" xfId="19576"/>
    <cellStyle name="Comma 182 4 3 2" xfId="39459"/>
    <cellStyle name="Comma 182 4 4" xfId="27154"/>
    <cellStyle name="Comma 182 5" xfId="10358"/>
    <cellStyle name="Comma 182 5 2" xfId="30241"/>
    <cellStyle name="Comma 182 6" xfId="16510"/>
    <cellStyle name="Comma 182 6 2" xfId="36393"/>
    <cellStyle name="Comma 182 7" xfId="24088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2 2" xfId="35552"/>
    <cellStyle name="Comma 186 2 2 2 3" xfId="21821"/>
    <cellStyle name="Comma 186 2 2 2 3 2" xfId="41704"/>
    <cellStyle name="Comma 186 2 2 2 4" xfId="29399"/>
    <cellStyle name="Comma 186 2 2 3" xfId="12603"/>
    <cellStyle name="Comma 186 2 2 3 2" xfId="32486"/>
    <cellStyle name="Comma 186 2 2 4" xfId="18755"/>
    <cellStyle name="Comma 186 2 2 4 2" xfId="38638"/>
    <cellStyle name="Comma 186 2 2 5" xfId="26333"/>
    <cellStyle name="Comma 186 2 3" xfId="7941"/>
    <cellStyle name="Comma 186 2 3 2" xfId="14135"/>
    <cellStyle name="Comma 186 2 3 2 2" xfId="34018"/>
    <cellStyle name="Comma 186 2 3 3" xfId="20287"/>
    <cellStyle name="Comma 186 2 3 3 2" xfId="40170"/>
    <cellStyle name="Comma 186 2 3 4" xfId="27865"/>
    <cellStyle name="Comma 186 2 4" xfId="11069"/>
    <cellStyle name="Comma 186 2 4 2" xfId="30952"/>
    <cellStyle name="Comma 186 2 5" xfId="17221"/>
    <cellStyle name="Comma 186 2 5 2" xfId="37104"/>
    <cellStyle name="Comma 186 2 6" xfId="24799"/>
    <cellStyle name="Comma 186 3" xfId="5604"/>
    <cellStyle name="Comma 186 3 2" xfId="8707"/>
    <cellStyle name="Comma 186 3 2 2" xfId="14900"/>
    <cellStyle name="Comma 186 3 2 2 2" xfId="34783"/>
    <cellStyle name="Comma 186 3 2 3" xfId="21052"/>
    <cellStyle name="Comma 186 3 2 3 2" xfId="40935"/>
    <cellStyle name="Comma 186 3 2 4" xfId="28630"/>
    <cellStyle name="Comma 186 3 3" xfId="11834"/>
    <cellStyle name="Comma 186 3 3 2" xfId="31717"/>
    <cellStyle name="Comma 186 3 4" xfId="17986"/>
    <cellStyle name="Comma 186 3 4 2" xfId="37869"/>
    <cellStyle name="Comma 186 3 5" xfId="25564"/>
    <cellStyle name="Comma 186 4" xfId="7172"/>
    <cellStyle name="Comma 186 4 2" xfId="13366"/>
    <cellStyle name="Comma 186 4 2 2" xfId="33249"/>
    <cellStyle name="Comma 186 4 3" xfId="19518"/>
    <cellStyle name="Comma 186 4 3 2" xfId="39401"/>
    <cellStyle name="Comma 186 4 4" xfId="27096"/>
    <cellStyle name="Comma 186 5" xfId="10300"/>
    <cellStyle name="Comma 186 5 2" xfId="30183"/>
    <cellStyle name="Comma 186 6" xfId="16452"/>
    <cellStyle name="Comma 186 6 2" xfId="36335"/>
    <cellStyle name="Comma 186 7" xfId="24030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2 2" xfId="35523"/>
    <cellStyle name="Comma 187 3 2 3" xfId="21792"/>
    <cellStyle name="Comma 187 3 2 3 2" xfId="41675"/>
    <cellStyle name="Comma 187 3 2 4" xfId="29370"/>
    <cellStyle name="Comma 187 3 3" xfId="12574"/>
    <cellStyle name="Comma 187 3 3 2" xfId="32457"/>
    <cellStyle name="Comma 187 3 4" xfId="18726"/>
    <cellStyle name="Comma 187 3 4 2" xfId="38609"/>
    <cellStyle name="Comma 187 3 5" xfId="26304"/>
    <cellStyle name="Comma 187 4" xfId="7912"/>
    <cellStyle name="Comma 187 4 2" xfId="14106"/>
    <cellStyle name="Comma 187 4 2 2" xfId="33989"/>
    <cellStyle name="Comma 187 4 3" xfId="20258"/>
    <cellStyle name="Comma 187 4 3 2" xfId="40141"/>
    <cellStyle name="Comma 187 4 4" xfId="27836"/>
    <cellStyle name="Comma 187 5" xfId="11040"/>
    <cellStyle name="Comma 187 5 2" xfId="30923"/>
    <cellStyle name="Comma 187 6" xfId="17192"/>
    <cellStyle name="Comma 187 6 2" xfId="37075"/>
    <cellStyle name="Comma 187 7" xfId="24770"/>
    <cellStyle name="Comma 188" xfId="5506"/>
    <cellStyle name="Comma 189" xfId="5572"/>
    <cellStyle name="Comma 19" xfId="237"/>
    <cellStyle name="Comma 19 2" xfId="888"/>
    <cellStyle name="Comma 19 2 2" xfId="23731"/>
    <cellStyle name="Comma 19 3" xfId="1597"/>
    <cellStyle name="Comma 19 4" xfId="22654"/>
    <cellStyle name="Comma 19 4 2" xfId="42528"/>
    <cellStyle name="Comma 19 5" xfId="22851"/>
    <cellStyle name="Comma 19 5 2" xfId="42725"/>
    <cellStyle name="Comma 19 6" xfId="23428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2 2" xfId="35612"/>
    <cellStyle name="Comma 2 2 10 2 2 2 3" xfId="21881"/>
    <cellStyle name="Comma 2 2 10 2 2 2 3 2" xfId="41764"/>
    <cellStyle name="Comma 2 2 10 2 2 2 4" xfId="29459"/>
    <cellStyle name="Comma 2 2 10 2 2 3" xfId="12663"/>
    <cellStyle name="Comma 2 2 10 2 2 3 2" xfId="32546"/>
    <cellStyle name="Comma 2 2 10 2 2 4" xfId="18815"/>
    <cellStyle name="Comma 2 2 10 2 2 4 2" xfId="38698"/>
    <cellStyle name="Comma 2 2 10 2 2 5" xfId="26393"/>
    <cellStyle name="Comma 2 2 10 2 3" xfId="8001"/>
    <cellStyle name="Comma 2 2 10 2 3 2" xfId="14195"/>
    <cellStyle name="Comma 2 2 10 2 3 2 2" xfId="34078"/>
    <cellStyle name="Comma 2 2 10 2 3 3" xfId="20347"/>
    <cellStyle name="Comma 2 2 10 2 3 3 2" xfId="40230"/>
    <cellStyle name="Comma 2 2 10 2 3 4" xfId="27925"/>
    <cellStyle name="Comma 2 2 10 2 4" xfId="11129"/>
    <cellStyle name="Comma 2 2 10 2 4 2" xfId="31012"/>
    <cellStyle name="Comma 2 2 10 2 5" xfId="17281"/>
    <cellStyle name="Comma 2 2 10 2 5 2" xfId="37164"/>
    <cellStyle name="Comma 2 2 10 2 6" xfId="24859"/>
    <cellStyle name="Comma 2 2 10 3" xfId="5664"/>
    <cellStyle name="Comma 2 2 10 3 2" xfId="8767"/>
    <cellStyle name="Comma 2 2 10 3 2 2" xfId="14960"/>
    <cellStyle name="Comma 2 2 10 3 2 2 2" xfId="34843"/>
    <cellStyle name="Comma 2 2 10 3 2 3" xfId="21112"/>
    <cellStyle name="Comma 2 2 10 3 2 3 2" xfId="40995"/>
    <cellStyle name="Comma 2 2 10 3 2 4" xfId="28690"/>
    <cellStyle name="Comma 2 2 10 3 3" xfId="11894"/>
    <cellStyle name="Comma 2 2 10 3 3 2" xfId="31777"/>
    <cellStyle name="Comma 2 2 10 3 4" xfId="18046"/>
    <cellStyle name="Comma 2 2 10 3 4 2" xfId="37929"/>
    <cellStyle name="Comma 2 2 10 3 5" xfId="25624"/>
    <cellStyle name="Comma 2 2 10 4" xfId="7232"/>
    <cellStyle name="Comma 2 2 10 4 2" xfId="13426"/>
    <cellStyle name="Comma 2 2 10 4 2 2" xfId="33309"/>
    <cellStyle name="Comma 2 2 10 4 3" xfId="19578"/>
    <cellStyle name="Comma 2 2 10 4 3 2" xfId="39461"/>
    <cellStyle name="Comma 2 2 10 4 4" xfId="27156"/>
    <cellStyle name="Comma 2 2 10 5" xfId="10360"/>
    <cellStyle name="Comma 2 2 10 5 2" xfId="30243"/>
    <cellStyle name="Comma 2 2 10 6" xfId="16512"/>
    <cellStyle name="Comma 2 2 10 6 2" xfId="36395"/>
    <cellStyle name="Comma 2 2 10 7" xfId="24090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2 2" xfId="35613"/>
    <cellStyle name="Comma 2 2 11 2 2 2 3" xfId="21882"/>
    <cellStyle name="Comma 2 2 11 2 2 2 3 2" xfId="41765"/>
    <cellStyle name="Comma 2 2 11 2 2 2 4" xfId="29460"/>
    <cellStyle name="Comma 2 2 11 2 2 3" xfId="12664"/>
    <cellStyle name="Comma 2 2 11 2 2 3 2" xfId="32547"/>
    <cellStyle name="Comma 2 2 11 2 2 4" xfId="18816"/>
    <cellStyle name="Comma 2 2 11 2 2 4 2" xfId="38699"/>
    <cellStyle name="Comma 2 2 11 2 2 5" xfId="26394"/>
    <cellStyle name="Comma 2 2 11 2 3" xfId="8002"/>
    <cellStyle name="Comma 2 2 11 2 3 2" xfId="14196"/>
    <cellStyle name="Comma 2 2 11 2 3 2 2" xfId="34079"/>
    <cellStyle name="Comma 2 2 11 2 3 3" xfId="20348"/>
    <cellStyle name="Comma 2 2 11 2 3 3 2" xfId="40231"/>
    <cellStyle name="Comma 2 2 11 2 3 4" xfId="27926"/>
    <cellStyle name="Comma 2 2 11 2 4" xfId="11130"/>
    <cellStyle name="Comma 2 2 11 2 4 2" xfId="31013"/>
    <cellStyle name="Comma 2 2 11 2 5" xfId="17282"/>
    <cellStyle name="Comma 2 2 11 2 5 2" xfId="37165"/>
    <cellStyle name="Comma 2 2 11 2 6" xfId="24860"/>
    <cellStyle name="Comma 2 2 11 3" xfId="5665"/>
    <cellStyle name="Comma 2 2 11 3 2" xfId="8768"/>
    <cellStyle name="Comma 2 2 11 3 2 2" xfId="14961"/>
    <cellStyle name="Comma 2 2 11 3 2 2 2" xfId="34844"/>
    <cellStyle name="Comma 2 2 11 3 2 3" xfId="21113"/>
    <cellStyle name="Comma 2 2 11 3 2 3 2" xfId="40996"/>
    <cellStyle name="Comma 2 2 11 3 2 4" xfId="28691"/>
    <cellStyle name="Comma 2 2 11 3 3" xfId="11895"/>
    <cellStyle name="Comma 2 2 11 3 3 2" xfId="31778"/>
    <cellStyle name="Comma 2 2 11 3 4" xfId="18047"/>
    <cellStyle name="Comma 2 2 11 3 4 2" xfId="37930"/>
    <cellStyle name="Comma 2 2 11 3 5" xfId="25625"/>
    <cellStyle name="Comma 2 2 11 4" xfId="7233"/>
    <cellStyle name="Comma 2 2 11 4 2" xfId="13427"/>
    <cellStyle name="Comma 2 2 11 4 2 2" xfId="33310"/>
    <cellStyle name="Comma 2 2 11 4 3" xfId="19579"/>
    <cellStyle name="Comma 2 2 11 4 3 2" xfId="39462"/>
    <cellStyle name="Comma 2 2 11 4 4" xfId="27157"/>
    <cellStyle name="Comma 2 2 11 5" xfId="10361"/>
    <cellStyle name="Comma 2 2 11 5 2" xfId="30244"/>
    <cellStyle name="Comma 2 2 11 6" xfId="16513"/>
    <cellStyle name="Comma 2 2 11 6 2" xfId="36396"/>
    <cellStyle name="Comma 2 2 11 7" xfId="24091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2 2" xfId="35614"/>
    <cellStyle name="Comma 2 2 12 2 2 2 3" xfId="21883"/>
    <cellStyle name="Comma 2 2 12 2 2 2 3 2" xfId="41766"/>
    <cellStyle name="Comma 2 2 12 2 2 2 4" xfId="29461"/>
    <cellStyle name="Comma 2 2 12 2 2 3" xfId="12665"/>
    <cellStyle name="Comma 2 2 12 2 2 3 2" xfId="32548"/>
    <cellStyle name="Comma 2 2 12 2 2 4" xfId="18817"/>
    <cellStyle name="Comma 2 2 12 2 2 4 2" xfId="38700"/>
    <cellStyle name="Comma 2 2 12 2 2 5" xfId="26395"/>
    <cellStyle name="Comma 2 2 12 2 3" xfId="8003"/>
    <cellStyle name="Comma 2 2 12 2 3 2" xfId="14197"/>
    <cellStyle name="Comma 2 2 12 2 3 2 2" xfId="34080"/>
    <cellStyle name="Comma 2 2 12 2 3 3" xfId="20349"/>
    <cellStyle name="Comma 2 2 12 2 3 3 2" xfId="40232"/>
    <cellStyle name="Comma 2 2 12 2 3 4" xfId="27927"/>
    <cellStyle name="Comma 2 2 12 2 4" xfId="11131"/>
    <cellStyle name="Comma 2 2 12 2 4 2" xfId="31014"/>
    <cellStyle name="Comma 2 2 12 2 5" xfId="17283"/>
    <cellStyle name="Comma 2 2 12 2 5 2" xfId="37166"/>
    <cellStyle name="Comma 2 2 12 2 6" xfId="24861"/>
    <cellStyle name="Comma 2 2 12 3" xfId="5666"/>
    <cellStyle name="Comma 2 2 12 3 2" xfId="8769"/>
    <cellStyle name="Comma 2 2 12 3 2 2" xfId="14962"/>
    <cellStyle name="Comma 2 2 12 3 2 2 2" xfId="34845"/>
    <cellStyle name="Comma 2 2 12 3 2 3" xfId="21114"/>
    <cellStyle name="Comma 2 2 12 3 2 3 2" xfId="40997"/>
    <cellStyle name="Comma 2 2 12 3 2 4" xfId="28692"/>
    <cellStyle name="Comma 2 2 12 3 3" xfId="11896"/>
    <cellStyle name="Comma 2 2 12 3 3 2" xfId="31779"/>
    <cellStyle name="Comma 2 2 12 3 4" xfId="18048"/>
    <cellStyle name="Comma 2 2 12 3 4 2" xfId="37931"/>
    <cellStyle name="Comma 2 2 12 3 5" xfId="25626"/>
    <cellStyle name="Comma 2 2 12 4" xfId="7234"/>
    <cellStyle name="Comma 2 2 12 4 2" xfId="13428"/>
    <cellStyle name="Comma 2 2 12 4 2 2" xfId="33311"/>
    <cellStyle name="Comma 2 2 12 4 3" xfId="19580"/>
    <cellStyle name="Comma 2 2 12 4 3 2" xfId="39463"/>
    <cellStyle name="Comma 2 2 12 4 4" xfId="27158"/>
    <cellStyle name="Comma 2 2 12 5" xfId="10362"/>
    <cellStyle name="Comma 2 2 12 5 2" xfId="30245"/>
    <cellStyle name="Comma 2 2 12 6" xfId="16514"/>
    <cellStyle name="Comma 2 2 12 6 2" xfId="36397"/>
    <cellStyle name="Comma 2 2 12 7" xfId="24092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2 2" xfId="35615"/>
    <cellStyle name="Comma 2 2 13 2 2 2 3" xfId="21884"/>
    <cellStyle name="Comma 2 2 13 2 2 2 3 2" xfId="41767"/>
    <cellStyle name="Comma 2 2 13 2 2 2 4" xfId="29462"/>
    <cellStyle name="Comma 2 2 13 2 2 3" xfId="12666"/>
    <cellStyle name="Comma 2 2 13 2 2 3 2" xfId="32549"/>
    <cellStyle name="Comma 2 2 13 2 2 4" xfId="18818"/>
    <cellStyle name="Comma 2 2 13 2 2 4 2" xfId="38701"/>
    <cellStyle name="Comma 2 2 13 2 2 5" xfId="26396"/>
    <cellStyle name="Comma 2 2 13 2 3" xfId="8004"/>
    <cellStyle name="Comma 2 2 13 2 3 2" xfId="14198"/>
    <cellStyle name="Comma 2 2 13 2 3 2 2" xfId="34081"/>
    <cellStyle name="Comma 2 2 13 2 3 3" xfId="20350"/>
    <cellStyle name="Comma 2 2 13 2 3 3 2" xfId="40233"/>
    <cellStyle name="Comma 2 2 13 2 3 4" xfId="27928"/>
    <cellStyle name="Comma 2 2 13 2 4" xfId="11132"/>
    <cellStyle name="Comma 2 2 13 2 4 2" xfId="31015"/>
    <cellStyle name="Comma 2 2 13 2 5" xfId="17284"/>
    <cellStyle name="Comma 2 2 13 2 5 2" xfId="37167"/>
    <cellStyle name="Comma 2 2 13 2 6" xfId="24862"/>
    <cellStyle name="Comma 2 2 13 3" xfId="5667"/>
    <cellStyle name="Comma 2 2 13 3 2" xfId="8770"/>
    <cellStyle name="Comma 2 2 13 3 2 2" xfId="14963"/>
    <cellStyle name="Comma 2 2 13 3 2 2 2" xfId="34846"/>
    <cellStyle name="Comma 2 2 13 3 2 3" xfId="21115"/>
    <cellStyle name="Comma 2 2 13 3 2 3 2" xfId="40998"/>
    <cellStyle name="Comma 2 2 13 3 2 4" xfId="28693"/>
    <cellStyle name="Comma 2 2 13 3 3" xfId="11897"/>
    <cellStyle name="Comma 2 2 13 3 3 2" xfId="31780"/>
    <cellStyle name="Comma 2 2 13 3 4" xfId="18049"/>
    <cellStyle name="Comma 2 2 13 3 4 2" xfId="37932"/>
    <cellStyle name="Comma 2 2 13 3 5" xfId="25627"/>
    <cellStyle name="Comma 2 2 13 4" xfId="7235"/>
    <cellStyle name="Comma 2 2 13 4 2" xfId="13429"/>
    <cellStyle name="Comma 2 2 13 4 2 2" xfId="33312"/>
    <cellStyle name="Comma 2 2 13 4 3" xfId="19581"/>
    <cellStyle name="Comma 2 2 13 4 3 2" xfId="39464"/>
    <cellStyle name="Comma 2 2 13 4 4" xfId="27159"/>
    <cellStyle name="Comma 2 2 13 5" xfId="10363"/>
    <cellStyle name="Comma 2 2 13 5 2" xfId="30246"/>
    <cellStyle name="Comma 2 2 13 6" xfId="16515"/>
    <cellStyle name="Comma 2 2 13 6 2" xfId="36398"/>
    <cellStyle name="Comma 2 2 13 7" xfId="24093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2 2" xfId="35616"/>
    <cellStyle name="Comma 2 2 14 2 2 2 3" xfId="21885"/>
    <cellStyle name="Comma 2 2 14 2 2 2 3 2" xfId="41768"/>
    <cellStyle name="Comma 2 2 14 2 2 2 4" xfId="29463"/>
    <cellStyle name="Comma 2 2 14 2 2 3" xfId="12667"/>
    <cellStyle name="Comma 2 2 14 2 2 3 2" xfId="32550"/>
    <cellStyle name="Comma 2 2 14 2 2 4" xfId="18819"/>
    <cellStyle name="Comma 2 2 14 2 2 4 2" xfId="38702"/>
    <cellStyle name="Comma 2 2 14 2 2 5" xfId="26397"/>
    <cellStyle name="Comma 2 2 14 2 3" xfId="8005"/>
    <cellStyle name="Comma 2 2 14 2 3 2" xfId="14199"/>
    <cellStyle name="Comma 2 2 14 2 3 2 2" xfId="34082"/>
    <cellStyle name="Comma 2 2 14 2 3 3" xfId="20351"/>
    <cellStyle name="Comma 2 2 14 2 3 3 2" xfId="40234"/>
    <cellStyle name="Comma 2 2 14 2 3 4" xfId="27929"/>
    <cellStyle name="Comma 2 2 14 2 4" xfId="11133"/>
    <cellStyle name="Comma 2 2 14 2 4 2" xfId="31016"/>
    <cellStyle name="Comma 2 2 14 2 5" xfId="17285"/>
    <cellStyle name="Comma 2 2 14 2 5 2" xfId="37168"/>
    <cellStyle name="Comma 2 2 14 2 6" xfId="24863"/>
    <cellStyle name="Comma 2 2 14 3" xfId="5668"/>
    <cellStyle name="Comma 2 2 14 3 2" xfId="8771"/>
    <cellStyle name="Comma 2 2 14 3 2 2" xfId="14964"/>
    <cellStyle name="Comma 2 2 14 3 2 2 2" xfId="34847"/>
    <cellStyle name="Comma 2 2 14 3 2 3" xfId="21116"/>
    <cellStyle name="Comma 2 2 14 3 2 3 2" xfId="40999"/>
    <cellStyle name="Comma 2 2 14 3 2 4" xfId="28694"/>
    <cellStyle name="Comma 2 2 14 3 3" xfId="11898"/>
    <cellStyle name="Comma 2 2 14 3 3 2" xfId="31781"/>
    <cellStyle name="Comma 2 2 14 3 4" xfId="18050"/>
    <cellStyle name="Comma 2 2 14 3 4 2" xfId="37933"/>
    <cellStyle name="Comma 2 2 14 3 5" xfId="25628"/>
    <cellStyle name="Comma 2 2 14 4" xfId="7236"/>
    <cellStyle name="Comma 2 2 14 4 2" xfId="13430"/>
    <cellStyle name="Comma 2 2 14 4 2 2" xfId="33313"/>
    <cellStyle name="Comma 2 2 14 4 3" xfId="19582"/>
    <cellStyle name="Comma 2 2 14 4 3 2" xfId="39465"/>
    <cellStyle name="Comma 2 2 14 4 4" xfId="27160"/>
    <cellStyle name="Comma 2 2 14 5" xfId="10364"/>
    <cellStyle name="Comma 2 2 14 5 2" xfId="30247"/>
    <cellStyle name="Comma 2 2 14 6" xfId="16516"/>
    <cellStyle name="Comma 2 2 14 6 2" xfId="36399"/>
    <cellStyle name="Comma 2 2 14 7" xfId="24094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2 2" xfId="35617"/>
    <cellStyle name="Comma 2 2 15 2 2 2 3" xfId="21886"/>
    <cellStyle name="Comma 2 2 15 2 2 2 3 2" xfId="41769"/>
    <cellStyle name="Comma 2 2 15 2 2 2 4" xfId="29464"/>
    <cellStyle name="Comma 2 2 15 2 2 3" xfId="12668"/>
    <cellStyle name="Comma 2 2 15 2 2 3 2" xfId="32551"/>
    <cellStyle name="Comma 2 2 15 2 2 4" xfId="18820"/>
    <cellStyle name="Comma 2 2 15 2 2 4 2" xfId="38703"/>
    <cellStyle name="Comma 2 2 15 2 2 5" xfId="26398"/>
    <cellStyle name="Comma 2 2 15 2 3" xfId="8006"/>
    <cellStyle name="Comma 2 2 15 2 3 2" xfId="14200"/>
    <cellStyle name="Comma 2 2 15 2 3 2 2" xfId="34083"/>
    <cellStyle name="Comma 2 2 15 2 3 3" xfId="20352"/>
    <cellStyle name="Comma 2 2 15 2 3 3 2" xfId="40235"/>
    <cellStyle name="Comma 2 2 15 2 3 4" xfId="27930"/>
    <cellStyle name="Comma 2 2 15 2 4" xfId="11134"/>
    <cellStyle name="Comma 2 2 15 2 4 2" xfId="31017"/>
    <cellStyle name="Comma 2 2 15 2 5" xfId="17286"/>
    <cellStyle name="Comma 2 2 15 2 5 2" xfId="37169"/>
    <cellStyle name="Comma 2 2 15 2 6" xfId="24864"/>
    <cellStyle name="Comma 2 2 15 3" xfId="5669"/>
    <cellStyle name="Comma 2 2 15 3 2" xfId="8772"/>
    <cellStyle name="Comma 2 2 15 3 2 2" xfId="14965"/>
    <cellStyle name="Comma 2 2 15 3 2 2 2" xfId="34848"/>
    <cellStyle name="Comma 2 2 15 3 2 3" xfId="21117"/>
    <cellStyle name="Comma 2 2 15 3 2 3 2" xfId="41000"/>
    <cellStyle name="Comma 2 2 15 3 2 4" xfId="28695"/>
    <cellStyle name="Comma 2 2 15 3 3" xfId="11899"/>
    <cellStyle name="Comma 2 2 15 3 3 2" xfId="31782"/>
    <cellStyle name="Comma 2 2 15 3 4" xfId="18051"/>
    <cellStyle name="Comma 2 2 15 3 4 2" xfId="37934"/>
    <cellStyle name="Comma 2 2 15 3 5" xfId="25629"/>
    <cellStyle name="Comma 2 2 15 4" xfId="7237"/>
    <cellStyle name="Comma 2 2 15 4 2" xfId="13431"/>
    <cellStyle name="Comma 2 2 15 4 2 2" xfId="33314"/>
    <cellStyle name="Comma 2 2 15 4 3" xfId="19583"/>
    <cellStyle name="Comma 2 2 15 4 3 2" xfId="39466"/>
    <cellStyle name="Comma 2 2 15 4 4" xfId="27161"/>
    <cellStyle name="Comma 2 2 15 5" xfId="10365"/>
    <cellStyle name="Comma 2 2 15 5 2" xfId="30248"/>
    <cellStyle name="Comma 2 2 15 6" xfId="16517"/>
    <cellStyle name="Comma 2 2 15 6 2" xfId="36400"/>
    <cellStyle name="Comma 2 2 15 7" xfId="24095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2 2" xfId="35618"/>
    <cellStyle name="Comma 2 2 16 2 2 2 3" xfId="21887"/>
    <cellStyle name="Comma 2 2 16 2 2 2 3 2" xfId="41770"/>
    <cellStyle name="Comma 2 2 16 2 2 2 4" xfId="29465"/>
    <cellStyle name="Comma 2 2 16 2 2 3" xfId="12669"/>
    <cellStyle name="Comma 2 2 16 2 2 3 2" xfId="32552"/>
    <cellStyle name="Comma 2 2 16 2 2 4" xfId="18821"/>
    <cellStyle name="Comma 2 2 16 2 2 4 2" xfId="38704"/>
    <cellStyle name="Comma 2 2 16 2 2 5" xfId="26399"/>
    <cellStyle name="Comma 2 2 16 2 3" xfId="8007"/>
    <cellStyle name="Comma 2 2 16 2 3 2" xfId="14201"/>
    <cellStyle name="Comma 2 2 16 2 3 2 2" xfId="34084"/>
    <cellStyle name="Comma 2 2 16 2 3 3" xfId="20353"/>
    <cellStyle name="Comma 2 2 16 2 3 3 2" xfId="40236"/>
    <cellStyle name="Comma 2 2 16 2 3 4" xfId="27931"/>
    <cellStyle name="Comma 2 2 16 2 4" xfId="11135"/>
    <cellStyle name="Comma 2 2 16 2 4 2" xfId="31018"/>
    <cellStyle name="Comma 2 2 16 2 5" xfId="17287"/>
    <cellStyle name="Comma 2 2 16 2 5 2" xfId="37170"/>
    <cellStyle name="Comma 2 2 16 2 6" xfId="24865"/>
    <cellStyle name="Comma 2 2 16 3" xfId="5670"/>
    <cellStyle name="Comma 2 2 16 3 2" xfId="8773"/>
    <cellStyle name="Comma 2 2 16 3 2 2" xfId="14966"/>
    <cellStyle name="Comma 2 2 16 3 2 2 2" xfId="34849"/>
    <cellStyle name="Comma 2 2 16 3 2 3" xfId="21118"/>
    <cellStyle name="Comma 2 2 16 3 2 3 2" xfId="41001"/>
    <cellStyle name="Comma 2 2 16 3 2 4" xfId="28696"/>
    <cellStyle name="Comma 2 2 16 3 3" xfId="11900"/>
    <cellStyle name="Comma 2 2 16 3 3 2" xfId="31783"/>
    <cellStyle name="Comma 2 2 16 3 4" xfId="18052"/>
    <cellStyle name="Comma 2 2 16 3 4 2" xfId="37935"/>
    <cellStyle name="Comma 2 2 16 3 5" xfId="25630"/>
    <cellStyle name="Comma 2 2 16 4" xfId="7238"/>
    <cellStyle name="Comma 2 2 16 4 2" xfId="13432"/>
    <cellStyle name="Comma 2 2 16 4 2 2" xfId="33315"/>
    <cellStyle name="Comma 2 2 16 4 3" xfId="19584"/>
    <cellStyle name="Comma 2 2 16 4 3 2" xfId="39467"/>
    <cellStyle name="Comma 2 2 16 4 4" xfId="27162"/>
    <cellStyle name="Comma 2 2 16 5" xfId="10366"/>
    <cellStyle name="Comma 2 2 16 5 2" xfId="30249"/>
    <cellStyle name="Comma 2 2 16 6" xfId="16518"/>
    <cellStyle name="Comma 2 2 16 6 2" xfId="36401"/>
    <cellStyle name="Comma 2 2 16 7" xfId="24096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2 2" xfId="35619"/>
    <cellStyle name="Comma 2 2 17 2 2 2 3" xfId="21888"/>
    <cellStyle name="Comma 2 2 17 2 2 2 3 2" xfId="41771"/>
    <cellStyle name="Comma 2 2 17 2 2 2 4" xfId="29466"/>
    <cellStyle name="Comma 2 2 17 2 2 3" xfId="12670"/>
    <cellStyle name="Comma 2 2 17 2 2 3 2" xfId="32553"/>
    <cellStyle name="Comma 2 2 17 2 2 4" xfId="18822"/>
    <cellStyle name="Comma 2 2 17 2 2 4 2" xfId="38705"/>
    <cellStyle name="Comma 2 2 17 2 2 5" xfId="26400"/>
    <cellStyle name="Comma 2 2 17 2 3" xfId="8008"/>
    <cellStyle name="Comma 2 2 17 2 3 2" xfId="14202"/>
    <cellStyle name="Comma 2 2 17 2 3 2 2" xfId="34085"/>
    <cellStyle name="Comma 2 2 17 2 3 3" xfId="20354"/>
    <cellStyle name="Comma 2 2 17 2 3 3 2" xfId="40237"/>
    <cellStyle name="Comma 2 2 17 2 3 4" xfId="27932"/>
    <cellStyle name="Comma 2 2 17 2 4" xfId="11136"/>
    <cellStyle name="Comma 2 2 17 2 4 2" xfId="31019"/>
    <cellStyle name="Comma 2 2 17 2 5" xfId="17288"/>
    <cellStyle name="Comma 2 2 17 2 5 2" xfId="37171"/>
    <cellStyle name="Comma 2 2 17 2 6" xfId="24866"/>
    <cellStyle name="Comma 2 2 17 3" xfId="5671"/>
    <cellStyle name="Comma 2 2 17 3 2" xfId="8774"/>
    <cellStyle name="Comma 2 2 17 3 2 2" xfId="14967"/>
    <cellStyle name="Comma 2 2 17 3 2 2 2" xfId="34850"/>
    <cellStyle name="Comma 2 2 17 3 2 3" xfId="21119"/>
    <cellStyle name="Comma 2 2 17 3 2 3 2" xfId="41002"/>
    <cellStyle name="Comma 2 2 17 3 2 4" xfId="28697"/>
    <cellStyle name="Comma 2 2 17 3 3" xfId="11901"/>
    <cellStyle name="Comma 2 2 17 3 3 2" xfId="31784"/>
    <cellStyle name="Comma 2 2 17 3 4" xfId="18053"/>
    <cellStyle name="Comma 2 2 17 3 4 2" xfId="37936"/>
    <cellStyle name="Comma 2 2 17 3 5" xfId="25631"/>
    <cellStyle name="Comma 2 2 17 4" xfId="7239"/>
    <cellStyle name="Comma 2 2 17 4 2" xfId="13433"/>
    <cellStyle name="Comma 2 2 17 4 2 2" xfId="33316"/>
    <cellStyle name="Comma 2 2 17 4 3" xfId="19585"/>
    <cellStyle name="Comma 2 2 17 4 3 2" xfId="39468"/>
    <cellStyle name="Comma 2 2 17 4 4" xfId="27163"/>
    <cellStyle name="Comma 2 2 17 5" xfId="10367"/>
    <cellStyle name="Comma 2 2 17 5 2" xfId="30250"/>
    <cellStyle name="Comma 2 2 17 6" xfId="16519"/>
    <cellStyle name="Comma 2 2 17 6 2" xfId="36402"/>
    <cellStyle name="Comma 2 2 17 7" xfId="24097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10 2" xfId="36403"/>
    <cellStyle name="Comma 2 2 2 2 11" xfId="24098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2 2" xfId="35621"/>
    <cellStyle name="Comma 2 2 2 2 2 2 2 2 3" xfId="21890"/>
    <cellStyle name="Comma 2 2 2 2 2 2 2 2 3 2" xfId="41773"/>
    <cellStyle name="Comma 2 2 2 2 2 2 2 2 4" xfId="29468"/>
    <cellStyle name="Comma 2 2 2 2 2 2 2 3" xfId="12672"/>
    <cellStyle name="Comma 2 2 2 2 2 2 2 3 2" xfId="32555"/>
    <cellStyle name="Comma 2 2 2 2 2 2 2 4" xfId="18824"/>
    <cellStyle name="Comma 2 2 2 2 2 2 2 4 2" xfId="38707"/>
    <cellStyle name="Comma 2 2 2 2 2 2 2 5" xfId="26402"/>
    <cellStyle name="Comma 2 2 2 2 2 2 3" xfId="8010"/>
    <cellStyle name="Comma 2 2 2 2 2 2 3 2" xfId="14204"/>
    <cellStyle name="Comma 2 2 2 2 2 2 3 2 2" xfId="34087"/>
    <cellStyle name="Comma 2 2 2 2 2 2 3 3" xfId="20356"/>
    <cellStyle name="Comma 2 2 2 2 2 2 3 3 2" xfId="40239"/>
    <cellStyle name="Comma 2 2 2 2 2 2 3 4" xfId="27934"/>
    <cellStyle name="Comma 2 2 2 2 2 2 4" xfId="11138"/>
    <cellStyle name="Comma 2 2 2 2 2 2 4 2" xfId="31021"/>
    <cellStyle name="Comma 2 2 2 2 2 2 5" xfId="17290"/>
    <cellStyle name="Comma 2 2 2 2 2 2 5 2" xfId="37173"/>
    <cellStyle name="Comma 2 2 2 2 2 2 6" xfId="24868"/>
    <cellStyle name="Comma 2 2 2 2 2 3" xfId="5673"/>
    <cellStyle name="Comma 2 2 2 2 2 3 2" xfId="8776"/>
    <cellStyle name="Comma 2 2 2 2 2 3 2 2" xfId="14969"/>
    <cellStyle name="Comma 2 2 2 2 2 3 2 2 2" xfId="34852"/>
    <cellStyle name="Comma 2 2 2 2 2 3 2 3" xfId="21121"/>
    <cellStyle name="Comma 2 2 2 2 2 3 2 3 2" xfId="41004"/>
    <cellStyle name="Comma 2 2 2 2 2 3 2 4" xfId="28699"/>
    <cellStyle name="Comma 2 2 2 2 2 3 3" xfId="11903"/>
    <cellStyle name="Comma 2 2 2 2 2 3 3 2" xfId="31786"/>
    <cellStyle name="Comma 2 2 2 2 2 3 4" xfId="18055"/>
    <cellStyle name="Comma 2 2 2 2 2 3 4 2" xfId="37938"/>
    <cellStyle name="Comma 2 2 2 2 2 3 5" xfId="25633"/>
    <cellStyle name="Comma 2 2 2 2 2 4" xfId="7241"/>
    <cellStyle name="Comma 2 2 2 2 2 4 2" xfId="13435"/>
    <cellStyle name="Comma 2 2 2 2 2 4 2 2" xfId="33318"/>
    <cellStyle name="Comma 2 2 2 2 2 4 3" xfId="19587"/>
    <cellStyle name="Comma 2 2 2 2 2 4 3 2" xfId="39470"/>
    <cellStyle name="Comma 2 2 2 2 2 4 4" xfId="27165"/>
    <cellStyle name="Comma 2 2 2 2 2 5" xfId="10369"/>
    <cellStyle name="Comma 2 2 2 2 2 5 2" xfId="30252"/>
    <cellStyle name="Comma 2 2 2 2 2 6" xfId="16521"/>
    <cellStyle name="Comma 2 2 2 2 2 6 2" xfId="36404"/>
    <cellStyle name="Comma 2 2 2 2 2 7" xfId="24099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2 2" xfId="35622"/>
    <cellStyle name="Comma 2 2 2 2 3 2 2 2 3" xfId="21891"/>
    <cellStyle name="Comma 2 2 2 2 3 2 2 2 3 2" xfId="41774"/>
    <cellStyle name="Comma 2 2 2 2 3 2 2 2 4" xfId="29469"/>
    <cellStyle name="Comma 2 2 2 2 3 2 2 3" xfId="12673"/>
    <cellStyle name="Comma 2 2 2 2 3 2 2 3 2" xfId="32556"/>
    <cellStyle name="Comma 2 2 2 2 3 2 2 4" xfId="18825"/>
    <cellStyle name="Comma 2 2 2 2 3 2 2 4 2" xfId="38708"/>
    <cellStyle name="Comma 2 2 2 2 3 2 2 5" xfId="26403"/>
    <cellStyle name="Comma 2 2 2 2 3 2 3" xfId="8011"/>
    <cellStyle name="Comma 2 2 2 2 3 2 3 2" xfId="14205"/>
    <cellStyle name="Comma 2 2 2 2 3 2 3 2 2" xfId="34088"/>
    <cellStyle name="Comma 2 2 2 2 3 2 3 3" xfId="20357"/>
    <cellStyle name="Comma 2 2 2 2 3 2 3 3 2" xfId="40240"/>
    <cellStyle name="Comma 2 2 2 2 3 2 3 4" xfId="27935"/>
    <cellStyle name="Comma 2 2 2 2 3 2 4" xfId="11139"/>
    <cellStyle name="Comma 2 2 2 2 3 2 4 2" xfId="31022"/>
    <cellStyle name="Comma 2 2 2 2 3 2 5" xfId="17291"/>
    <cellStyle name="Comma 2 2 2 2 3 2 5 2" xfId="37174"/>
    <cellStyle name="Comma 2 2 2 2 3 2 6" xfId="24869"/>
    <cellStyle name="Comma 2 2 2 2 3 3" xfId="5674"/>
    <cellStyle name="Comma 2 2 2 2 3 3 2" xfId="8777"/>
    <cellStyle name="Comma 2 2 2 2 3 3 2 2" xfId="14970"/>
    <cellStyle name="Comma 2 2 2 2 3 3 2 2 2" xfId="34853"/>
    <cellStyle name="Comma 2 2 2 2 3 3 2 3" xfId="21122"/>
    <cellStyle name="Comma 2 2 2 2 3 3 2 3 2" xfId="41005"/>
    <cellStyle name="Comma 2 2 2 2 3 3 2 4" xfId="28700"/>
    <cellStyle name="Comma 2 2 2 2 3 3 3" xfId="11904"/>
    <cellStyle name="Comma 2 2 2 2 3 3 3 2" xfId="31787"/>
    <cellStyle name="Comma 2 2 2 2 3 3 4" xfId="18056"/>
    <cellStyle name="Comma 2 2 2 2 3 3 4 2" xfId="37939"/>
    <cellStyle name="Comma 2 2 2 2 3 3 5" xfId="25634"/>
    <cellStyle name="Comma 2 2 2 2 3 4" xfId="7242"/>
    <cellStyle name="Comma 2 2 2 2 3 4 2" xfId="13436"/>
    <cellStyle name="Comma 2 2 2 2 3 4 2 2" xfId="33319"/>
    <cellStyle name="Comma 2 2 2 2 3 4 3" xfId="19588"/>
    <cellStyle name="Comma 2 2 2 2 3 4 3 2" xfId="39471"/>
    <cellStyle name="Comma 2 2 2 2 3 4 4" xfId="27166"/>
    <cellStyle name="Comma 2 2 2 2 3 5" xfId="10370"/>
    <cellStyle name="Comma 2 2 2 2 3 5 2" xfId="30253"/>
    <cellStyle name="Comma 2 2 2 2 3 6" xfId="16522"/>
    <cellStyle name="Comma 2 2 2 2 3 6 2" xfId="36405"/>
    <cellStyle name="Comma 2 2 2 2 3 7" xfId="24100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2 2" xfId="35623"/>
    <cellStyle name="Comma 2 2 2 2 4 2 2 2 3" xfId="21892"/>
    <cellStyle name="Comma 2 2 2 2 4 2 2 2 3 2" xfId="41775"/>
    <cellStyle name="Comma 2 2 2 2 4 2 2 2 4" xfId="29470"/>
    <cellStyle name="Comma 2 2 2 2 4 2 2 3" xfId="12674"/>
    <cellStyle name="Comma 2 2 2 2 4 2 2 3 2" xfId="32557"/>
    <cellStyle name="Comma 2 2 2 2 4 2 2 4" xfId="18826"/>
    <cellStyle name="Comma 2 2 2 2 4 2 2 4 2" xfId="38709"/>
    <cellStyle name="Comma 2 2 2 2 4 2 2 5" xfId="26404"/>
    <cellStyle name="Comma 2 2 2 2 4 2 3" xfId="8012"/>
    <cellStyle name="Comma 2 2 2 2 4 2 3 2" xfId="14206"/>
    <cellStyle name="Comma 2 2 2 2 4 2 3 2 2" xfId="34089"/>
    <cellStyle name="Comma 2 2 2 2 4 2 3 3" xfId="20358"/>
    <cellStyle name="Comma 2 2 2 2 4 2 3 3 2" xfId="40241"/>
    <cellStyle name="Comma 2 2 2 2 4 2 3 4" xfId="27936"/>
    <cellStyle name="Comma 2 2 2 2 4 2 4" xfId="11140"/>
    <cellStyle name="Comma 2 2 2 2 4 2 4 2" xfId="31023"/>
    <cellStyle name="Comma 2 2 2 2 4 2 5" xfId="17292"/>
    <cellStyle name="Comma 2 2 2 2 4 2 5 2" xfId="37175"/>
    <cellStyle name="Comma 2 2 2 2 4 2 6" xfId="24870"/>
    <cellStyle name="Comma 2 2 2 2 4 3" xfId="5675"/>
    <cellStyle name="Comma 2 2 2 2 4 3 2" xfId="8778"/>
    <cellStyle name="Comma 2 2 2 2 4 3 2 2" xfId="14971"/>
    <cellStyle name="Comma 2 2 2 2 4 3 2 2 2" xfId="34854"/>
    <cellStyle name="Comma 2 2 2 2 4 3 2 3" xfId="21123"/>
    <cellStyle name="Comma 2 2 2 2 4 3 2 3 2" xfId="41006"/>
    <cellStyle name="Comma 2 2 2 2 4 3 2 4" xfId="28701"/>
    <cellStyle name="Comma 2 2 2 2 4 3 3" xfId="11905"/>
    <cellStyle name="Comma 2 2 2 2 4 3 3 2" xfId="31788"/>
    <cellStyle name="Comma 2 2 2 2 4 3 4" xfId="18057"/>
    <cellStyle name="Comma 2 2 2 2 4 3 4 2" xfId="37940"/>
    <cellStyle name="Comma 2 2 2 2 4 3 5" xfId="25635"/>
    <cellStyle name="Comma 2 2 2 2 4 4" xfId="7243"/>
    <cellStyle name="Comma 2 2 2 2 4 4 2" xfId="13437"/>
    <cellStyle name="Comma 2 2 2 2 4 4 2 2" xfId="33320"/>
    <cellStyle name="Comma 2 2 2 2 4 4 3" xfId="19589"/>
    <cellStyle name="Comma 2 2 2 2 4 4 3 2" xfId="39472"/>
    <cellStyle name="Comma 2 2 2 2 4 4 4" xfId="27167"/>
    <cellStyle name="Comma 2 2 2 2 4 5" xfId="10371"/>
    <cellStyle name="Comma 2 2 2 2 4 5 2" xfId="30254"/>
    <cellStyle name="Comma 2 2 2 2 4 6" xfId="16523"/>
    <cellStyle name="Comma 2 2 2 2 4 6 2" xfId="36406"/>
    <cellStyle name="Comma 2 2 2 2 4 7" xfId="24101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2 2" xfId="35624"/>
    <cellStyle name="Comma 2 2 2 2 5 2 2 2 3" xfId="21893"/>
    <cellStyle name="Comma 2 2 2 2 5 2 2 2 3 2" xfId="41776"/>
    <cellStyle name="Comma 2 2 2 2 5 2 2 2 4" xfId="29471"/>
    <cellStyle name="Comma 2 2 2 2 5 2 2 3" xfId="12675"/>
    <cellStyle name="Comma 2 2 2 2 5 2 2 3 2" xfId="32558"/>
    <cellStyle name="Comma 2 2 2 2 5 2 2 4" xfId="18827"/>
    <cellStyle name="Comma 2 2 2 2 5 2 2 4 2" xfId="38710"/>
    <cellStyle name="Comma 2 2 2 2 5 2 2 5" xfId="26405"/>
    <cellStyle name="Comma 2 2 2 2 5 2 3" xfId="8013"/>
    <cellStyle name="Comma 2 2 2 2 5 2 3 2" xfId="14207"/>
    <cellStyle name="Comma 2 2 2 2 5 2 3 2 2" xfId="34090"/>
    <cellStyle name="Comma 2 2 2 2 5 2 3 3" xfId="20359"/>
    <cellStyle name="Comma 2 2 2 2 5 2 3 3 2" xfId="40242"/>
    <cellStyle name="Comma 2 2 2 2 5 2 3 4" xfId="27937"/>
    <cellStyle name="Comma 2 2 2 2 5 2 4" xfId="11141"/>
    <cellStyle name="Comma 2 2 2 2 5 2 4 2" xfId="31024"/>
    <cellStyle name="Comma 2 2 2 2 5 2 5" xfId="17293"/>
    <cellStyle name="Comma 2 2 2 2 5 2 5 2" xfId="37176"/>
    <cellStyle name="Comma 2 2 2 2 5 2 6" xfId="24871"/>
    <cellStyle name="Comma 2 2 2 2 5 3" xfId="5676"/>
    <cellStyle name="Comma 2 2 2 2 5 3 2" xfId="8779"/>
    <cellStyle name="Comma 2 2 2 2 5 3 2 2" xfId="14972"/>
    <cellStyle name="Comma 2 2 2 2 5 3 2 2 2" xfId="34855"/>
    <cellStyle name="Comma 2 2 2 2 5 3 2 3" xfId="21124"/>
    <cellStyle name="Comma 2 2 2 2 5 3 2 3 2" xfId="41007"/>
    <cellStyle name="Comma 2 2 2 2 5 3 2 4" xfId="28702"/>
    <cellStyle name="Comma 2 2 2 2 5 3 3" xfId="11906"/>
    <cellStyle name="Comma 2 2 2 2 5 3 3 2" xfId="31789"/>
    <cellStyle name="Comma 2 2 2 2 5 3 4" xfId="18058"/>
    <cellStyle name="Comma 2 2 2 2 5 3 4 2" xfId="37941"/>
    <cellStyle name="Comma 2 2 2 2 5 3 5" xfId="25636"/>
    <cellStyle name="Comma 2 2 2 2 5 4" xfId="7244"/>
    <cellStyle name="Comma 2 2 2 2 5 4 2" xfId="13438"/>
    <cellStyle name="Comma 2 2 2 2 5 4 2 2" xfId="33321"/>
    <cellStyle name="Comma 2 2 2 2 5 4 3" xfId="19590"/>
    <cellStyle name="Comma 2 2 2 2 5 4 3 2" xfId="39473"/>
    <cellStyle name="Comma 2 2 2 2 5 4 4" xfId="27168"/>
    <cellStyle name="Comma 2 2 2 2 5 5" xfId="10372"/>
    <cellStyle name="Comma 2 2 2 2 5 5 2" xfId="30255"/>
    <cellStyle name="Comma 2 2 2 2 5 6" xfId="16524"/>
    <cellStyle name="Comma 2 2 2 2 5 6 2" xfId="36407"/>
    <cellStyle name="Comma 2 2 2 2 5 7" xfId="24102"/>
    <cellStyle name="Comma 2 2 2 2 6" xfId="4833"/>
    <cellStyle name="Comma 2 2 2 2 6 2" xfId="6458"/>
    <cellStyle name="Comma 2 2 2 2 6 2 2" xfId="9544"/>
    <cellStyle name="Comma 2 2 2 2 6 2 2 2" xfId="15737"/>
    <cellStyle name="Comma 2 2 2 2 6 2 2 2 2" xfId="35620"/>
    <cellStyle name="Comma 2 2 2 2 6 2 2 3" xfId="21889"/>
    <cellStyle name="Comma 2 2 2 2 6 2 2 3 2" xfId="41772"/>
    <cellStyle name="Comma 2 2 2 2 6 2 2 4" xfId="29467"/>
    <cellStyle name="Comma 2 2 2 2 6 2 3" xfId="12671"/>
    <cellStyle name="Comma 2 2 2 2 6 2 3 2" xfId="32554"/>
    <cellStyle name="Comma 2 2 2 2 6 2 4" xfId="18823"/>
    <cellStyle name="Comma 2 2 2 2 6 2 4 2" xfId="38706"/>
    <cellStyle name="Comma 2 2 2 2 6 2 5" xfId="26401"/>
    <cellStyle name="Comma 2 2 2 2 6 3" xfId="8009"/>
    <cellStyle name="Comma 2 2 2 2 6 3 2" xfId="14203"/>
    <cellStyle name="Comma 2 2 2 2 6 3 2 2" xfId="34086"/>
    <cellStyle name="Comma 2 2 2 2 6 3 3" xfId="20355"/>
    <cellStyle name="Comma 2 2 2 2 6 3 3 2" xfId="40238"/>
    <cellStyle name="Comma 2 2 2 2 6 3 4" xfId="27933"/>
    <cellStyle name="Comma 2 2 2 2 6 4" xfId="11137"/>
    <cellStyle name="Comma 2 2 2 2 6 4 2" xfId="31020"/>
    <cellStyle name="Comma 2 2 2 2 6 5" xfId="17289"/>
    <cellStyle name="Comma 2 2 2 2 6 5 2" xfId="37172"/>
    <cellStyle name="Comma 2 2 2 2 6 6" xfId="24867"/>
    <cellStyle name="Comma 2 2 2 2 7" xfId="5672"/>
    <cellStyle name="Comma 2 2 2 2 7 2" xfId="8775"/>
    <cellStyle name="Comma 2 2 2 2 7 2 2" xfId="14968"/>
    <cellStyle name="Comma 2 2 2 2 7 2 2 2" xfId="34851"/>
    <cellStyle name="Comma 2 2 2 2 7 2 3" xfId="21120"/>
    <cellStyle name="Comma 2 2 2 2 7 2 3 2" xfId="41003"/>
    <cellStyle name="Comma 2 2 2 2 7 2 4" xfId="28698"/>
    <cellStyle name="Comma 2 2 2 2 7 3" xfId="11902"/>
    <cellStyle name="Comma 2 2 2 2 7 3 2" xfId="31785"/>
    <cellStyle name="Comma 2 2 2 2 7 4" xfId="18054"/>
    <cellStyle name="Comma 2 2 2 2 7 4 2" xfId="37937"/>
    <cellStyle name="Comma 2 2 2 2 7 5" xfId="25632"/>
    <cellStyle name="Comma 2 2 2 2 8" xfId="7240"/>
    <cellStyle name="Comma 2 2 2 2 8 2" xfId="13434"/>
    <cellStyle name="Comma 2 2 2 2 8 2 2" xfId="33317"/>
    <cellStyle name="Comma 2 2 2 2 8 3" xfId="19586"/>
    <cellStyle name="Comma 2 2 2 2 8 3 2" xfId="39469"/>
    <cellStyle name="Comma 2 2 2 2 8 4" xfId="27164"/>
    <cellStyle name="Comma 2 2 2 2 9" xfId="10368"/>
    <cellStyle name="Comma 2 2 2 2 9 2" xfId="30251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2 2" xfId="35625"/>
    <cellStyle name="Comma 2 2 2 3 2 2 2 3" xfId="21894"/>
    <cellStyle name="Comma 2 2 2 3 2 2 2 3 2" xfId="41777"/>
    <cellStyle name="Comma 2 2 2 3 2 2 2 4" xfId="29472"/>
    <cellStyle name="Comma 2 2 2 3 2 2 3" xfId="12676"/>
    <cellStyle name="Comma 2 2 2 3 2 2 3 2" xfId="32559"/>
    <cellStyle name="Comma 2 2 2 3 2 2 4" xfId="18828"/>
    <cellStyle name="Comma 2 2 2 3 2 2 4 2" xfId="38711"/>
    <cellStyle name="Comma 2 2 2 3 2 2 5" xfId="26406"/>
    <cellStyle name="Comma 2 2 2 3 2 3" xfId="8014"/>
    <cellStyle name="Comma 2 2 2 3 2 3 2" xfId="14208"/>
    <cellStyle name="Comma 2 2 2 3 2 3 2 2" xfId="34091"/>
    <cellStyle name="Comma 2 2 2 3 2 3 3" xfId="20360"/>
    <cellStyle name="Comma 2 2 2 3 2 3 3 2" xfId="40243"/>
    <cellStyle name="Comma 2 2 2 3 2 3 4" xfId="27938"/>
    <cellStyle name="Comma 2 2 2 3 2 4" xfId="11142"/>
    <cellStyle name="Comma 2 2 2 3 2 4 2" xfId="31025"/>
    <cellStyle name="Comma 2 2 2 3 2 5" xfId="17294"/>
    <cellStyle name="Comma 2 2 2 3 2 5 2" xfId="37177"/>
    <cellStyle name="Comma 2 2 2 3 2 6" xfId="24872"/>
    <cellStyle name="Comma 2 2 2 3 3" xfId="5677"/>
    <cellStyle name="Comma 2 2 2 3 3 2" xfId="8780"/>
    <cellStyle name="Comma 2 2 2 3 3 2 2" xfId="14973"/>
    <cellStyle name="Comma 2 2 2 3 3 2 2 2" xfId="34856"/>
    <cellStyle name="Comma 2 2 2 3 3 2 3" xfId="21125"/>
    <cellStyle name="Comma 2 2 2 3 3 2 3 2" xfId="41008"/>
    <cellStyle name="Comma 2 2 2 3 3 2 4" xfId="28703"/>
    <cellStyle name="Comma 2 2 2 3 3 3" xfId="11907"/>
    <cellStyle name="Comma 2 2 2 3 3 3 2" xfId="31790"/>
    <cellStyle name="Comma 2 2 2 3 3 4" xfId="18059"/>
    <cellStyle name="Comma 2 2 2 3 3 4 2" xfId="37942"/>
    <cellStyle name="Comma 2 2 2 3 3 5" xfId="25637"/>
    <cellStyle name="Comma 2 2 2 3 4" xfId="7245"/>
    <cellStyle name="Comma 2 2 2 3 4 2" xfId="13439"/>
    <cellStyle name="Comma 2 2 2 3 4 2 2" xfId="33322"/>
    <cellStyle name="Comma 2 2 2 3 4 3" xfId="19591"/>
    <cellStyle name="Comma 2 2 2 3 4 3 2" xfId="39474"/>
    <cellStyle name="Comma 2 2 2 3 4 4" xfId="27169"/>
    <cellStyle name="Comma 2 2 2 3 5" xfId="10373"/>
    <cellStyle name="Comma 2 2 2 3 5 2" xfId="30256"/>
    <cellStyle name="Comma 2 2 2 3 6" xfId="16525"/>
    <cellStyle name="Comma 2 2 2 3 6 2" xfId="36408"/>
    <cellStyle name="Comma 2 2 2 3 7" xfId="24103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2 2" xfId="35626"/>
    <cellStyle name="Comma 2 2 2 4 2 2 2 3" xfId="21895"/>
    <cellStyle name="Comma 2 2 2 4 2 2 2 3 2" xfId="41778"/>
    <cellStyle name="Comma 2 2 2 4 2 2 2 4" xfId="29473"/>
    <cellStyle name="Comma 2 2 2 4 2 2 3" xfId="12677"/>
    <cellStyle name="Comma 2 2 2 4 2 2 3 2" xfId="32560"/>
    <cellStyle name="Comma 2 2 2 4 2 2 4" xfId="18829"/>
    <cellStyle name="Comma 2 2 2 4 2 2 4 2" xfId="38712"/>
    <cellStyle name="Comma 2 2 2 4 2 2 5" xfId="26407"/>
    <cellStyle name="Comma 2 2 2 4 2 3" xfId="8015"/>
    <cellStyle name="Comma 2 2 2 4 2 3 2" xfId="14209"/>
    <cellStyle name="Comma 2 2 2 4 2 3 2 2" xfId="34092"/>
    <cellStyle name="Comma 2 2 2 4 2 3 3" xfId="20361"/>
    <cellStyle name="Comma 2 2 2 4 2 3 3 2" xfId="40244"/>
    <cellStyle name="Comma 2 2 2 4 2 3 4" xfId="27939"/>
    <cellStyle name="Comma 2 2 2 4 2 4" xfId="11143"/>
    <cellStyle name="Comma 2 2 2 4 2 4 2" xfId="31026"/>
    <cellStyle name="Comma 2 2 2 4 2 5" xfId="17295"/>
    <cellStyle name="Comma 2 2 2 4 2 5 2" xfId="37178"/>
    <cellStyle name="Comma 2 2 2 4 2 6" xfId="24873"/>
    <cellStyle name="Comma 2 2 2 4 3" xfId="5678"/>
    <cellStyle name="Comma 2 2 2 4 3 2" xfId="8781"/>
    <cellStyle name="Comma 2 2 2 4 3 2 2" xfId="14974"/>
    <cellStyle name="Comma 2 2 2 4 3 2 2 2" xfId="34857"/>
    <cellStyle name="Comma 2 2 2 4 3 2 3" xfId="21126"/>
    <cellStyle name="Comma 2 2 2 4 3 2 3 2" xfId="41009"/>
    <cellStyle name="Comma 2 2 2 4 3 2 4" xfId="28704"/>
    <cellStyle name="Comma 2 2 2 4 3 3" xfId="11908"/>
    <cellStyle name="Comma 2 2 2 4 3 3 2" xfId="31791"/>
    <cellStyle name="Comma 2 2 2 4 3 4" xfId="18060"/>
    <cellStyle name="Comma 2 2 2 4 3 4 2" xfId="37943"/>
    <cellStyle name="Comma 2 2 2 4 3 5" xfId="25638"/>
    <cellStyle name="Comma 2 2 2 4 4" xfId="7246"/>
    <cellStyle name="Comma 2 2 2 4 4 2" xfId="13440"/>
    <cellStyle name="Comma 2 2 2 4 4 2 2" xfId="33323"/>
    <cellStyle name="Comma 2 2 2 4 4 3" xfId="19592"/>
    <cellStyle name="Comma 2 2 2 4 4 3 2" xfId="39475"/>
    <cellStyle name="Comma 2 2 2 4 4 4" xfId="27170"/>
    <cellStyle name="Comma 2 2 2 4 5" xfId="10374"/>
    <cellStyle name="Comma 2 2 2 4 5 2" xfId="30257"/>
    <cellStyle name="Comma 2 2 2 4 6" xfId="16526"/>
    <cellStyle name="Comma 2 2 2 4 6 2" xfId="36409"/>
    <cellStyle name="Comma 2 2 2 4 7" xfId="24104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2 2" xfId="35627"/>
    <cellStyle name="Comma 2 2 2 5 2 2 2 3" xfId="21896"/>
    <cellStyle name="Comma 2 2 2 5 2 2 2 3 2" xfId="41779"/>
    <cellStyle name="Comma 2 2 2 5 2 2 2 4" xfId="29474"/>
    <cellStyle name="Comma 2 2 2 5 2 2 3" xfId="12678"/>
    <cellStyle name="Comma 2 2 2 5 2 2 3 2" xfId="32561"/>
    <cellStyle name="Comma 2 2 2 5 2 2 4" xfId="18830"/>
    <cellStyle name="Comma 2 2 2 5 2 2 4 2" xfId="38713"/>
    <cellStyle name="Comma 2 2 2 5 2 2 5" xfId="26408"/>
    <cellStyle name="Comma 2 2 2 5 2 3" xfId="8016"/>
    <cellStyle name="Comma 2 2 2 5 2 3 2" xfId="14210"/>
    <cellStyle name="Comma 2 2 2 5 2 3 2 2" xfId="34093"/>
    <cellStyle name="Comma 2 2 2 5 2 3 3" xfId="20362"/>
    <cellStyle name="Comma 2 2 2 5 2 3 3 2" xfId="40245"/>
    <cellStyle name="Comma 2 2 2 5 2 3 4" xfId="27940"/>
    <cellStyle name="Comma 2 2 2 5 2 4" xfId="11144"/>
    <cellStyle name="Comma 2 2 2 5 2 4 2" xfId="31027"/>
    <cellStyle name="Comma 2 2 2 5 2 5" xfId="17296"/>
    <cellStyle name="Comma 2 2 2 5 2 5 2" xfId="37179"/>
    <cellStyle name="Comma 2 2 2 5 2 6" xfId="24874"/>
    <cellStyle name="Comma 2 2 2 5 3" xfId="5679"/>
    <cellStyle name="Comma 2 2 2 5 3 2" xfId="8782"/>
    <cellStyle name="Comma 2 2 2 5 3 2 2" xfId="14975"/>
    <cellStyle name="Comma 2 2 2 5 3 2 2 2" xfId="34858"/>
    <cellStyle name="Comma 2 2 2 5 3 2 3" xfId="21127"/>
    <cellStyle name="Comma 2 2 2 5 3 2 3 2" xfId="41010"/>
    <cellStyle name="Comma 2 2 2 5 3 2 4" xfId="28705"/>
    <cellStyle name="Comma 2 2 2 5 3 3" xfId="11909"/>
    <cellStyle name="Comma 2 2 2 5 3 3 2" xfId="31792"/>
    <cellStyle name="Comma 2 2 2 5 3 4" xfId="18061"/>
    <cellStyle name="Comma 2 2 2 5 3 4 2" xfId="37944"/>
    <cellStyle name="Comma 2 2 2 5 3 5" xfId="25639"/>
    <cellStyle name="Comma 2 2 2 5 4" xfId="7247"/>
    <cellStyle name="Comma 2 2 2 5 4 2" xfId="13441"/>
    <cellStyle name="Comma 2 2 2 5 4 2 2" xfId="33324"/>
    <cellStyle name="Comma 2 2 2 5 4 3" xfId="19593"/>
    <cellStyle name="Comma 2 2 2 5 4 3 2" xfId="39476"/>
    <cellStyle name="Comma 2 2 2 5 4 4" xfId="27171"/>
    <cellStyle name="Comma 2 2 2 5 5" xfId="10375"/>
    <cellStyle name="Comma 2 2 2 5 5 2" xfId="30258"/>
    <cellStyle name="Comma 2 2 2 5 6" xfId="16527"/>
    <cellStyle name="Comma 2 2 2 5 6 2" xfId="36410"/>
    <cellStyle name="Comma 2 2 2 5 7" xfId="24105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2 2" xfId="35628"/>
    <cellStyle name="Comma 2 2 2 6 2 2 2 3" xfId="21897"/>
    <cellStyle name="Comma 2 2 2 6 2 2 2 3 2" xfId="41780"/>
    <cellStyle name="Comma 2 2 2 6 2 2 2 4" xfId="29475"/>
    <cellStyle name="Comma 2 2 2 6 2 2 3" xfId="12679"/>
    <cellStyle name="Comma 2 2 2 6 2 2 3 2" xfId="32562"/>
    <cellStyle name="Comma 2 2 2 6 2 2 4" xfId="18831"/>
    <cellStyle name="Comma 2 2 2 6 2 2 4 2" xfId="38714"/>
    <cellStyle name="Comma 2 2 2 6 2 2 5" xfId="26409"/>
    <cellStyle name="Comma 2 2 2 6 2 3" xfId="8017"/>
    <cellStyle name="Comma 2 2 2 6 2 3 2" xfId="14211"/>
    <cellStyle name="Comma 2 2 2 6 2 3 2 2" xfId="34094"/>
    <cellStyle name="Comma 2 2 2 6 2 3 3" xfId="20363"/>
    <cellStyle name="Comma 2 2 2 6 2 3 3 2" xfId="40246"/>
    <cellStyle name="Comma 2 2 2 6 2 3 4" xfId="27941"/>
    <cellStyle name="Comma 2 2 2 6 2 4" xfId="11145"/>
    <cellStyle name="Comma 2 2 2 6 2 4 2" xfId="31028"/>
    <cellStyle name="Comma 2 2 2 6 2 5" xfId="17297"/>
    <cellStyle name="Comma 2 2 2 6 2 5 2" xfId="37180"/>
    <cellStyle name="Comma 2 2 2 6 2 6" xfId="24875"/>
    <cellStyle name="Comma 2 2 2 6 3" xfId="5680"/>
    <cellStyle name="Comma 2 2 2 6 3 2" xfId="8783"/>
    <cellStyle name="Comma 2 2 2 6 3 2 2" xfId="14976"/>
    <cellStyle name="Comma 2 2 2 6 3 2 2 2" xfId="34859"/>
    <cellStyle name="Comma 2 2 2 6 3 2 3" xfId="21128"/>
    <cellStyle name="Comma 2 2 2 6 3 2 3 2" xfId="41011"/>
    <cellStyle name="Comma 2 2 2 6 3 2 4" xfId="28706"/>
    <cellStyle name="Comma 2 2 2 6 3 3" xfId="11910"/>
    <cellStyle name="Comma 2 2 2 6 3 3 2" xfId="31793"/>
    <cellStyle name="Comma 2 2 2 6 3 4" xfId="18062"/>
    <cellStyle name="Comma 2 2 2 6 3 4 2" xfId="37945"/>
    <cellStyle name="Comma 2 2 2 6 3 5" xfId="25640"/>
    <cellStyle name="Comma 2 2 2 6 4" xfId="7248"/>
    <cellStyle name="Comma 2 2 2 6 4 2" xfId="13442"/>
    <cellStyle name="Comma 2 2 2 6 4 2 2" xfId="33325"/>
    <cellStyle name="Comma 2 2 2 6 4 3" xfId="19594"/>
    <cellStyle name="Comma 2 2 2 6 4 3 2" xfId="39477"/>
    <cellStyle name="Comma 2 2 2 6 4 4" xfId="27172"/>
    <cellStyle name="Comma 2 2 2 6 5" xfId="10376"/>
    <cellStyle name="Comma 2 2 2 6 5 2" xfId="30259"/>
    <cellStyle name="Comma 2 2 2 6 6" xfId="16528"/>
    <cellStyle name="Comma 2 2 2 6 6 2" xfId="36411"/>
    <cellStyle name="Comma 2 2 2 6 7" xfId="24106"/>
    <cellStyle name="Comma 2 2 2 7" xfId="1628"/>
    <cellStyle name="Comma 2 2 2 8" xfId="1629"/>
    <cellStyle name="Comma 2 2 2 9" xfId="23133"/>
    <cellStyle name="Comma 2 2 2 9 2" xfId="42993"/>
    <cellStyle name="Comma 2 2 3" xfId="1630"/>
    <cellStyle name="Comma 2 2 3 10" xfId="16529"/>
    <cellStyle name="Comma 2 2 3 10 2" xfId="36412"/>
    <cellStyle name="Comma 2 2 3 11" xfId="23134"/>
    <cellStyle name="Comma 2 2 3 11 2" xfId="42994"/>
    <cellStyle name="Comma 2 2 3 12" xfId="24107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2 2" xfId="35630"/>
    <cellStyle name="Comma 2 2 3 2 2 2 2 2 3" xfId="21899"/>
    <cellStyle name="Comma 2 2 3 2 2 2 2 2 3 2" xfId="41782"/>
    <cellStyle name="Comma 2 2 3 2 2 2 2 2 4" xfId="29477"/>
    <cellStyle name="Comma 2 2 3 2 2 2 2 3" xfId="12681"/>
    <cellStyle name="Comma 2 2 3 2 2 2 2 3 2" xfId="32564"/>
    <cellStyle name="Comma 2 2 3 2 2 2 2 4" xfId="18833"/>
    <cellStyle name="Comma 2 2 3 2 2 2 2 4 2" xfId="38716"/>
    <cellStyle name="Comma 2 2 3 2 2 2 2 5" xfId="26411"/>
    <cellStyle name="Comma 2 2 3 2 2 2 3" xfId="8019"/>
    <cellStyle name="Comma 2 2 3 2 2 2 3 2" xfId="14213"/>
    <cellStyle name="Comma 2 2 3 2 2 2 3 2 2" xfId="34096"/>
    <cellStyle name="Comma 2 2 3 2 2 2 3 3" xfId="20365"/>
    <cellStyle name="Comma 2 2 3 2 2 2 3 3 2" xfId="40248"/>
    <cellStyle name="Comma 2 2 3 2 2 2 3 4" xfId="27943"/>
    <cellStyle name="Comma 2 2 3 2 2 2 4" xfId="11147"/>
    <cellStyle name="Comma 2 2 3 2 2 2 4 2" xfId="31030"/>
    <cellStyle name="Comma 2 2 3 2 2 2 5" xfId="17299"/>
    <cellStyle name="Comma 2 2 3 2 2 2 5 2" xfId="37182"/>
    <cellStyle name="Comma 2 2 3 2 2 2 6" xfId="24877"/>
    <cellStyle name="Comma 2 2 3 2 2 3" xfId="5682"/>
    <cellStyle name="Comma 2 2 3 2 2 3 2" xfId="8785"/>
    <cellStyle name="Comma 2 2 3 2 2 3 2 2" xfId="14978"/>
    <cellStyle name="Comma 2 2 3 2 2 3 2 2 2" xfId="34861"/>
    <cellStyle name="Comma 2 2 3 2 2 3 2 3" xfId="21130"/>
    <cellStyle name="Comma 2 2 3 2 2 3 2 3 2" xfId="41013"/>
    <cellStyle name="Comma 2 2 3 2 2 3 2 4" xfId="28708"/>
    <cellStyle name="Comma 2 2 3 2 2 3 3" xfId="11912"/>
    <cellStyle name="Comma 2 2 3 2 2 3 3 2" xfId="31795"/>
    <cellStyle name="Comma 2 2 3 2 2 3 4" xfId="18064"/>
    <cellStyle name="Comma 2 2 3 2 2 3 4 2" xfId="37947"/>
    <cellStyle name="Comma 2 2 3 2 2 3 5" xfId="25642"/>
    <cellStyle name="Comma 2 2 3 2 2 4" xfId="7250"/>
    <cellStyle name="Comma 2 2 3 2 2 4 2" xfId="13444"/>
    <cellStyle name="Comma 2 2 3 2 2 4 2 2" xfId="33327"/>
    <cellStyle name="Comma 2 2 3 2 2 4 3" xfId="19596"/>
    <cellStyle name="Comma 2 2 3 2 2 4 3 2" xfId="39479"/>
    <cellStyle name="Comma 2 2 3 2 2 4 4" xfId="27174"/>
    <cellStyle name="Comma 2 2 3 2 2 5" xfId="10378"/>
    <cellStyle name="Comma 2 2 3 2 2 5 2" xfId="30261"/>
    <cellStyle name="Comma 2 2 3 2 2 6" xfId="16530"/>
    <cellStyle name="Comma 2 2 3 2 2 6 2" xfId="36413"/>
    <cellStyle name="Comma 2 2 3 2 2 7" xfId="24108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2 2" xfId="35631"/>
    <cellStyle name="Comma 2 2 3 2 3 2 2 2 3" xfId="21900"/>
    <cellStyle name="Comma 2 2 3 2 3 2 2 2 3 2" xfId="41783"/>
    <cellStyle name="Comma 2 2 3 2 3 2 2 2 4" xfId="29478"/>
    <cellStyle name="Comma 2 2 3 2 3 2 2 3" xfId="12682"/>
    <cellStyle name="Comma 2 2 3 2 3 2 2 3 2" xfId="32565"/>
    <cellStyle name="Comma 2 2 3 2 3 2 2 4" xfId="18834"/>
    <cellStyle name="Comma 2 2 3 2 3 2 2 4 2" xfId="38717"/>
    <cellStyle name="Comma 2 2 3 2 3 2 2 5" xfId="26412"/>
    <cellStyle name="Comma 2 2 3 2 3 2 3" xfId="8020"/>
    <cellStyle name="Comma 2 2 3 2 3 2 3 2" xfId="14214"/>
    <cellStyle name="Comma 2 2 3 2 3 2 3 2 2" xfId="34097"/>
    <cellStyle name="Comma 2 2 3 2 3 2 3 3" xfId="20366"/>
    <cellStyle name="Comma 2 2 3 2 3 2 3 3 2" xfId="40249"/>
    <cellStyle name="Comma 2 2 3 2 3 2 3 4" xfId="27944"/>
    <cellStyle name="Comma 2 2 3 2 3 2 4" xfId="11148"/>
    <cellStyle name="Comma 2 2 3 2 3 2 4 2" xfId="31031"/>
    <cellStyle name="Comma 2 2 3 2 3 2 5" xfId="17300"/>
    <cellStyle name="Comma 2 2 3 2 3 2 5 2" xfId="37183"/>
    <cellStyle name="Comma 2 2 3 2 3 2 6" xfId="24878"/>
    <cellStyle name="Comma 2 2 3 2 3 3" xfId="5683"/>
    <cellStyle name="Comma 2 2 3 2 3 3 2" xfId="8786"/>
    <cellStyle name="Comma 2 2 3 2 3 3 2 2" xfId="14979"/>
    <cellStyle name="Comma 2 2 3 2 3 3 2 2 2" xfId="34862"/>
    <cellStyle name="Comma 2 2 3 2 3 3 2 3" xfId="21131"/>
    <cellStyle name="Comma 2 2 3 2 3 3 2 3 2" xfId="41014"/>
    <cellStyle name="Comma 2 2 3 2 3 3 2 4" xfId="28709"/>
    <cellStyle name="Comma 2 2 3 2 3 3 3" xfId="11913"/>
    <cellStyle name="Comma 2 2 3 2 3 3 3 2" xfId="31796"/>
    <cellStyle name="Comma 2 2 3 2 3 3 4" xfId="18065"/>
    <cellStyle name="Comma 2 2 3 2 3 3 4 2" xfId="37948"/>
    <cellStyle name="Comma 2 2 3 2 3 3 5" xfId="25643"/>
    <cellStyle name="Comma 2 2 3 2 3 4" xfId="7251"/>
    <cellStyle name="Comma 2 2 3 2 3 4 2" xfId="13445"/>
    <cellStyle name="Comma 2 2 3 2 3 4 2 2" xfId="33328"/>
    <cellStyle name="Comma 2 2 3 2 3 4 3" xfId="19597"/>
    <cellStyle name="Comma 2 2 3 2 3 4 3 2" xfId="39480"/>
    <cellStyle name="Comma 2 2 3 2 3 4 4" xfId="27175"/>
    <cellStyle name="Comma 2 2 3 2 3 5" xfId="10379"/>
    <cellStyle name="Comma 2 2 3 2 3 5 2" xfId="30262"/>
    <cellStyle name="Comma 2 2 3 2 3 6" xfId="16531"/>
    <cellStyle name="Comma 2 2 3 2 3 6 2" xfId="36414"/>
    <cellStyle name="Comma 2 2 3 2 3 7" xfId="24109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2 2" xfId="35632"/>
    <cellStyle name="Comma 2 2 3 2 4 2 2 2 3" xfId="21901"/>
    <cellStyle name="Comma 2 2 3 2 4 2 2 2 3 2" xfId="41784"/>
    <cellStyle name="Comma 2 2 3 2 4 2 2 2 4" xfId="29479"/>
    <cellStyle name="Comma 2 2 3 2 4 2 2 3" xfId="12683"/>
    <cellStyle name="Comma 2 2 3 2 4 2 2 3 2" xfId="32566"/>
    <cellStyle name="Comma 2 2 3 2 4 2 2 4" xfId="18835"/>
    <cellStyle name="Comma 2 2 3 2 4 2 2 4 2" xfId="38718"/>
    <cellStyle name="Comma 2 2 3 2 4 2 2 5" xfId="26413"/>
    <cellStyle name="Comma 2 2 3 2 4 2 3" xfId="8021"/>
    <cellStyle name="Comma 2 2 3 2 4 2 3 2" xfId="14215"/>
    <cellStyle name="Comma 2 2 3 2 4 2 3 2 2" xfId="34098"/>
    <cellStyle name="Comma 2 2 3 2 4 2 3 3" xfId="20367"/>
    <cellStyle name="Comma 2 2 3 2 4 2 3 3 2" xfId="40250"/>
    <cellStyle name="Comma 2 2 3 2 4 2 3 4" xfId="27945"/>
    <cellStyle name="Comma 2 2 3 2 4 2 4" xfId="11149"/>
    <cellStyle name="Comma 2 2 3 2 4 2 4 2" xfId="31032"/>
    <cellStyle name="Comma 2 2 3 2 4 2 5" xfId="17301"/>
    <cellStyle name="Comma 2 2 3 2 4 2 5 2" xfId="37184"/>
    <cellStyle name="Comma 2 2 3 2 4 2 6" xfId="24879"/>
    <cellStyle name="Comma 2 2 3 2 4 3" xfId="5684"/>
    <cellStyle name="Comma 2 2 3 2 4 3 2" xfId="8787"/>
    <cellStyle name="Comma 2 2 3 2 4 3 2 2" xfId="14980"/>
    <cellStyle name="Comma 2 2 3 2 4 3 2 2 2" xfId="34863"/>
    <cellStyle name="Comma 2 2 3 2 4 3 2 3" xfId="21132"/>
    <cellStyle name="Comma 2 2 3 2 4 3 2 3 2" xfId="41015"/>
    <cellStyle name="Comma 2 2 3 2 4 3 2 4" xfId="28710"/>
    <cellStyle name="Comma 2 2 3 2 4 3 3" xfId="11914"/>
    <cellStyle name="Comma 2 2 3 2 4 3 3 2" xfId="31797"/>
    <cellStyle name="Comma 2 2 3 2 4 3 4" xfId="18066"/>
    <cellStyle name="Comma 2 2 3 2 4 3 4 2" xfId="37949"/>
    <cellStyle name="Comma 2 2 3 2 4 3 5" xfId="25644"/>
    <cellStyle name="Comma 2 2 3 2 4 4" xfId="7252"/>
    <cellStyle name="Comma 2 2 3 2 4 4 2" xfId="13446"/>
    <cellStyle name="Comma 2 2 3 2 4 4 2 2" xfId="33329"/>
    <cellStyle name="Comma 2 2 3 2 4 4 3" xfId="19598"/>
    <cellStyle name="Comma 2 2 3 2 4 4 3 2" xfId="39481"/>
    <cellStyle name="Comma 2 2 3 2 4 4 4" xfId="27176"/>
    <cellStyle name="Comma 2 2 3 2 4 5" xfId="10380"/>
    <cellStyle name="Comma 2 2 3 2 4 5 2" xfId="30263"/>
    <cellStyle name="Comma 2 2 3 2 4 6" xfId="16532"/>
    <cellStyle name="Comma 2 2 3 2 4 6 2" xfId="36415"/>
    <cellStyle name="Comma 2 2 3 2 4 7" xfId="24110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2 2" xfId="35633"/>
    <cellStyle name="Comma 2 2 3 2 5 2 2 2 3" xfId="21902"/>
    <cellStyle name="Comma 2 2 3 2 5 2 2 2 3 2" xfId="41785"/>
    <cellStyle name="Comma 2 2 3 2 5 2 2 2 4" xfId="29480"/>
    <cellStyle name="Comma 2 2 3 2 5 2 2 3" xfId="12684"/>
    <cellStyle name="Comma 2 2 3 2 5 2 2 3 2" xfId="32567"/>
    <cellStyle name="Comma 2 2 3 2 5 2 2 4" xfId="18836"/>
    <cellStyle name="Comma 2 2 3 2 5 2 2 4 2" xfId="38719"/>
    <cellStyle name="Comma 2 2 3 2 5 2 2 5" xfId="26414"/>
    <cellStyle name="Comma 2 2 3 2 5 2 3" xfId="8022"/>
    <cellStyle name="Comma 2 2 3 2 5 2 3 2" xfId="14216"/>
    <cellStyle name="Comma 2 2 3 2 5 2 3 2 2" xfId="34099"/>
    <cellStyle name="Comma 2 2 3 2 5 2 3 3" xfId="20368"/>
    <cellStyle name="Comma 2 2 3 2 5 2 3 3 2" xfId="40251"/>
    <cellStyle name="Comma 2 2 3 2 5 2 3 4" xfId="27946"/>
    <cellStyle name="Comma 2 2 3 2 5 2 4" xfId="11150"/>
    <cellStyle name="Comma 2 2 3 2 5 2 4 2" xfId="31033"/>
    <cellStyle name="Comma 2 2 3 2 5 2 5" xfId="17302"/>
    <cellStyle name="Comma 2 2 3 2 5 2 5 2" xfId="37185"/>
    <cellStyle name="Comma 2 2 3 2 5 2 6" xfId="24880"/>
    <cellStyle name="Comma 2 2 3 2 5 3" xfId="5685"/>
    <cellStyle name="Comma 2 2 3 2 5 3 2" xfId="8788"/>
    <cellStyle name="Comma 2 2 3 2 5 3 2 2" xfId="14981"/>
    <cellStyle name="Comma 2 2 3 2 5 3 2 2 2" xfId="34864"/>
    <cellStyle name="Comma 2 2 3 2 5 3 2 3" xfId="21133"/>
    <cellStyle name="Comma 2 2 3 2 5 3 2 3 2" xfId="41016"/>
    <cellStyle name="Comma 2 2 3 2 5 3 2 4" xfId="28711"/>
    <cellStyle name="Comma 2 2 3 2 5 3 3" xfId="11915"/>
    <cellStyle name="Comma 2 2 3 2 5 3 3 2" xfId="31798"/>
    <cellStyle name="Comma 2 2 3 2 5 3 4" xfId="18067"/>
    <cellStyle name="Comma 2 2 3 2 5 3 4 2" xfId="37950"/>
    <cellStyle name="Comma 2 2 3 2 5 3 5" xfId="25645"/>
    <cellStyle name="Comma 2 2 3 2 5 4" xfId="7253"/>
    <cellStyle name="Comma 2 2 3 2 5 4 2" xfId="13447"/>
    <cellStyle name="Comma 2 2 3 2 5 4 2 2" xfId="33330"/>
    <cellStyle name="Comma 2 2 3 2 5 4 3" xfId="19599"/>
    <cellStyle name="Comma 2 2 3 2 5 4 3 2" xfId="39482"/>
    <cellStyle name="Comma 2 2 3 2 5 4 4" xfId="27177"/>
    <cellStyle name="Comma 2 2 3 2 5 5" xfId="10381"/>
    <cellStyle name="Comma 2 2 3 2 5 5 2" xfId="30264"/>
    <cellStyle name="Comma 2 2 3 2 5 6" xfId="16533"/>
    <cellStyle name="Comma 2 2 3 2 5 6 2" xfId="36416"/>
    <cellStyle name="Comma 2 2 3 2 5 7" xfId="24111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2 2" xfId="35634"/>
    <cellStyle name="Comma 2 2 3 3 2 2 2 3" xfId="21903"/>
    <cellStyle name="Comma 2 2 3 3 2 2 2 3 2" xfId="41786"/>
    <cellStyle name="Comma 2 2 3 3 2 2 2 4" xfId="29481"/>
    <cellStyle name="Comma 2 2 3 3 2 2 3" xfId="12685"/>
    <cellStyle name="Comma 2 2 3 3 2 2 3 2" xfId="32568"/>
    <cellStyle name="Comma 2 2 3 3 2 2 4" xfId="18837"/>
    <cellStyle name="Comma 2 2 3 3 2 2 4 2" xfId="38720"/>
    <cellStyle name="Comma 2 2 3 3 2 2 5" xfId="26415"/>
    <cellStyle name="Comma 2 2 3 3 2 3" xfId="8023"/>
    <cellStyle name="Comma 2 2 3 3 2 3 2" xfId="14217"/>
    <cellStyle name="Comma 2 2 3 3 2 3 2 2" xfId="34100"/>
    <cellStyle name="Comma 2 2 3 3 2 3 3" xfId="20369"/>
    <cellStyle name="Comma 2 2 3 3 2 3 3 2" xfId="40252"/>
    <cellStyle name="Comma 2 2 3 3 2 3 4" xfId="27947"/>
    <cellStyle name="Comma 2 2 3 3 2 4" xfId="11151"/>
    <cellStyle name="Comma 2 2 3 3 2 4 2" xfId="31034"/>
    <cellStyle name="Comma 2 2 3 3 2 5" xfId="17303"/>
    <cellStyle name="Comma 2 2 3 3 2 5 2" xfId="37186"/>
    <cellStyle name="Comma 2 2 3 3 2 6" xfId="24881"/>
    <cellStyle name="Comma 2 2 3 3 3" xfId="5686"/>
    <cellStyle name="Comma 2 2 3 3 3 2" xfId="8789"/>
    <cellStyle name="Comma 2 2 3 3 3 2 2" xfId="14982"/>
    <cellStyle name="Comma 2 2 3 3 3 2 2 2" xfId="34865"/>
    <cellStyle name="Comma 2 2 3 3 3 2 3" xfId="21134"/>
    <cellStyle name="Comma 2 2 3 3 3 2 3 2" xfId="41017"/>
    <cellStyle name="Comma 2 2 3 3 3 2 4" xfId="28712"/>
    <cellStyle name="Comma 2 2 3 3 3 3" xfId="11916"/>
    <cellStyle name="Comma 2 2 3 3 3 3 2" xfId="31799"/>
    <cellStyle name="Comma 2 2 3 3 3 4" xfId="18068"/>
    <cellStyle name="Comma 2 2 3 3 3 4 2" xfId="37951"/>
    <cellStyle name="Comma 2 2 3 3 3 5" xfId="25646"/>
    <cellStyle name="Comma 2 2 3 3 4" xfId="7254"/>
    <cellStyle name="Comma 2 2 3 3 4 2" xfId="13448"/>
    <cellStyle name="Comma 2 2 3 3 4 2 2" xfId="33331"/>
    <cellStyle name="Comma 2 2 3 3 4 3" xfId="19600"/>
    <cellStyle name="Comma 2 2 3 3 4 3 2" xfId="39483"/>
    <cellStyle name="Comma 2 2 3 3 4 4" xfId="27178"/>
    <cellStyle name="Comma 2 2 3 3 5" xfId="10382"/>
    <cellStyle name="Comma 2 2 3 3 5 2" xfId="30265"/>
    <cellStyle name="Comma 2 2 3 3 6" xfId="16534"/>
    <cellStyle name="Comma 2 2 3 3 6 2" xfId="36417"/>
    <cellStyle name="Comma 2 2 3 3 7" xfId="24112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2 2" xfId="35629"/>
    <cellStyle name="Comma 2 2 3 6 2 2 3" xfId="21898"/>
    <cellStyle name="Comma 2 2 3 6 2 2 3 2" xfId="41781"/>
    <cellStyle name="Comma 2 2 3 6 2 2 4" xfId="29476"/>
    <cellStyle name="Comma 2 2 3 6 2 3" xfId="12680"/>
    <cellStyle name="Comma 2 2 3 6 2 3 2" xfId="32563"/>
    <cellStyle name="Comma 2 2 3 6 2 4" xfId="18832"/>
    <cellStyle name="Comma 2 2 3 6 2 4 2" xfId="38715"/>
    <cellStyle name="Comma 2 2 3 6 2 5" xfId="26410"/>
    <cellStyle name="Comma 2 2 3 6 3" xfId="8018"/>
    <cellStyle name="Comma 2 2 3 6 3 2" xfId="14212"/>
    <cellStyle name="Comma 2 2 3 6 3 2 2" xfId="34095"/>
    <cellStyle name="Comma 2 2 3 6 3 3" xfId="20364"/>
    <cellStyle name="Comma 2 2 3 6 3 3 2" xfId="40247"/>
    <cellStyle name="Comma 2 2 3 6 3 4" xfId="27942"/>
    <cellStyle name="Comma 2 2 3 6 4" xfId="11146"/>
    <cellStyle name="Comma 2 2 3 6 4 2" xfId="31029"/>
    <cellStyle name="Comma 2 2 3 6 5" xfId="17298"/>
    <cellStyle name="Comma 2 2 3 6 5 2" xfId="37181"/>
    <cellStyle name="Comma 2 2 3 6 6" xfId="24876"/>
    <cellStyle name="Comma 2 2 3 7" xfId="5681"/>
    <cellStyle name="Comma 2 2 3 7 2" xfId="8784"/>
    <cellStyle name="Comma 2 2 3 7 2 2" xfId="14977"/>
    <cellStyle name="Comma 2 2 3 7 2 2 2" xfId="34860"/>
    <cellStyle name="Comma 2 2 3 7 2 3" xfId="21129"/>
    <cellStyle name="Comma 2 2 3 7 2 3 2" xfId="41012"/>
    <cellStyle name="Comma 2 2 3 7 2 4" xfId="28707"/>
    <cellStyle name="Comma 2 2 3 7 3" xfId="11911"/>
    <cellStyle name="Comma 2 2 3 7 3 2" xfId="31794"/>
    <cellStyle name="Comma 2 2 3 7 4" xfId="18063"/>
    <cellStyle name="Comma 2 2 3 7 4 2" xfId="37946"/>
    <cellStyle name="Comma 2 2 3 7 5" xfId="25641"/>
    <cellStyle name="Comma 2 2 3 8" xfId="7249"/>
    <cellStyle name="Comma 2 2 3 8 2" xfId="13443"/>
    <cellStyle name="Comma 2 2 3 8 2 2" xfId="33326"/>
    <cellStyle name="Comma 2 2 3 8 3" xfId="19595"/>
    <cellStyle name="Comma 2 2 3 8 3 2" xfId="39478"/>
    <cellStyle name="Comma 2 2 3 8 4" xfId="27173"/>
    <cellStyle name="Comma 2 2 3 9" xfId="10377"/>
    <cellStyle name="Comma 2 2 3 9 2" xfId="30260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2 2" xfId="35635"/>
    <cellStyle name="Comma 2 2 4 2 2 2 2 3" xfId="21904"/>
    <cellStyle name="Comma 2 2 4 2 2 2 2 3 2" xfId="41787"/>
    <cellStyle name="Comma 2 2 4 2 2 2 2 4" xfId="29482"/>
    <cellStyle name="Comma 2 2 4 2 2 2 3" xfId="12686"/>
    <cellStyle name="Comma 2 2 4 2 2 2 3 2" xfId="32569"/>
    <cellStyle name="Comma 2 2 4 2 2 2 4" xfId="18838"/>
    <cellStyle name="Comma 2 2 4 2 2 2 4 2" xfId="38721"/>
    <cellStyle name="Comma 2 2 4 2 2 2 5" xfId="26416"/>
    <cellStyle name="Comma 2 2 4 2 2 3" xfId="8024"/>
    <cellStyle name="Comma 2 2 4 2 2 3 2" xfId="14218"/>
    <cellStyle name="Comma 2 2 4 2 2 3 2 2" xfId="34101"/>
    <cellStyle name="Comma 2 2 4 2 2 3 3" xfId="20370"/>
    <cellStyle name="Comma 2 2 4 2 2 3 3 2" xfId="40253"/>
    <cellStyle name="Comma 2 2 4 2 2 3 4" xfId="27948"/>
    <cellStyle name="Comma 2 2 4 2 2 4" xfId="11152"/>
    <cellStyle name="Comma 2 2 4 2 2 4 2" xfId="31035"/>
    <cellStyle name="Comma 2 2 4 2 2 5" xfId="17304"/>
    <cellStyle name="Comma 2 2 4 2 2 5 2" xfId="37187"/>
    <cellStyle name="Comma 2 2 4 2 2 6" xfId="24882"/>
    <cellStyle name="Comma 2 2 4 2 3" xfId="5687"/>
    <cellStyle name="Comma 2 2 4 2 3 2" xfId="8790"/>
    <cellStyle name="Comma 2 2 4 2 3 2 2" xfId="14983"/>
    <cellStyle name="Comma 2 2 4 2 3 2 2 2" xfId="34866"/>
    <cellStyle name="Comma 2 2 4 2 3 2 3" xfId="21135"/>
    <cellStyle name="Comma 2 2 4 2 3 2 3 2" xfId="41018"/>
    <cellStyle name="Comma 2 2 4 2 3 2 4" xfId="28713"/>
    <cellStyle name="Comma 2 2 4 2 3 3" xfId="11917"/>
    <cellStyle name="Comma 2 2 4 2 3 3 2" xfId="31800"/>
    <cellStyle name="Comma 2 2 4 2 3 4" xfId="18069"/>
    <cellStyle name="Comma 2 2 4 2 3 4 2" xfId="37952"/>
    <cellStyle name="Comma 2 2 4 2 3 5" xfId="25647"/>
    <cellStyle name="Comma 2 2 4 2 4" xfId="7255"/>
    <cellStyle name="Comma 2 2 4 2 4 2" xfId="13449"/>
    <cellStyle name="Comma 2 2 4 2 4 2 2" xfId="33332"/>
    <cellStyle name="Comma 2 2 4 2 4 3" xfId="19601"/>
    <cellStyle name="Comma 2 2 4 2 4 3 2" xfId="39484"/>
    <cellStyle name="Comma 2 2 4 2 4 4" xfId="27179"/>
    <cellStyle name="Comma 2 2 4 2 5" xfId="10383"/>
    <cellStyle name="Comma 2 2 4 2 5 2" xfId="30266"/>
    <cellStyle name="Comma 2 2 4 2 6" xfId="16535"/>
    <cellStyle name="Comma 2 2 4 2 6 2" xfId="36418"/>
    <cellStyle name="Comma 2 2 4 2 7" xfId="24113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2 2" xfId="35636"/>
    <cellStyle name="Comma 2 2 5 2 2 2 3" xfId="21905"/>
    <cellStyle name="Comma 2 2 5 2 2 2 3 2" xfId="41788"/>
    <cellStyle name="Comma 2 2 5 2 2 2 4" xfId="29483"/>
    <cellStyle name="Comma 2 2 5 2 2 3" xfId="12687"/>
    <cellStyle name="Comma 2 2 5 2 2 3 2" xfId="32570"/>
    <cellStyle name="Comma 2 2 5 2 2 4" xfId="18839"/>
    <cellStyle name="Comma 2 2 5 2 2 4 2" xfId="38722"/>
    <cellStyle name="Comma 2 2 5 2 2 5" xfId="26417"/>
    <cellStyle name="Comma 2 2 5 2 3" xfId="8025"/>
    <cellStyle name="Comma 2 2 5 2 3 2" xfId="14219"/>
    <cellStyle name="Comma 2 2 5 2 3 2 2" xfId="34102"/>
    <cellStyle name="Comma 2 2 5 2 3 3" xfId="20371"/>
    <cellStyle name="Comma 2 2 5 2 3 3 2" xfId="40254"/>
    <cellStyle name="Comma 2 2 5 2 3 4" xfId="27949"/>
    <cellStyle name="Comma 2 2 5 2 4" xfId="11153"/>
    <cellStyle name="Comma 2 2 5 2 4 2" xfId="31036"/>
    <cellStyle name="Comma 2 2 5 2 5" xfId="17305"/>
    <cellStyle name="Comma 2 2 5 2 5 2" xfId="37188"/>
    <cellStyle name="Comma 2 2 5 2 6" xfId="24883"/>
    <cellStyle name="Comma 2 2 5 3" xfId="5688"/>
    <cellStyle name="Comma 2 2 5 3 2" xfId="8791"/>
    <cellStyle name="Comma 2 2 5 3 2 2" xfId="14984"/>
    <cellStyle name="Comma 2 2 5 3 2 2 2" xfId="34867"/>
    <cellStyle name="Comma 2 2 5 3 2 3" xfId="21136"/>
    <cellStyle name="Comma 2 2 5 3 2 3 2" xfId="41019"/>
    <cellStyle name="Comma 2 2 5 3 2 4" xfId="28714"/>
    <cellStyle name="Comma 2 2 5 3 3" xfId="11918"/>
    <cellStyle name="Comma 2 2 5 3 3 2" xfId="31801"/>
    <cellStyle name="Comma 2 2 5 3 4" xfId="18070"/>
    <cellStyle name="Comma 2 2 5 3 4 2" xfId="37953"/>
    <cellStyle name="Comma 2 2 5 3 5" xfId="25648"/>
    <cellStyle name="Comma 2 2 5 4" xfId="7256"/>
    <cellStyle name="Comma 2 2 5 4 2" xfId="13450"/>
    <cellStyle name="Comma 2 2 5 4 2 2" xfId="33333"/>
    <cellStyle name="Comma 2 2 5 4 3" xfId="19602"/>
    <cellStyle name="Comma 2 2 5 4 3 2" xfId="39485"/>
    <cellStyle name="Comma 2 2 5 4 4" xfId="27180"/>
    <cellStyle name="Comma 2 2 5 5" xfId="10384"/>
    <cellStyle name="Comma 2 2 5 5 2" xfId="30267"/>
    <cellStyle name="Comma 2 2 5 6" xfId="16536"/>
    <cellStyle name="Comma 2 2 5 6 2" xfId="36419"/>
    <cellStyle name="Comma 2 2 5 7" xfId="24114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2 2" xfId="35637"/>
    <cellStyle name="Comma 2 2 6 2 2 2 3" xfId="21906"/>
    <cellStyle name="Comma 2 2 6 2 2 2 3 2" xfId="41789"/>
    <cellStyle name="Comma 2 2 6 2 2 2 4" xfId="29484"/>
    <cellStyle name="Comma 2 2 6 2 2 3" xfId="12688"/>
    <cellStyle name="Comma 2 2 6 2 2 3 2" xfId="32571"/>
    <cellStyle name="Comma 2 2 6 2 2 4" xfId="18840"/>
    <cellStyle name="Comma 2 2 6 2 2 4 2" xfId="38723"/>
    <cellStyle name="Comma 2 2 6 2 2 5" xfId="26418"/>
    <cellStyle name="Comma 2 2 6 2 3" xfId="8026"/>
    <cellStyle name="Comma 2 2 6 2 3 2" xfId="14220"/>
    <cellStyle name="Comma 2 2 6 2 3 2 2" xfId="34103"/>
    <cellStyle name="Comma 2 2 6 2 3 3" xfId="20372"/>
    <cellStyle name="Comma 2 2 6 2 3 3 2" xfId="40255"/>
    <cellStyle name="Comma 2 2 6 2 3 4" xfId="27950"/>
    <cellStyle name="Comma 2 2 6 2 4" xfId="11154"/>
    <cellStyle name="Comma 2 2 6 2 4 2" xfId="31037"/>
    <cellStyle name="Comma 2 2 6 2 5" xfId="17306"/>
    <cellStyle name="Comma 2 2 6 2 5 2" xfId="37189"/>
    <cellStyle name="Comma 2 2 6 2 6" xfId="24884"/>
    <cellStyle name="Comma 2 2 6 3" xfId="5689"/>
    <cellStyle name="Comma 2 2 6 3 2" xfId="8792"/>
    <cellStyle name="Comma 2 2 6 3 2 2" xfId="14985"/>
    <cellStyle name="Comma 2 2 6 3 2 2 2" xfId="34868"/>
    <cellStyle name="Comma 2 2 6 3 2 3" xfId="21137"/>
    <cellStyle name="Comma 2 2 6 3 2 3 2" xfId="41020"/>
    <cellStyle name="Comma 2 2 6 3 2 4" xfId="28715"/>
    <cellStyle name="Comma 2 2 6 3 3" xfId="11919"/>
    <cellStyle name="Comma 2 2 6 3 3 2" xfId="31802"/>
    <cellStyle name="Comma 2 2 6 3 4" xfId="18071"/>
    <cellStyle name="Comma 2 2 6 3 4 2" xfId="37954"/>
    <cellStyle name="Comma 2 2 6 3 5" xfId="25649"/>
    <cellStyle name="Comma 2 2 6 4" xfId="7257"/>
    <cellStyle name="Comma 2 2 6 4 2" xfId="13451"/>
    <cellStyle name="Comma 2 2 6 4 2 2" xfId="33334"/>
    <cellStyle name="Comma 2 2 6 4 3" xfId="19603"/>
    <cellStyle name="Comma 2 2 6 4 3 2" xfId="39486"/>
    <cellStyle name="Comma 2 2 6 4 4" xfId="27181"/>
    <cellStyle name="Comma 2 2 6 5" xfId="10385"/>
    <cellStyle name="Comma 2 2 6 5 2" xfId="30268"/>
    <cellStyle name="Comma 2 2 6 6" xfId="16537"/>
    <cellStyle name="Comma 2 2 6 6 2" xfId="36420"/>
    <cellStyle name="Comma 2 2 6 7" xfId="24115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2 2" xfId="35638"/>
    <cellStyle name="Comma 2 2 7 2 2 2 3" xfId="21907"/>
    <cellStyle name="Comma 2 2 7 2 2 2 3 2" xfId="41790"/>
    <cellStyle name="Comma 2 2 7 2 2 2 4" xfId="29485"/>
    <cellStyle name="Comma 2 2 7 2 2 3" xfId="12689"/>
    <cellStyle name="Comma 2 2 7 2 2 3 2" xfId="32572"/>
    <cellStyle name="Comma 2 2 7 2 2 4" xfId="18841"/>
    <cellStyle name="Comma 2 2 7 2 2 4 2" xfId="38724"/>
    <cellStyle name="Comma 2 2 7 2 2 5" xfId="26419"/>
    <cellStyle name="Comma 2 2 7 2 3" xfId="8027"/>
    <cellStyle name="Comma 2 2 7 2 3 2" xfId="14221"/>
    <cellStyle name="Comma 2 2 7 2 3 2 2" xfId="34104"/>
    <cellStyle name="Comma 2 2 7 2 3 3" xfId="20373"/>
    <cellStyle name="Comma 2 2 7 2 3 3 2" xfId="40256"/>
    <cellStyle name="Comma 2 2 7 2 3 4" xfId="27951"/>
    <cellStyle name="Comma 2 2 7 2 4" xfId="11155"/>
    <cellStyle name="Comma 2 2 7 2 4 2" xfId="31038"/>
    <cellStyle name="Comma 2 2 7 2 5" xfId="17307"/>
    <cellStyle name="Comma 2 2 7 2 5 2" xfId="37190"/>
    <cellStyle name="Comma 2 2 7 2 6" xfId="24885"/>
    <cellStyle name="Comma 2 2 7 3" xfId="5690"/>
    <cellStyle name="Comma 2 2 7 3 2" xfId="8793"/>
    <cellStyle name="Comma 2 2 7 3 2 2" xfId="14986"/>
    <cellStyle name="Comma 2 2 7 3 2 2 2" xfId="34869"/>
    <cellStyle name="Comma 2 2 7 3 2 3" xfId="21138"/>
    <cellStyle name="Comma 2 2 7 3 2 3 2" xfId="41021"/>
    <cellStyle name="Comma 2 2 7 3 2 4" xfId="28716"/>
    <cellStyle name="Comma 2 2 7 3 3" xfId="11920"/>
    <cellStyle name="Comma 2 2 7 3 3 2" xfId="31803"/>
    <cellStyle name="Comma 2 2 7 3 4" xfId="18072"/>
    <cellStyle name="Comma 2 2 7 3 4 2" xfId="37955"/>
    <cellStyle name="Comma 2 2 7 3 5" xfId="25650"/>
    <cellStyle name="Comma 2 2 7 4" xfId="7258"/>
    <cellStyle name="Comma 2 2 7 4 2" xfId="13452"/>
    <cellStyle name="Comma 2 2 7 4 2 2" xfId="33335"/>
    <cellStyle name="Comma 2 2 7 4 3" xfId="19604"/>
    <cellStyle name="Comma 2 2 7 4 3 2" xfId="39487"/>
    <cellStyle name="Comma 2 2 7 4 4" xfId="27182"/>
    <cellStyle name="Comma 2 2 7 5" xfId="10386"/>
    <cellStyle name="Comma 2 2 7 5 2" xfId="30269"/>
    <cellStyle name="Comma 2 2 7 6" xfId="16538"/>
    <cellStyle name="Comma 2 2 7 6 2" xfId="36421"/>
    <cellStyle name="Comma 2 2 7 7" xfId="24116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2 2" xfId="35639"/>
    <cellStyle name="Comma 2 2 8 2 2 2 3" xfId="21908"/>
    <cellStyle name="Comma 2 2 8 2 2 2 3 2" xfId="41791"/>
    <cellStyle name="Comma 2 2 8 2 2 2 4" xfId="29486"/>
    <cellStyle name="Comma 2 2 8 2 2 3" xfId="12690"/>
    <cellStyle name="Comma 2 2 8 2 2 3 2" xfId="32573"/>
    <cellStyle name="Comma 2 2 8 2 2 4" xfId="18842"/>
    <cellStyle name="Comma 2 2 8 2 2 4 2" xfId="38725"/>
    <cellStyle name="Comma 2 2 8 2 2 5" xfId="26420"/>
    <cellStyle name="Comma 2 2 8 2 3" xfId="8028"/>
    <cellStyle name="Comma 2 2 8 2 3 2" xfId="14222"/>
    <cellStyle name="Comma 2 2 8 2 3 2 2" xfId="34105"/>
    <cellStyle name="Comma 2 2 8 2 3 3" xfId="20374"/>
    <cellStyle name="Comma 2 2 8 2 3 3 2" xfId="40257"/>
    <cellStyle name="Comma 2 2 8 2 3 4" xfId="27952"/>
    <cellStyle name="Comma 2 2 8 2 4" xfId="11156"/>
    <cellStyle name="Comma 2 2 8 2 4 2" xfId="31039"/>
    <cellStyle name="Comma 2 2 8 2 5" xfId="17308"/>
    <cellStyle name="Comma 2 2 8 2 5 2" xfId="37191"/>
    <cellStyle name="Comma 2 2 8 2 6" xfId="24886"/>
    <cellStyle name="Comma 2 2 8 3" xfId="5691"/>
    <cellStyle name="Comma 2 2 8 3 2" xfId="8794"/>
    <cellStyle name="Comma 2 2 8 3 2 2" xfId="14987"/>
    <cellStyle name="Comma 2 2 8 3 2 2 2" xfId="34870"/>
    <cellStyle name="Comma 2 2 8 3 2 3" xfId="21139"/>
    <cellStyle name="Comma 2 2 8 3 2 3 2" xfId="41022"/>
    <cellStyle name="Comma 2 2 8 3 2 4" xfId="28717"/>
    <cellStyle name="Comma 2 2 8 3 3" xfId="11921"/>
    <cellStyle name="Comma 2 2 8 3 3 2" xfId="31804"/>
    <cellStyle name="Comma 2 2 8 3 4" xfId="18073"/>
    <cellStyle name="Comma 2 2 8 3 4 2" xfId="37956"/>
    <cellStyle name="Comma 2 2 8 3 5" xfId="25651"/>
    <cellStyle name="Comma 2 2 8 4" xfId="7259"/>
    <cellStyle name="Comma 2 2 8 4 2" xfId="13453"/>
    <cellStyle name="Comma 2 2 8 4 2 2" xfId="33336"/>
    <cellStyle name="Comma 2 2 8 4 3" xfId="19605"/>
    <cellStyle name="Comma 2 2 8 4 3 2" xfId="39488"/>
    <cellStyle name="Comma 2 2 8 4 4" xfId="27183"/>
    <cellStyle name="Comma 2 2 8 5" xfId="10387"/>
    <cellStyle name="Comma 2 2 8 5 2" xfId="30270"/>
    <cellStyle name="Comma 2 2 8 6" xfId="16539"/>
    <cellStyle name="Comma 2 2 8 6 2" xfId="36422"/>
    <cellStyle name="Comma 2 2 8 7" xfId="24117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2 2" xfId="35640"/>
    <cellStyle name="Comma 2 2 9 2 2 2 3" xfId="21909"/>
    <cellStyle name="Comma 2 2 9 2 2 2 3 2" xfId="41792"/>
    <cellStyle name="Comma 2 2 9 2 2 2 4" xfId="29487"/>
    <cellStyle name="Comma 2 2 9 2 2 3" xfId="12691"/>
    <cellStyle name="Comma 2 2 9 2 2 3 2" xfId="32574"/>
    <cellStyle name="Comma 2 2 9 2 2 4" xfId="18843"/>
    <cellStyle name="Comma 2 2 9 2 2 4 2" xfId="38726"/>
    <cellStyle name="Comma 2 2 9 2 2 5" xfId="26421"/>
    <cellStyle name="Comma 2 2 9 2 3" xfId="8029"/>
    <cellStyle name="Comma 2 2 9 2 3 2" xfId="14223"/>
    <cellStyle name="Comma 2 2 9 2 3 2 2" xfId="34106"/>
    <cellStyle name="Comma 2 2 9 2 3 3" xfId="20375"/>
    <cellStyle name="Comma 2 2 9 2 3 3 2" xfId="40258"/>
    <cellStyle name="Comma 2 2 9 2 3 4" xfId="27953"/>
    <cellStyle name="Comma 2 2 9 2 4" xfId="11157"/>
    <cellStyle name="Comma 2 2 9 2 4 2" xfId="31040"/>
    <cellStyle name="Comma 2 2 9 2 5" xfId="17309"/>
    <cellStyle name="Comma 2 2 9 2 5 2" xfId="37192"/>
    <cellStyle name="Comma 2 2 9 2 6" xfId="24887"/>
    <cellStyle name="Comma 2 2 9 3" xfId="5692"/>
    <cellStyle name="Comma 2 2 9 3 2" xfId="8795"/>
    <cellStyle name="Comma 2 2 9 3 2 2" xfId="14988"/>
    <cellStyle name="Comma 2 2 9 3 2 2 2" xfId="34871"/>
    <cellStyle name="Comma 2 2 9 3 2 3" xfId="21140"/>
    <cellStyle name="Comma 2 2 9 3 2 3 2" xfId="41023"/>
    <cellStyle name="Comma 2 2 9 3 2 4" xfId="28718"/>
    <cellStyle name="Comma 2 2 9 3 3" xfId="11922"/>
    <cellStyle name="Comma 2 2 9 3 3 2" xfId="31805"/>
    <cellStyle name="Comma 2 2 9 3 4" xfId="18074"/>
    <cellStyle name="Comma 2 2 9 3 4 2" xfId="37957"/>
    <cellStyle name="Comma 2 2 9 3 5" xfId="25652"/>
    <cellStyle name="Comma 2 2 9 4" xfId="7260"/>
    <cellStyle name="Comma 2 2 9 4 2" xfId="13454"/>
    <cellStyle name="Comma 2 2 9 4 2 2" xfId="33337"/>
    <cellStyle name="Comma 2 2 9 4 3" xfId="19606"/>
    <cellStyle name="Comma 2 2 9 4 3 2" xfId="39489"/>
    <cellStyle name="Comma 2 2 9 4 4" xfId="27184"/>
    <cellStyle name="Comma 2 2 9 5" xfId="10388"/>
    <cellStyle name="Comma 2 2 9 5 2" xfId="30271"/>
    <cellStyle name="Comma 2 2 9 6" xfId="16540"/>
    <cellStyle name="Comma 2 2 9 6 2" xfId="36423"/>
    <cellStyle name="Comma 2 2 9 7" xfId="24118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2 2" xfId="35611"/>
    <cellStyle name="Comma 2 23 2 2 2 3" xfId="21880"/>
    <cellStyle name="Comma 2 23 2 2 2 3 2" xfId="41763"/>
    <cellStyle name="Comma 2 23 2 2 2 4" xfId="29458"/>
    <cellStyle name="Comma 2 23 2 2 3" xfId="12662"/>
    <cellStyle name="Comma 2 23 2 2 3 2" xfId="32545"/>
    <cellStyle name="Comma 2 23 2 2 4" xfId="18814"/>
    <cellStyle name="Comma 2 23 2 2 4 2" xfId="38697"/>
    <cellStyle name="Comma 2 23 2 2 5" xfId="26392"/>
    <cellStyle name="Comma 2 23 2 3" xfId="8000"/>
    <cellStyle name="Comma 2 23 2 3 2" xfId="14194"/>
    <cellStyle name="Comma 2 23 2 3 2 2" xfId="34077"/>
    <cellStyle name="Comma 2 23 2 3 3" xfId="20346"/>
    <cellStyle name="Comma 2 23 2 3 3 2" xfId="40229"/>
    <cellStyle name="Comma 2 23 2 3 4" xfId="27924"/>
    <cellStyle name="Comma 2 23 2 4" xfId="11128"/>
    <cellStyle name="Comma 2 23 2 4 2" xfId="31011"/>
    <cellStyle name="Comma 2 23 2 5" xfId="17280"/>
    <cellStyle name="Comma 2 23 2 5 2" xfId="37163"/>
    <cellStyle name="Comma 2 23 2 6" xfId="24858"/>
    <cellStyle name="Comma 2 23 3" xfId="5663"/>
    <cellStyle name="Comma 2 23 3 2" xfId="8766"/>
    <cellStyle name="Comma 2 23 3 2 2" xfId="14959"/>
    <cellStyle name="Comma 2 23 3 2 2 2" xfId="34842"/>
    <cellStyle name="Comma 2 23 3 2 3" xfId="21111"/>
    <cellStyle name="Comma 2 23 3 2 3 2" xfId="40994"/>
    <cellStyle name="Comma 2 23 3 2 4" xfId="28689"/>
    <cellStyle name="Comma 2 23 3 3" xfId="11893"/>
    <cellStyle name="Comma 2 23 3 3 2" xfId="31776"/>
    <cellStyle name="Comma 2 23 3 4" xfId="18045"/>
    <cellStyle name="Comma 2 23 3 4 2" xfId="37928"/>
    <cellStyle name="Comma 2 23 3 5" xfId="25623"/>
    <cellStyle name="Comma 2 23 4" xfId="7231"/>
    <cellStyle name="Comma 2 23 4 2" xfId="13425"/>
    <cellStyle name="Comma 2 23 4 2 2" xfId="33308"/>
    <cellStyle name="Comma 2 23 4 3" xfId="19577"/>
    <cellStyle name="Comma 2 23 4 3 2" xfId="39460"/>
    <cellStyle name="Comma 2 23 4 4" xfId="27155"/>
    <cellStyle name="Comma 2 23 5" xfId="10359"/>
    <cellStyle name="Comma 2 23 5 2" xfId="30242"/>
    <cellStyle name="Comma 2 23 6" xfId="16511"/>
    <cellStyle name="Comma 2 23 6 2" xfId="36394"/>
    <cellStyle name="Comma 2 23 7" xfId="1598"/>
    <cellStyle name="Comma 2 23 7 2" xfId="24089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0 2" xfId="23409"/>
    <cellStyle name="Comma 2 3 11" xfId="23135"/>
    <cellStyle name="Comma 2 3 2" xfId="869"/>
    <cellStyle name="Comma 2 3 2 2" xfId="1654"/>
    <cellStyle name="Comma 2 3 2 3" xfId="23712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8 2" xfId="42622"/>
    <cellStyle name="Comma 2 3 9" xfId="22832"/>
    <cellStyle name="Comma 2 3 9 2" xfId="42706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2 2" xfId="23732"/>
    <cellStyle name="Comma 20 3" xfId="1672"/>
    <cellStyle name="Comma 20 4" xfId="22762"/>
    <cellStyle name="Comma 20 4 2" xfId="42636"/>
    <cellStyle name="Comma 20 5" xfId="22852"/>
    <cellStyle name="Comma 20 5 2" xfId="42726"/>
    <cellStyle name="Comma 20 6" xfId="23429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2 2" xfId="35529"/>
    <cellStyle name="Comma 204 2 2 3" xfId="21798"/>
    <cellStyle name="Comma 204 2 2 3 2" xfId="41681"/>
    <cellStyle name="Comma 204 2 2 4" xfId="29376"/>
    <cellStyle name="Comma 204 2 3" xfId="12580"/>
    <cellStyle name="Comma 204 2 3 2" xfId="32463"/>
    <cellStyle name="Comma 204 2 4" xfId="18732"/>
    <cellStyle name="Comma 204 2 4 2" xfId="38615"/>
    <cellStyle name="Comma 204 2 5" xfId="26310"/>
    <cellStyle name="Comma 204 3" xfId="7918"/>
    <cellStyle name="Comma 204 3 2" xfId="14112"/>
    <cellStyle name="Comma 204 3 2 2" xfId="33995"/>
    <cellStyle name="Comma 204 3 3" xfId="20264"/>
    <cellStyle name="Comma 204 3 3 2" xfId="40147"/>
    <cellStyle name="Comma 204 3 4" xfId="27842"/>
    <cellStyle name="Comma 204 4" xfId="11046"/>
    <cellStyle name="Comma 204 4 2" xfId="30929"/>
    <cellStyle name="Comma 204 5" xfId="17198"/>
    <cellStyle name="Comma 204 5 2" xfId="37081"/>
    <cellStyle name="Comma 204 6" xfId="24776"/>
    <cellStyle name="Comma 205" xfId="5577"/>
    <cellStyle name="Comma 205 2" xfId="8681"/>
    <cellStyle name="Comma 205 2 2" xfId="14875"/>
    <cellStyle name="Comma 205 2 2 2" xfId="34758"/>
    <cellStyle name="Comma 205 2 3" xfId="21027"/>
    <cellStyle name="Comma 205 2 3 2" xfId="40910"/>
    <cellStyle name="Comma 205 2 4" xfId="28605"/>
    <cellStyle name="Comma 205 3" xfId="11809"/>
    <cellStyle name="Comma 205 3 2" xfId="31692"/>
    <cellStyle name="Comma 205 4" xfId="17961"/>
    <cellStyle name="Comma 205 4 2" xfId="37844"/>
    <cellStyle name="Comma 205 5" xfId="25539"/>
    <cellStyle name="Comma 206" xfId="5579"/>
    <cellStyle name="Comma 206 2" xfId="8683"/>
    <cellStyle name="Comma 206 2 2" xfId="14876"/>
    <cellStyle name="Comma 206 2 2 2" xfId="34759"/>
    <cellStyle name="Comma 206 2 3" xfId="21028"/>
    <cellStyle name="Comma 206 2 3 2" xfId="40911"/>
    <cellStyle name="Comma 206 2 4" xfId="28606"/>
    <cellStyle name="Comma 206 3" xfId="11810"/>
    <cellStyle name="Comma 206 3 2" xfId="31693"/>
    <cellStyle name="Comma 206 4" xfId="17962"/>
    <cellStyle name="Comma 206 4 2" xfId="37845"/>
    <cellStyle name="Comma 206 5" xfId="25540"/>
    <cellStyle name="Comma 207" xfId="7146"/>
    <cellStyle name="Comma 208" xfId="10217"/>
    <cellStyle name="Comma 209" xfId="10219"/>
    <cellStyle name="Comma 21" xfId="239"/>
    <cellStyle name="Comma 21 2" xfId="890"/>
    <cellStyle name="Comma 21 2 2" xfId="23733"/>
    <cellStyle name="Comma 21 3" xfId="1673"/>
    <cellStyle name="Comma 21 4" xfId="22752"/>
    <cellStyle name="Comma 21 4 2" xfId="42626"/>
    <cellStyle name="Comma 21 5" xfId="22853"/>
    <cellStyle name="Comma 21 5 2" xfId="42727"/>
    <cellStyle name="Comma 21 6" xfId="23430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6 2" xfId="24000"/>
    <cellStyle name="Comma 217" xfId="1165"/>
    <cellStyle name="Comma 217 2" xfId="24005"/>
    <cellStyle name="Comma 218" xfId="22629"/>
    <cellStyle name="Comma 218 2" xfId="42503"/>
    <cellStyle name="Comma 219" xfId="22640"/>
    <cellStyle name="Comma 219 2" xfId="42514"/>
    <cellStyle name="Comma 22" xfId="235"/>
    <cellStyle name="Comma 22 2" xfId="886"/>
    <cellStyle name="Comma 22 2 2" xfId="23729"/>
    <cellStyle name="Comma 22 3" xfId="1674"/>
    <cellStyle name="Comma 22 4" xfId="22637"/>
    <cellStyle name="Comma 22 4 2" xfId="42511"/>
    <cellStyle name="Comma 22 5" xfId="22849"/>
    <cellStyle name="Comma 22 5 2" xfId="42723"/>
    <cellStyle name="Comma 22 6" xfId="23426"/>
    <cellStyle name="Comma 220" xfId="22754"/>
    <cellStyle name="Comma 220 2" xfId="42628"/>
    <cellStyle name="Comma 221" xfId="22763"/>
    <cellStyle name="Comma 221 2" xfId="42637"/>
    <cellStyle name="Comma 222" xfId="22674"/>
    <cellStyle name="Comma 222 2" xfId="42548"/>
    <cellStyle name="Comma 223" xfId="22618"/>
    <cellStyle name="Comma 223 2" xfId="42492"/>
    <cellStyle name="Comma 224" xfId="23129"/>
    <cellStyle name="Comma 225" xfId="23232"/>
    <cellStyle name="Comma 23" xfId="240"/>
    <cellStyle name="Comma 23 2" xfId="891"/>
    <cellStyle name="Comma 23 2 2" xfId="23734"/>
    <cellStyle name="Comma 23 3" xfId="1675"/>
    <cellStyle name="Comma 23 4" xfId="22804"/>
    <cellStyle name="Comma 23 4 2" xfId="42678"/>
    <cellStyle name="Comma 23 5" xfId="22854"/>
    <cellStyle name="Comma 23 5 2" xfId="42728"/>
    <cellStyle name="Comma 23 6" xfId="23139"/>
    <cellStyle name="Comma 23 7" xfId="23431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2 2" xfId="35641"/>
    <cellStyle name="Comma 3 10 2 2 2 3" xfId="21910"/>
    <cellStyle name="Comma 3 10 2 2 2 3 2" xfId="41793"/>
    <cellStyle name="Comma 3 10 2 2 2 4" xfId="29488"/>
    <cellStyle name="Comma 3 10 2 2 3" xfId="12692"/>
    <cellStyle name="Comma 3 10 2 2 3 2" xfId="32575"/>
    <cellStyle name="Comma 3 10 2 2 4" xfId="18844"/>
    <cellStyle name="Comma 3 10 2 2 4 2" xfId="38727"/>
    <cellStyle name="Comma 3 10 2 2 5" xfId="26422"/>
    <cellStyle name="Comma 3 10 2 3" xfId="8030"/>
    <cellStyle name="Comma 3 10 2 3 2" xfId="14224"/>
    <cellStyle name="Comma 3 10 2 3 2 2" xfId="34107"/>
    <cellStyle name="Comma 3 10 2 3 3" xfId="20376"/>
    <cellStyle name="Comma 3 10 2 3 3 2" xfId="40259"/>
    <cellStyle name="Comma 3 10 2 3 4" xfId="27954"/>
    <cellStyle name="Comma 3 10 2 4" xfId="11158"/>
    <cellStyle name="Comma 3 10 2 4 2" xfId="31041"/>
    <cellStyle name="Comma 3 10 2 5" xfId="17310"/>
    <cellStyle name="Comma 3 10 2 5 2" xfId="37193"/>
    <cellStyle name="Comma 3 10 2 6" xfId="24888"/>
    <cellStyle name="Comma 3 10 3" xfId="5693"/>
    <cellStyle name="Comma 3 10 3 2" xfId="8796"/>
    <cellStyle name="Comma 3 10 3 2 2" xfId="14989"/>
    <cellStyle name="Comma 3 10 3 2 2 2" xfId="34872"/>
    <cellStyle name="Comma 3 10 3 2 3" xfId="21141"/>
    <cellStyle name="Comma 3 10 3 2 3 2" xfId="41024"/>
    <cellStyle name="Comma 3 10 3 2 4" xfId="28719"/>
    <cellStyle name="Comma 3 10 3 3" xfId="11923"/>
    <cellStyle name="Comma 3 10 3 3 2" xfId="31806"/>
    <cellStyle name="Comma 3 10 3 4" xfId="18075"/>
    <cellStyle name="Comma 3 10 3 4 2" xfId="37958"/>
    <cellStyle name="Comma 3 10 3 5" xfId="25653"/>
    <cellStyle name="Comma 3 10 4" xfId="7261"/>
    <cellStyle name="Comma 3 10 4 2" xfId="13455"/>
    <cellStyle name="Comma 3 10 4 2 2" xfId="33338"/>
    <cellStyle name="Comma 3 10 4 3" xfId="19607"/>
    <cellStyle name="Comma 3 10 4 3 2" xfId="39490"/>
    <cellStyle name="Comma 3 10 4 4" xfId="27185"/>
    <cellStyle name="Comma 3 10 5" xfId="10389"/>
    <cellStyle name="Comma 3 10 5 2" xfId="30272"/>
    <cellStyle name="Comma 3 10 6" xfId="16541"/>
    <cellStyle name="Comma 3 10 6 2" xfId="36424"/>
    <cellStyle name="Comma 3 10 7" xfId="1682"/>
    <cellStyle name="Comma 3 10 7 2" xfId="24119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2 2" xfId="35642"/>
    <cellStyle name="Comma 3 11 2 2 2 3" xfId="21911"/>
    <cellStyle name="Comma 3 11 2 2 2 3 2" xfId="41794"/>
    <cellStyle name="Comma 3 11 2 2 2 4" xfId="29489"/>
    <cellStyle name="Comma 3 11 2 2 3" xfId="12693"/>
    <cellStyle name="Comma 3 11 2 2 3 2" xfId="32576"/>
    <cellStyle name="Comma 3 11 2 2 4" xfId="18845"/>
    <cellStyle name="Comma 3 11 2 2 4 2" xfId="38728"/>
    <cellStyle name="Comma 3 11 2 2 5" xfId="26423"/>
    <cellStyle name="Comma 3 11 2 3" xfId="8031"/>
    <cellStyle name="Comma 3 11 2 3 2" xfId="14225"/>
    <cellStyle name="Comma 3 11 2 3 2 2" xfId="34108"/>
    <cellStyle name="Comma 3 11 2 3 3" xfId="20377"/>
    <cellStyle name="Comma 3 11 2 3 3 2" xfId="40260"/>
    <cellStyle name="Comma 3 11 2 3 4" xfId="27955"/>
    <cellStyle name="Comma 3 11 2 4" xfId="11159"/>
    <cellStyle name="Comma 3 11 2 4 2" xfId="31042"/>
    <cellStyle name="Comma 3 11 2 5" xfId="17311"/>
    <cellStyle name="Comma 3 11 2 5 2" xfId="37194"/>
    <cellStyle name="Comma 3 11 2 6" xfId="24889"/>
    <cellStyle name="Comma 3 11 3" xfId="5694"/>
    <cellStyle name="Comma 3 11 3 2" xfId="8797"/>
    <cellStyle name="Comma 3 11 3 2 2" xfId="14990"/>
    <cellStyle name="Comma 3 11 3 2 2 2" xfId="34873"/>
    <cellStyle name="Comma 3 11 3 2 3" xfId="21142"/>
    <cellStyle name="Comma 3 11 3 2 3 2" xfId="41025"/>
    <cellStyle name="Comma 3 11 3 2 4" xfId="28720"/>
    <cellStyle name="Comma 3 11 3 3" xfId="11924"/>
    <cellStyle name="Comma 3 11 3 3 2" xfId="31807"/>
    <cellStyle name="Comma 3 11 3 4" xfId="18076"/>
    <cellStyle name="Comma 3 11 3 4 2" xfId="37959"/>
    <cellStyle name="Comma 3 11 3 5" xfId="25654"/>
    <cellStyle name="Comma 3 11 4" xfId="7262"/>
    <cellStyle name="Comma 3 11 4 2" xfId="13456"/>
    <cellStyle name="Comma 3 11 4 2 2" xfId="33339"/>
    <cellStyle name="Comma 3 11 4 3" xfId="19608"/>
    <cellStyle name="Comma 3 11 4 3 2" xfId="39491"/>
    <cellStyle name="Comma 3 11 4 4" xfId="27186"/>
    <cellStyle name="Comma 3 11 5" xfId="10390"/>
    <cellStyle name="Comma 3 11 5 2" xfId="30273"/>
    <cellStyle name="Comma 3 11 6" xfId="16542"/>
    <cellStyle name="Comma 3 11 6 2" xfId="36425"/>
    <cellStyle name="Comma 3 11 7" xfId="1683"/>
    <cellStyle name="Comma 3 11 7 2" xfId="24120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2 2" xfId="35643"/>
    <cellStyle name="Comma 3 12 2 2 2 3" xfId="21912"/>
    <cellStyle name="Comma 3 12 2 2 2 3 2" xfId="41795"/>
    <cellStyle name="Comma 3 12 2 2 2 4" xfId="29490"/>
    <cellStyle name="Comma 3 12 2 2 3" xfId="12694"/>
    <cellStyle name="Comma 3 12 2 2 3 2" xfId="32577"/>
    <cellStyle name="Comma 3 12 2 2 4" xfId="18846"/>
    <cellStyle name="Comma 3 12 2 2 4 2" xfId="38729"/>
    <cellStyle name="Comma 3 12 2 2 5" xfId="26424"/>
    <cellStyle name="Comma 3 12 2 3" xfId="8032"/>
    <cellStyle name="Comma 3 12 2 3 2" xfId="14226"/>
    <cellStyle name="Comma 3 12 2 3 2 2" xfId="34109"/>
    <cellStyle name="Comma 3 12 2 3 3" xfId="20378"/>
    <cellStyle name="Comma 3 12 2 3 3 2" xfId="40261"/>
    <cellStyle name="Comma 3 12 2 3 4" xfId="27956"/>
    <cellStyle name="Comma 3 12 2 4" xfId="11160"/>
    <cellStyle name="Comma 3 12 2 4 2" xfId="31043"/>
    <cellStyle name="Comma 3 12 2 5" xfId="17312"/>
    <cellStyle name="Comma 3 12 2 5 2" xfId="37195"/>
    <cellStyle name="Comma 3 12 2 6" xfId="24890"/>
    <cellStyle name="Comma 3 12 3" xfId="5695"/>
    <cellStyle name="Comma 3 12 3 2" xfId="8798"/>
    <cellStyle name="Comma 3 12 3 2 2" xfId="14991"/>
    <cellStyle name="Comma 3 12 3 2 2 2" xfId="34874"/>
    <cellStyle name="Comma 3 12 3 2 3" xfId="21143"/>
    <cellStyle name="Comma 3 12 3 2 3 2" xfId="41026"/>
    <cellStyle name="Comma 3 12 3 2 4" xfId="28721"/>
    <cellStyle name="Comma 3 12 3 3" xfId="11925"/>
    <cellStyle name="Comma 3 12 3 3 2" xfId="31808"/>
    <cellStyle name="Comma 3 12 3 4" xfId="18077"/>
    <cellStyle name="Comma 3 12 3 4 2" xfId="37960"/>
    <cellStyle name="Comma 3 12 3 5" xfId="25655"/>
    <cellStyle name="Comma 3 12 4" xfId="7263"/>
    <cellStyle name="Comma 3 12 4 2" xfId="13457"/>
    <cellStyle name="Comma 3 12 4 2 2" xfId="33340"/>
    <cellStyle name="Comma 3 12 4 3" xfId="19609"/>
    <cellStyle name="Comma 3 12 4 3 2" xfId="39492"/>
    <cellStyle name="Comma 3 12 4 4" xfId="27187"/>
    <cellStyle name="Comma 3 12 5" xfId="10391"/>
    <cellStyle name="Comma 3 12 5 2" xfId="30274"/>
    <cellStyle name="Comma 3 12 6" xfId="16543"/>
    <cellStyle name="Comma 3 12 6 2" xfId="36426"/>
    <cellStyle name="Comma 3 12 7" xfId="1684"/>
    <cellStyle name="Comma 3 12 7 2" xfId="24121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2 2" xfId="35644"/>
    <cellStyle name="Comma 3 13 2 2 2 3" xfId="21913"/>
    <cellStyle name="Comma 3 13 2 2 2 3 2" xfId="41796"/>
    <cellStyle name="Comma 3 13 2 2 2 4" xfId="29491"/>
    <cellStyle name="Comma 3 13 2 2 3" xfId="12695"/>
    <cellStyle name="Comma 3 13 2 2 3 2" xfId="32578"/>
    <cellStyle name="Comma 3 13 2 2 4" xfId="18847"/>
    <cellStyle name="Comma 3 13 2 2 4 2" xfId="38730"/>
    <cellStyle name="Comma 3 13 2 2 5" xfId="26425"/>
    <cellStyle name="Comma 3 13 2 3" xfId="8033"/>
    <cellStyle name="Comma 3 13 2 3 2" xfId="14227"/>
    <cellStyle name="Comma 3 13 2 3 2 2" xfId="34110"/>
    <cellStyle name="Comma 3 13 2 3 3" xfId="20379"/>
    <cellStyle name="Comma 3 13 2 3 3 2" xfId="40262"/>
    <cellStyle name="Comma 3 13 2 3 4" xfId="27957"/>
    <cellStyle name="Comma 3 13 2 4" xfId="11161"/>
    <cellStyle name="Comma 3 13 2 4 2" xfId="31044"/>
    <cellStyle name="Comma 3 13 2 5" xfId="17313"/>
    <cellStyle name="Comma 3 13 2 5 2" xfId="37196"/>
    <cellStyle name="Comma 3 13 2 6" xfId="24891"/>
    <cellStyle name="Comma 3 13 3" xfId="5696"/>
    <cellStyle name="Comma 3 13 3 2" xfId="8799"/>
    <cellStyle name="Comma 3 13 3 2 2" xfId="14992"/>
    <cellStyle name="Comma 3 13 3 2 2 2" xfId="34875"/>
    <cellStyle name="Comma 3 13 3 2 3" xfId="21144"/>
    <cellStyle name="Comma 3 13 3 2 3 2" xfId="41027"/>
    <cellStyle name="Comma 3 13 3 2 4" xfId="28722"/>
    <cellStyle name="Comma 3 13 3 3" xfId="11926"/>
    <cellStyle name="Comma 3 13 3 3 2" xfId="31809"/>
    <cellStyle name="Comma 3 13 3 4" xfId="18078"/>
    <cellStyle name="Comma 3 13 3 4 2" xfId="37961"/>
    <cellStyle name="Comma 3 13 3 5" xfId="25656"/>
    <cellStyle name="Comma 3 13 4" xfId="7264"/>
    <cellStyle name="Comma 3 13 4 2" xfId="13458"/>
    <cellStyle name="Comma 3 13 4 2 2" xfId="33341"/>
    <cellStyle name="Comma 3 13 4 3" xfId="19610"/>
    <cellStyle name="Comma 3 13 4 3 2" xfId="39493"/>
    <cellStyle name="Comma 3 13 4 4" xfId="27188"/>
    <cellStyle name="Comma 3 13 5" xfId="10392"/>
    <cellStyle name="Comma 3 13 5 2" xfId="30275"/>
    <cellStyle name="Comma 3 13 6" xfId="16544"/>
    <cellStyle name="Comma 3 13 6 2" xfId="36427"/>
    <cellStyle name="Comma 3 13 7" xfId="1685"/>
    <cellStyle name="Comma 3 13 7 2" xfId="24122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2 2" xfId="35645"/>
    <cellStyle name="Comma 3 14 2 2 2 3" xfId="21914"/>
    <cellStyle name="Comma 3 14 2 2 2 3 2" xfId="41797"/>
    <cellStyle name="Comma 3 14 2 2 2 4" xfId="29492"/>
    <cellStyle name="Comma 3 14 2 2 3" xfId="12696"/>
    <cellStyle name="Comma 3 14 2 2 3 2" xfId="32579"/>
    <cellStyle name="Comma 3 14 2 2 4" xfId="18848"/>
    <cellStyle name="Comma 3 14 2 2 4 2" xfId="38731"/>
    <cellStyle name="Comma 3 14 2 2 5" xfId="26426"/>
    <cellStyle name="Comma 3 14 2 3" xfId="8034"/>
    <cellStyle name="Comma 3 14 2 3 2" xfId="14228"/>
    <cellStyle name="Comma 3 14 2 3 2 2" xfId="34111"/>
    <cellStyle name="Comma 3 14 2 3 3" xfId="20380"/>
    <cellStyle name="Comma 3 14 2 3 3 2" xfId="40263"/>
    <cellStyle name="Comma 3 14 2 3 4" xfId="27958"/>
    <cellStyle name="Comma 3 14 2 4" xfId="11162"/>
    <cellStyle name="Comma 3 14 2 4 2" xfId="31045"/>
    <cellStyle name="Comma 3 14 2 5" xfId="17314"/>
    <cellStyle name="Comma 3 14 2 5 2" xfId="37197"/>
    <cellStyle name="Comma 3 14 2 6" xfId="24892"/>
    <cellStyle name="Comma 3 14 3" xfId="5697"/>
    <cellStyle name="Comma 3 14 3 2" xfId="8800"/>
    <cellStyle name="Comma 3 14 3 2 2" xfId="14993"/>
    <cellStyle name="Comma 3 14 3 2 2 2" xfId="34876"/>
    <cellStyle name="Comma 3 14 3 2 3" xfId="21145"/>
    <cellStyle name="Comma 3 14 3 2 3 2" xfId="41028"/>
    <cellStyle name="Comma 3 14 3 2 4" xfId="28723"/>
    <cellStyle name="Comma 3 14 3 3" xfId="11927"/>
    <cellStyle name="Comma 3 14 3 3 2" xfId="31810"/>
    <cellStyle name="Comma 3 14 3 4" xfId="18079"/>
    <cellStyle name="Comma 3 14 3 4 2" xfId="37962"/>
    <cellStyle name="Comma 3 14 3 5" xfId="25657"/>
    <cellStyle name="Comma 3 14 4" xfId="7265"/>
    <cellStyle name="Comma 3 14 4 2" xfId="13459"/>
    <cellStyle name="Comma 3 14 4 2 2" xfId="33342"/>
    <cellStyle name="Comma 3 14 4 3" xfId="19611"/>
    <cellStyle name="Comma 3 14 4 3 2" xfId="39494"/>
    <cellStyle name="Comma 3 14 4 4" xfId="27189"/>
    <cellStyle name="Comma 3 14 5" xfId="10393"/>
    <cellStyle name="Comma 3 14 5 2" xfId="30276"/>
    <cellStyle name="Comma 3 14 6" xfId="16545"/>
    <cellStyle name="Comma 3 14 6 2" xfId="36428"/>
    <cellStyle name="Comma 3 14 7" xfId="1686"/>
    <cellStyle name="Comma 3 14 7 2" xfId="24123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2 2" xfId="35646"/>
    <cellStyle name="Comma 3 15 2 2 2 3" xfId="21915"/>
    <cellStyle name="Comma 3 15 2 2 2 3 2" xfId="41798"/>
    <cellStyle name="Comma 3 15 2 2 2 4" xfId="29493"/>
    <cellStyle name="Comma 3 15 2 2 3" xfId="12697"/>
    <cellStyle name="Comma 3 15 2 2 3 2" xfId="32580"/>
    <cellStyle name="Comma 3 15 2 2 4" xfId="18849"/>
    <cellStyle name="Comma 3 15 2 2 4 2" xfId="38732"/>
    <cellStyle name="Comma 3 15 2 2 5" xfId="26427"/>
    <cellStyle name="Comma 3 15 2 3" xfId="8035"/>
    <cellStyle name="Comma 3 15 2 3 2" xfId="14229"/>
    <cellStyle name="Comma 3 15 2 3 2 2" xfId="34112"/>
    <cellStyle name="Comma 3 15 2 3 3" xfId="20381"/>
    <cellStyle name="Comma 3 15 2 3 3 2" xfId="40264"/>
    <cellStyle name="Comma 3 15 2 3 4" xfId="27959"/>
    <cellStyle name="Comma 3 15 2 4" xfId="11163"/>
    <cellStyle name="Comma 3 15 2 4 2" xfId="31046"/>
    <cellStyle name="Comma 3 15 2 5" xfId="17315"/>
    <cellStyle name="Comma 3 15 2 5 2" xfId="37198"/>
    <cellStyle name="Comma 3 15 2 6" xfId="24893"/>
    <cellStyle name="Comma 3 15 3" xfId="5698"/>
    <cellStyle name="Comma 3 15 3 2" xfId="8801"/>
    <cellStyle name="Comma 3 15 3 2 2" xfId="14994"/>
    <cellStyle name="Comma 3 15 3 2 2 2" xfId="34877"/>
    <cellStyle name="Comma 3 15 3 2 3" xfId="21146"/>
    <cellStyle name="Comma 3 15 3 2 3 2" xfId="41029"/>
    <cellStyle name="Comma 3 15 3 2 4" xfId="28724"/>
    <cellStyle name="Comma 3 15 3 3" xfId="11928"/>
    <cellStyle name="Comma 3 15 3 3 2" xfId="31811"/>
    <cellStyle name="Comma 3 15 3 4" xfId="18080"/>
    <cellStyle name="Comma 3 15 3 4 2" xfId="37963"/>
    <cellStyle name="Comma 3 15 3 5" xfId="25658"/>
    <cellStyle name="Comma 3 15 4" xfId="7266"/>
    <cellStyle name="Comma 3 15 4 2" xfId="13460"/>
    <cellStyle name="Comma 3 15 4 2 2" xfId="33343"/>
    <cellStyle name="Comma 3 15 4 3" xfId="19612"/>
    <cellStyle name="Comma 3 15 4 3 2" xfId="39495"/>
    <cellStyle name="Comma 3 15 4 4" xfId="27190"/>
    <cellStyle name="Comma 3 15 5" xfId="10394"/>
    <cellStyle name="Comma 3 15 5 2" xfId="30277"/>
    <cellStyle name="Comma 3 15 6" xfId="16546"/>
    <cellStyle name="Comma 3 15 6 2" xfId="36429"/>
    <cellStyle name="Comma 3 15 7" xfId="1687"/>
    <cellStyle name="Comma 3 15 7 2" xfId="24124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2 2" xfId="35647"/>
    <cellStyle name="Comma 3 16 2 2 2 3" xfId="21916"/>
    <cellStyle name="Comma 3 16 2 2 2 3 2" xfId="41799"/>
    <cellStyle name="Comma 3 16 2 2 2 4" xfId="29494"/>
    <cellStyle name="Comma 3 16 2 2 3" xfId="12698"/>
    <cellStyle name="Comma 3 16 2 2 3 2" xfId="32581"/>
    <cellStyle name="Comma 3 16 2 2 4" xfId="18850"/>
    <cellStyle name="Comma 3 16 2 2 4 2" xfId="38733"/>
    <cellStyle name="Comma 3 16 2 2 5" xfId="26428"/>
    <cellStyle name="Comma 3 16 2 3" xfId="8036"/>
    <cellStyle name="Comma 3 16 2 3 2" xfId="14230"/>
    <cellStyle name="Comma 3 16 2 3 2 2" xfId="34113"/>
    <cellStyle name="Comma 3 16 2 3 3" xfId="20382"/>
    <cellStyle name="Comma 3 16 2 3 3 2" xfId="40265"/>
    <cellStyle name="Comma 3 16 2 3 4" xfId="27960"/>
    <cellStyle name="Comma 3 16 2 4" xfId="11164"/>
    <cellStyle name="Comma 3 16 2 4 2" xfId="31047"/>
    <cellStyle name="Comma 3 16 2 5" xfId="17316"/>
    <cellStyle name="Comma 3 16 2 5 2" xfId="37199"/>
    <cellStyle name="Comma 3 16 2 6" xfId="24894"/>
    <cellStyle name="Comma 3 16 3" xfId="5699"/>
    <cellStyle name="Comma 3 16 3 2" xfId="8802"/>
    <cellStyle name="Comma 3 16 3 2 2" xfId="14995"/>
    <cellStyle name="Comma 3 16 3 2 2 2" xfId="34878"/>
    <cellStyle name="Comma 3 16 3 2 3" xfId="21147"/>
    <cellStyle name="Comma 3 16 3 2 3 2" xfId="41030"/>
    <cellStyle name="Comma 3 16 3 2 4" xfId="28725"/>
    <cellStyle name="Comma 3 16 3 3" xfId="11929"/>
    <cellStyle name="Comma 3 16 3 3 2" xfId="31812"/>
    <cellStyle name="Comma 3 16 3 4" xfId="18081"/>
    <cellStyle name="Comma 3 16 3 4 2" xfId="37964"/>
    <cellStyle name="Comma 3 16 3 5" xfId="25659"/>
    <cellStyle name="Comma 3 16 4" xfId="7267"/>
    <cellStyle name="Comma 3 16 4 2" xfId="13461"/>
    <cellStyle name="Comma 3 16 4 2 2" xfId="33344"/>
    <cellStyle name="Comma 3 16 4 3" xfId="19613"/>
    <cellStyle name="Comma 3 16 4 3 2" xfId="39496"/>
    <cellStyle name="Comma 3 16 4 4" xfId="27191"/>
    <cellStyle name="Comma 3 16 5" xfId="10395"/>
    <cellStyle name="Comma 3 16 5 2" xfId="30278"/>
    <cellStyle name="Comma 3 16 6" xfId="16547"/>
    <cellStyle name="Comma 3 16 6 2" xfId="36430"/>
    <cellStyle name="Comma 3 16 7" xfId="1688"/>
    <cellStyle name="Comma 3 16 7 2" xfId="24125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2 2" xfId="35648"/>
    <cellStyle name="Comma 3 17 2 2 2 3" xfId="21917"/>
    <cellStyle name="Comma 3 17 2 2 2 3 2" xfId="41800"/>
    <cellStyle name="Comma 3 17 2 2 2 4" xfId="29495"/>
    <cellStyle name="Comma 3 17 2 2 3" xfId="12699"/>
    <cellStyle name="Comma 3 17 2 2 3 2" xfId="32582"/>
    <cellStyle name="Comma 3 17 2 2 4" xfId="18851"/>
    <cellStyle name="Comma 3 17 2 2 4 2" xfId="38734"/>
    <cellStyle name="Comma 3 17 2 2 5" xfId="26429"/>
    <cellStyle name="Comma 3 17 2 3" xfId="8037"/>
    <cellStyle name="Comma 3 17 2 3 2" xfId="14231"/>
    <cellStyle name="Comma 3 17 2 3 2 2" xfId="34114"/>
    <cellStyle name="Comma 3 17 2 3 3" xfId="20383"/>
    <cellStyle name="Comma 3 17 2 3 3 2" xfId="40266"/>
    <cellStyle name="Comma 3 17 2 3 4" xfId="27961"/>
    <cellStyle name="Comma 3 17 2 4" xfId="11165"/>
    <cellStyle name="Comma 3 17 2 4 2" xfId="31048"/>
    <cellStyle name="Comma 3 17 2 5" xfId="17317"/>
    <cellStyle name="Comma 3 17 2 5 2" xfId="37200"/>
    <cellStyle name="Comma 3 17 2 6" xfId="24895"/>
    <cellStyle name="Comma 3 17 3" xfId="5700"/>
    <cellStyle name="Comma 3 17 3 2" xfId="8803"/>
    <cellStyle name="Comma 3 17 3 2 2" xfId="14996"/>
    <cellStyle name="Comma 3 17 3 2 2 2" xfId="34879"/>
    <cellStyle name="Comma 3 17 3 2 3" xfId="21148"/>
    <cellStyle name="Comma 3 17 3 2 3 2" xfId="41031"/>
    <cellStyle name="Comma 3 17 3 2 4" xfId="28726"/>
    <cellStyle name="Comma 3 17 3 3" xfId="11930"/>
    <cellStyle name="Comma 3 17 3 3 2" xfId="31813"/>
    <cellStyle name="Comma 3 17 3 4" xfId="18082"/>
    <cellStyle name="Comma 3 17 3 4 2" xfId="37965"/>
    <cellStyle name="Comma 3 17 3 5" xfId="25660"/>
    <cellStyle name="Comma 3 17 4" xfId="7268"/>
    <cellStyle name="Comma 3 17 4 2" xfId="13462"/>
    <cellStyle name="Comma 3 17 4 2 2" xfId="33345"/>
    <cellStyle name="Comma 3 17 4 3" xfId="19614"/>
    <cellStyle name="Comma 3 17 4 3 2" xfId="39497"/>
    <cellStyle name="Comma 3 17 4 4" xfId="27192"/>
    <cellStyle name="Comma 3 17 5" xfId="10396"/>
    <cellStyle name="Comma 3 17 5 2" xfId="30279"/>
    <cellStyle name="Comma 3 17 6" xfId="16548"/>
    <cellStyle name="Comma 3 17 6 2" xfId="36431"/>
    <cellStyle name="Comma 3 17 7" xfId="1689"/>
    <cellStyle name="Comma 3 17 7 2" xfId="24126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2 2" xfId="35649"/>
    <cellStyle name="Comma 3 18 2 2 2 3" xfId="21918"/>
    <cellStyle name="Comma 3 18 2 2 2 3 2" xfId="41801"/>
    <cellStyle name="Comma 3 18 2 2 2 4" xfId="29496"/>
    <cellStyle name="Comma 3 18 2 2 3" xfId="12700"/>
    <cellStyle name="Comma 3 18 2 2 3 2" xfId="32583"/>
    <cellStyle name="Comma 3 18 2 2 4" xfId="18852"/>
    <cellStyle name="Comma 3 18 2 2 4 2" xfId="38735"/>
    <cellStyle name="Comma 3 18 2 2 5" xfId="26430"/>
    <cellStyle name="Comma 3 18 2 3" xfId="8038"/>
    <cellStyle name="Comma 3 18 2 3 2" xfId="14232"/>
    <cellStyle name="Comma 3 18 2 3 2 2" xfId="34115"/>
    <cellStyle name="Comma 3 18 2 3 3" xfId="20384"/>
    <cellStyle name="Comma 3 18 2 3 3 2" xfId="40267"/>
    <cellStyle name="Comma 3 18 2 3 4" xfId="27962"/>
    <cellStyle name="Comma 3 18 2 4" xfId="11166"/>
    <cellStyle name="Comma 3 18 2 4 2" xfId="31049"/>
    <cellStyle name="Comma 3 18 2 5" xfId="17318"/>
    <cellStyle name="Comma 3 18 2 5 2" xfId="37201"/>
    <cellStyle name="Comma 3 18 2 6" xfId="24896"/>
    <cellStyle name="Comma 3 18 3" xfId="5701"/>
    <cellStyle name="Comma 3 18 3 2" xfId="8804"/>
    <cellStyle name="Comma 3 18 3 2 2" xfId="14997"/>
    <cellStyle name="Comma 3 18 3 2 2 2" xfId="34880"/>
    <cellStyle name="Comma 3 18 3 2 3" xfId="21149"/>
    <cellStyle name="Comma 3 18 3 2 3 2" xfId="41032"/>
    <cellStyle name="Comma 3 18 3 2 4" xfId="28727"/>
    <cellStyle name="Comma 3 18 3 3" xfId="11931"/>
    <cellStyle name="Comma 3 18 3 3 2" xfId="31814"/>
    <cellStyle name="Comma 3 18 3 4" xfId="18083"/>
    <cellStyle name="Comma 3 18 3 4 2" xfId="37966"/>
    <cellStyle name="Comma 3 18 3 5" xfId="25661"/>
    <cellStyle name="Comma 3 18 4" xfId="7269"/>
    <cellStyle name="Comma 3 18 4 2" xfId="13463"/>
    <cellStyle name="Comma 3 18 4 2 2" xfId="33346"/>
    <cellStyle name="Comma 3 18 4 3" xfId="19615"/>
    <cellStyle name="Comma 3 18 4 3 2" xfId="39498"/>
    <cellStyle name="Comma 3 18 4 4" xfId="27193"/>
    <cellStyle name="Comma 3 18 5" xfId="10397"/>
    <cellStyle name="Comma 3 18 5 2" xfId="30280"/>
    <cellStyle name="Comma 3 18 6" xfId="16549"/>
    <cellStyle name="Comma 3 18 6 2" xfId="36432"/>
    <cellStyle name="Comma 3 18 7" xfId="1690"/>
    <cellStyle name="Comma 3 18 7 2" xfId="24127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2 2" xfId="35650"/>
    <cellStyle name="Comma 3 19 2 2 2 3" xfId="21919"/>
    <cellStyle name="Comma 3 19 2 2 2 3 2" xfId="41802"/>
    <cellStyle name="Comma 3 19 2 2 2 4" xfId="29497"/>
    <cellStyle name="Comma 3 19 2 2 3" xfId="12701"/>
    <cellStyle name="Comma 3 19 2 2 3 2" xfId="32584"/>
    <cellStyle name="Comma 3 19 2 2 4" xfId="18853"/>
    <cellStyle name="Comma 3 19 2 2 4 2" xfId="38736"/>
    <cellStyle name="Comma 3 19 2 2 5" xfId="26431"/>
    <cellStyle name="Comma 3 19 2 3" xfId="8039"/>
    <cellStyle name="Comma 3 19 2 3 2" xfId="14233"/>
    <cellStyle name="Comma 3 19 2 3 2 2" xfId="34116"/>
    <cellStyle name="Comma 3 19 2 3 3" xfId="20385"/>
    <cellStyle name="Comma 3 19 2 3 3 2" xfId="40268"/>
    <cellStyle name="Comma 3 19 2 3 4" xfId="27963"/>
    <cellStyle name="Comma 3 19 2 4" xfId="11167"/>
    <cellStyle name="Comma 3 19 2 4 2" xfId="31050"/>
    <cellStyle name="Comma 3 19 2 5" xfId="17319"/>
    <cellStyle name="Comma 3 19 2 5 2" xfId="37202"/>
    <cellStyle name="Comma 3 19 2 6" xfId="24897"/>
    <cellStyle name="Comma 3 19 3" xfId="5702"/>
    <cellStyle name="Comma 3 19 3 2" xfId="8805"/>
    <cellStyle name="Comma 3 19 3 2 2" xfId="14998"/>
    <cellStyle name="Comma 3 19 3 2 2 2" xfId="34881"/>
    <cellStyle name="Comma 3 19 3 2 3" xfId="21150"/>
    <cellStyle name="Comma 3 19 3 2 3 2" xfId="41033"/>
    <cellStyle name="Comma 3 19 3 2 4" xfId="28728"/>
    <cellStyle name="Comma 3 19 3 3" xfId="11932"/>
    <cellStyle name="Comma 3 19 3 3 2" xfId="31815"/>
    <cellStyle name="Comma 3 19 3 4" xfId="18084"/>
    <cellStyle name="Comma 3 19 3 4 2" xfId="37967"/>
    <cellStyle name="Comma 3 19 3 5" xfId="25662"/>
    <cellStyle name="Comma 3 19 4" xfId="7270"/>
    <cellStyle name="Comma 3 19 4 2" xfId="13464"/>
    <cellStyle name="Comma 3 19 4 2 2" xfId="33347"/>
    <cellStyle name="Comma 3 19 4 3" xfId="19616"/>
    <cellStyle name="Comma 3 19 4 3 2" xfId="39499"/>
    <cellStyle name="Comma 3 19 4 4" xfId="27194"/>
    <cellStyle name="Comma 3 19 5" xfId="10398"/>
    <cellStyle name="Comma 3 19 5 2" xfId="30281"/>
    <cellStyle name="Comma 3 19 6" xfId="16550"/>
    <cellStyle name="Comma 3 19 6 2" xfId="36433"/>
    <cellStyle name="Comma 3 19 7" xfId="1691"/>
    <cellStyle name="Comma 3 19 7 2" xfId="24128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2 2" xfId="35651"/>
    <cellStyle name="Comma 3 2 2 2 2 2 3" xfId="21920"/>
    <cellStyle name="Comma 3 2 2 2 2 2 3 2" xfId="41803"/>
    <cellStyle name="Comma 3 2 2 2 2 2 4" xfId="29498"/>
    <cellStyle name="Comma 3 2 2 2 2 3" xfId="12702"/>
    <cellStyle name="Comma 3 2 2 2 2 3 2" xfId="32585"/>
    <cellStyle name="Comma 3 2 2 2 2 4" xfId="18854"/>
    <cellStyle name="Comma 3 2 2 2 2 4 2" xfId="38737"/>
    <cellStyle name="Comma 3 2 2 2 2 5" xfId="26432"/>
    <cellStyle name="Comma 3 2 2 2 3" xfId="8040"/>
    <cellStyle name="Comma 3 2 2 2 3 2" xfId="14234"/>
    <cellStyle name="Comma 3 2 2 2 3 2 2" xfId="34117"/>
    <cellStyle name="Comma 3 2 2 2 3 3" xfId="20386"/>
    <cellStyle name="Comma 3 2 2 2 3 3 2" xfId="40269"/>
    <cellStyle name="Comma 3 2 2 2 3 4" xfId="27964"/>
    <cellStyle name="Comma 3 2 2 2 4" xfId="11168"/>
    <cellStyle name="Comma 3 2 2 2 4 2" xfId="31051"/>
    <cellStyle name="Comma 3 2 2 2 5" xfId="17320"/>
    <cellStyle name="Comma 3 2 2 2 5 2" xfId="37203"/>
    <cellStyle name="Comma 3 2 2 2 6" xfId="24898"/>
    <cellStyle name="Comma 3 2 2 3" xfId="5703"/>
    <cellStyle name="Comma 3 2 2 3 2" xfId="8806"/>
    <cellStyle name="Comma 3 2 2 3 2 2" xfId="14999"/>
    <cellStyle name="Comma 3 2 2 3 2 2 2" xfId="34882"/>
    <cellStyle name="Comma 3 2 2 3 2 3" xfId="21151"/>
    <cellStyle name="Comma 3 2 2 3 2 3 2" xfId="41034"/>
    <cellStyle name="Comma 3 2 2 3 2 4" xfId="28729"/>
    <cellStyle name="Comma 3 2 2 3 3" xfId="11933"/>
    <cellStyle name="Comma 3 2 2 3 3 2" xfId="31816"/>
    <cellStyle name="Comma 3 2 2 3 4" xfId="18085"/>
    <cellStyle name="Comma 3 2 2 3 4 2" xfId="37968"/>
    <cellStyle name="Comma 3 2 2 3 5" xfId="25663"/>
    <cellStyle name="Comma 3 2 2 4" xfId="7271"/>
    <cellStyle name="Comma 3 2 2 4 2" xfId="13465"/>
    <cellStyle name="Comma 3 2 2 4 2 2" xfId="33348"/>
    <cellStyle name="Comma 3 2 2 4 3" xfId="19617"/>
    <cellStyle name="Comma 3 2 2 4 3 2" xfId="39500"/>
    <cellStyle name="Comma 3 2 2 4 4" xfId="27195"/>
    <cellStyle name="Comma 3 2 2 5" xfId="10399"/>
    <cellStyle name="Comma 3 2 2 5 2" xfId="30282"/>
    <cellStyle name="Comma 3 2 2 6" xfId="16551"/>
    <cellStyle name="Comma 3 2 2 6 2" xfId="36434"/>
    <cellStyle name="Comma 3 2 2 7" xfId="1693"/>
    <cellStyle name="Comma 3 2 2 7 2" xfId="24129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2 2" xfId="35652"/>
    <cellStyle name="Comma 3 2 3 2 2 2 3" xfId="21921"/>
    <cellStyle name="Comma 3 2 3 2 2 2 3 2" xfId="41804"/>
    <cellStyle name="Comma 3 2 3 2 2 2 4" xfId="29499"/>
    <cellStyle name="Comma 3 2 3 2 2 3" xfId="12703"/>
    <cellStyle name="Comma 3 2 3 2 2 3 2" xfId="32586"/>
    <cellStyle name="Comma 3 2 3 2 2 4" xfId="18855"/>
    <cellStyle name="Comma 3 2 3 2 2 4 2" xfId="38738"/>
    <cellStyle name="Comma 3 2 3 2 2 5" xfId="26433"/>
    <cellStyle name="Comma 3 2 3 2 3" xfId="8041"/>
    <cellStyle name="Comma 3 2 3 2 3 2" xfId="14235"/>
    <cellStyle name="Comma 3 2 3 2 3 2 2" xfId="34118"/>
    <cellStyle name="Comma 3 2 3 2 3 3" xfId="20387"/>
    <cellStyle name="Comma 3 2 3 2 3 3 2" xfId="40270"/>
    <cellStyle name="Comma 3 2 3 2 3 4" xfId="27965"/>
    <cellStyle name="Comma 3 2 3 2 4" xfId="11169"/>
    <cellStyle name="Comma 3 2 3 2 4 2" xfId="31052"/>
    <cellStyle name="Comma 3 2 3 2 5" xfId="17321"/>
    <cellStyle name="Comma 3 2 3 2 5 2" xfId="37204"/>
    <cellStyle name="Comma 3 2 3 2 6" xfId="24899"/>
    <cellStyle name="Comma 3 2 3 3" xfId="5704"/>
    <cellStyle name="Comma 3 2 3 3 2" xfId="8807"/>
    <cellStyle name="Comma 3 2 3 3 2 2" xfId="15000"/>
    <cellStyle name="Comma 3 2 3 3 2 2 2" xfId="34883"/>
    <cellStyle name="Comma 3 2 3 3 2 3" xfId="21152"/>
    <cellStyle name="Comma 3 2 3 3 2 3 2" xfId="41035"/>
    <cellStyle name="Comma 3 2 3 3 2 4" xfId="28730"/>
    <cellStyle name="Comma 3 2 3 3 3" xfId="11934"/>
    <cellStyle name="Comma 3 2 3 3 3 2" xfId="31817"/>
    <cellStyle name="Comma 3 2 3 3 4" xfId="18086"/>
    <cellStyle name="Comma 3 2 3 3 4 2" xfId="37969"/>
    <cellStyle name="Comma 3 2 3 3 5" xfId="25664"/>
    <cellStyle name="Comma 3 2 3 4" xfId="7272"/>
    <cellStyle name="Comma 3 2 3 4 2" xfId="13466"/>
    <cellStyle name="Comma 3 2 3 4 2 2" xfId="33349"/>
    <cellStyle name="Comma 3 2 3 4 3" xfId="19618"/>
    <cellStyle name="Comma 3 2 3 4 3 2" xfId="39501"/>
    <cellStyle name="Comma 3 2 3 4 4" xfId="27196"/>
    <cellStyle name="Comma 3 2 3 5" xfId="10400"/>
    <cellStyle name="Comma 3 2 3 5 2" xfId="30283"/>
    <cellStyle name="Comma 3 2 3 6" xfId="16552"/>
    <cellStyle name="Comma 3 2 3 6 2" xfId="36435"/>
    <cellStyle name="Comma 3 2 3 7" xfId="24130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2 2" xfId="35653"/>
    <cellStyle name="Comma 3 2 4 2 2 2 3" xfId="21922"/>
    <cellStyle name="Comma 3 2 4 2 2 2 3 2" xfId="41805"/>
    <cellStyle name="Comma 3 2 4 2 2 2 4" xfId="29500"/>
    <cellStyle name="Comma 3 2 4 2 2 3" xfId="12704"/>
    <cellStyle name="Comma 3 2 4 2 2 3 2" xfId="32587"/>
    <cellStyle name="Comma 3 2 4 2 2 4" xfId="18856"/>
    <cellStyle name="Comma 3 2 4 2 2 4 2" xfId="38739"/>
    <cellStyle name="Comma 3 2 4 2 2 5" xfId="26434"/>
    <cellStyle name="Comma 3 2 4 2 3" xfId="8042"/>
    <cellStyle name="Comma 3 2 4 2 3 2" xfId="14236"/>
    <cellStyle name="Comma 3 2 4 2 3 2 2" xfId="34119"/>
    <cellStyle name="Comma 3 2 4 2 3 3" xfId="20388"/>
    <cellStyle name="Comma 3 2 4 2 3 3 2" xfId="40271"/>
    <cellStyle name="Comma 3 2 4 2 3 4" xfId="27966"/>
    <cellStyle name="Comma 3 2 4 2 4" xfId="11170"/>
    <cellStyle name="Comma 3 2 4 2 4 2" xfId="31053"/>
    <cellStyle name="Comma 3 2 4 2 5" xfId="17322"/>
    <cellStyle name="Comma 3 2 4 2 5 2" xfId="37205"/>
    <cellStyle name="Comma 3 2 4 2 6" xfId="24900"/>
    <cellStyle name="Comma 3 2 4 3" xfId="5705"/>
    <cellStyle name="Comma 3 2 4 3 2" xfId="8808"/>
    <cellStyle name="Comma 3 2 4 3 2 2" xfId="15001"/>
    <cellStyle name="Comma 3 2 4 3 2 2 2" xfId="34884"/>
    <cellStyle name="Comma 3 2 4 3 2 3" xfId="21153"/>
    <cellStyle name="Comma 3 2 4 3 2 3 2" xfId="41036"/>
    <cellStyle name="Comma 3 2 4 3 2 4" xfId="28731"/>
    <cellStyle name="Comma 3 2 4 3 3" xfId="11935"/>
    <cellStyle name="Comma 3 2 4 3 3 2" xfId="31818"/>
    <cellStyle name="Comma 3 2 4 3 4" xfId="18087"/>
    <cellStyle name="Comma 3 2 4 3 4 2" xfId="37970"/>
    <cellStyle name="Comma 3 2 4 3 5" xfId="25665"/>
    <cellStyle name="Comma 3 2 4 4" xfId="7273"/>
    <cellStyle name="Comma 3 2 4 4 2" xfId="13467"/>
    <cellStyle name="Comma 3 2 4 4 2 2" xfId="33350"/>
    <cellStyle name="Comma 3 2 4 4 3" xfId="19619"/>
    <cellStyle name="Comma 3 2 4 4 3 2" xfId="39502"/>
    <cellStyle name="Comma 3 2 4 4 4" xfId="27197"/>
    <cellStyle name="Comma 3 2 4 5" xfId="10401"/>
    <cellStyle name="Comma 3 2 4 5 2" xfId="30284"/>
    <cellStyle name="Comma 3 2 4 6" xfId="16553"/>
    <cellStyle name="Comma 3 2 4 6 2" xfId="36436"/>
    <cellStyle name="Comma 3 2 4 7" xfId="24131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2 2" xfId="35654"/>
    <cellStyle name="Comma 3 2 5 2 2 2 3" xfId="21923"/>
    <cellStyle name="Comma 3 2 5 2 2 2 3 2" xfId="41806"/>
    <cellStyle name="Comma 3 2 5 2 2 2 4" xfId="29501"/>
    <cellStyle name="Comma 3 2 5 2 2 3" xfId="12705"/>
    <cellStyle name="Comma 3 2 5 2 2 3 2" xfId="32588"/>
    <cellStyle name="Comma 3 2 5 2 2 4" xfId="18857"/>
    <cellStyle name="Comma 3 2 5 2 2 4 2" xfId="38740"/>
    <cellStyle name="Comma 3 2 5 2 2 5" xfId="26435"/>
    <cellStyle name="Comma 3 2 5 2 3" xfId="8043"/>
    <cellStyle name="Comma 3 2 5 2 3 2" xfId="14237"/>
    <cellStyle name="Comma 3 2 5 2 3 2 2" xfId="34120"/>
    <cellStyle name="Comma 3 2 5 2 3 3" xfId="20389"/>
    <cellStyle name="Comma 3 2 5 2 3 3 2" xfId="40272"/>
    <cellStyle name="Comma 3 2 5 2 3 4" xfId="27967"/>
    <cellStyle name="Comma 3 2 5 2 4" xfId="11171"/>
    <cellStyle name="Comma 3 2 5 2 4 2" xfId="31054"/>
    <cellStyle name="Comma 3 2 5 2 5" xfId="17323"/>
    <cellStyle name="Comma 3 2 5 2 5 2" xfId="37206"/>
    <cellStyle name="Comma 3 2 5 2 6" xfId="24901"/>
    <cellStyle name="Comma 3 2 5 3" xfId="5706"/>
    <cellStyle name="Comma 3 2 5 3 2" xfId="8809"/>
    <cellStyle name="Comma 3 2 5 3 2 2" xfId="15002"/>
    <cellStyle name="Comma 3 2 5 3 2 2 2" xfId="34885"/>
    <cellStyle name="Comma 3 2 5 3 2 3" xfId="21154"/>
    <cellStyle name="Comma 3 2 5 3 2 3 2" xfId="41037"/>
    <cellStyle name="Comma 3 2 5 3 2 4" xfId="28732"/>
    <cellStyle name="Comma 3 2 5 3 3" xfId="11936"/>
    <cellStyle name="Comma 3 2 5 3 3 2" xfId="31819"/>
    <cellStyle name="Comma 3 2 5 3 4" xfId="18088"/>
    <cellStyle name="Comma 3 2 5 3 4 2" xfId="37971"/>
    <cellStyle name="Comma 3 2 5 3 5" xfId="25666"/>
    <cellStyle name="Comma 3 2 5 4" xfId="7274"/>
    <cellStyle name="Comma 3 2 5 4 2" xfId="13468"/>
    <cellStyle name="Comma 3 2 5 4 2 2" xfId="33351"/>
    <cellStyle name="Comma 3 2 5 4 3" xfId="19620"/>
    <cellStyle name="Comma 3 2 5 4 3 2" xfId="39503"/>
    <cellStyle name="Comma 3 2 5 4 4" xfId="27198"/>
    <cellStyle name="Comma 3 2 5 5" xfId="10402"/>
    <cellStyle name="Comma 3 2 5 5 2" xfId="30285"/>
    <cellStyle name="Comma 3 2 5 6" xfId="16554"/>
    <cellStyle name="Comma 3 2 5 6 2" xfId="36437"/>
    <cellStyle name="Comma 3 2 5 7" xfId="24132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2 2" xfId="35655"/>
    <cellStyle name="Comma 3 20 2 2 2 3" xfId="21924"/>
    <cellStyle name="Comma 3 20 2 2 2 3 2" xfId="41807"/>
    <cellStyle name="Comma 3 20 2 2 2 4" xfId="29502"/>
    <cellStyle name="Comma 3 20 2 2 3" xfId="12706"/>
    <cellStyle name="Comma 3 20 2 2 3 2" xfId="32589"/>
    <cellStyle name="Comma 3 20 2 2 4" xfId="18858"/>
    <cellStyle name="Comma 3 20 2 2 4 2" xfId="38741"/>
    <cellStyle name="Comma 3 20 2 2 5" xfId="26436"/>
    <cellStyle name="Comma 3 20 2 3" xfId="8044"/>
    <cellStyle name="Comma 3 20 2 3 2" xfId="14238"/>
    <cellStyle name="Comma 3 20 2 3 2 2" xfId="34121"/>
    <cellStyle name="Comma 3 20 2 3 3" xfId="20390"/>
    <cellStyle name="Comma 3 20 2 3 3 2" xfId="40273"/>
    <cellStyle name="Comma 3 20 2 3 4" xfId="27968"/>
    <cellStyle name="Comma 3 20 2 4" xfId="11172"/>
    <cellStyle name="Comma 3 20 2 4 2" xfId="31055"/>
    <cellStyle name="Comma 3 20 2 5" xfId="17324"/>
    <cellStyle name="Comma 3 20 2 5 2" xfId="37207"/>
    <cellStyle name="Comma 3 20 2 6" xfId="24902"/>
    <cellStyle name="Comma 3 20 3" xfId="5707"/>
    <cellStyle name="Comma 3 20 3 2" xfId="8810"/>
    <cellStyle name="Comma 3 20 3 2 2" xfId="15003"/>
    <cellStyle name="Comma 3 20 3 2 2 2" xfId="34886"/>
    <cellStyle name="Comma 3 20 3 2 3" xfId="21155"/>
    <cellStyle name="Comma 3 20 3 2 3 2" xfId="41038"/>
    <cellStyle name="Comma 3 20 3 2 4" xfId="28733"/>
    <cellStyle name="Comma 3 20 3 3" xfId="11937"/>
    <cellStyle name="Comma 3 20 3 3 2" xfId="31820"/>
    <cellStyle name="Comma 3 20 3 4" xfId="18089"/>
    <cellStyle name="Comma 3 20 3 4 2" xfId="37972"/>
    <cellStyle name="Comma 3 20 3 5" xfId="25667"/>
    <cellStyle name="Comma 3 20 4" xfId="7275"/>
    <cellStyle name="Comma 3 20 4 2" xfId="13469"/>
    <cellStyle name="Comma 3 20 4 2 2" xfId="33352"/>
    <cellStyle name="Comma 3 20 4 3" xfId="19621"/>
    <cellStyle name="Comma 3 20 4 3 2" xfId="39504"/>
    <cellStyle name="Comma 3 20 4 4" xfId="27199"/>
    <cellStyle name="Comma 3 20 5" xfId="10403"/>
    <cellStyle name="Comma 3 20 5 2" xfId="30286"/>
    <cellStyle name="Comma 3 20 6" xfId="16555"/>
    <cellStyle name="Comma 3 20 6 2" xfId="36438"/>
    <cellStyle name="Comma 3 20 7" xfId="1702"/>
    <cellStyle name="Comma 3 20 7 2" xfId="24133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2 2" xfId="35656"/>
    <cellStyle name="Comma 3 21 2 2 2 3" xfId="21925"/>
    <cellStyle name="Comma 3 21 2 2 2 3 2" xfId="41808"/>
    <cellStyle name="Comma 3 21 2 2 2 4" xfId="29503"/>
    <cellStyle name="Comma 3 21 2 2 3" xfId="12707"/>
    <cellStyle name="Comma 3 21 2 2 3 2" xfId="32590"/>
    <cellStyle name="Comma 3 21 2 2 4" xfId="18859"/>
    <cellStyle name="Comma 3 21 2 2 4 2" xfId="38742"/>
    <cellStyle name="Comma 3 21 2 2 5" xfId="26437"/>
    <cellStyle name="Comma 3 21 2 3" xfId="8045"/>
    <cellStyle name="Comma 3 21 2 3 2" xfId="14239"/>
    <cellStyle name="Comma 3 21 2 3 2 2" xfId="34122"/>
    <cellStyle name="Comma 3 21 2 3 3" xfId="20391"/>
    <cellStyle name="Comma 3 21 2 3 3 2" xfId="40274"/>
    <cellStyle name="Comma 3 21 2 3 4" xfId="27969"/>
    <cellStyle name="Comma 3 21 2 4" xfId="11173"/>
    <cellStyle name="Comma 3 21 2 4 2" xfId="31056"/>
    <cellStyle name="Comma 3 21 2 5" xfId="17325"/>
    <cellStyle name="Comma 3 21 2 5 2" xfId="37208"/>
    <cellStyle name="Comma 3 21 2 6" xfId="24903"/>
    <cellStyle name="Comma 3 21 3" xfId="5708"/>
    <cellStyle name="Comma 3 21 3 2" xfId="8811"/>
    <cellStyle name="Comma 3 21 3 2 2" xfId="15004"/>
    <cellStyle name="Comma 3 21 3 2 2 2" xfId="34887"/>
    <cellStyle name="Comma 3 21 3 2 3" xfId="21156"/>
    <cellStyle name="Comma 3 21 3 2 3 2" xfId="41039"/>
    <cellStyle name="Comma 3 21 3 2 4" xfId="28734"/>
    <cellStyle name="Comma 3 21 3 3" xfId="11938"/>
    <cellStyle name="Comma 3 21 3 3 2" xfId="31821"/>
    <cellStyle name="Comma 3 21 3 4" xfId="18090"/>
    <cellStyle name="Comma 3 21 3 4 2" xfId="37973"/>
    <cellStyle name="Comma 3 21 3 5" xfId="25668"/>
    <cellStyle name="Comma 3 21 4" xfId="7276"/>
    <cellStyle name="Comma 3 21 4 2" xfId="13470"/>
    <cellStyle name="Comma 3 21 4 2 2" xfId="33353"/>
    <cellStyle name="Comma 3 21 4 3" xfId="19622"/>
    <cellStyle name="Comma 3 21 4 3 2" xfId="39505"/>
    <cellStyle name="Comma 3 21 4 4" xfId="27200"/>
    <cellStyle name="Comma 3 21 5" xfId="10404"/>
    <cellStyle name="Comma 3 21 5 2" xfId="30287"/>
    <cellStyle name="Comma 3 21 6" xfId="16556"/>
    <cellStyle name="Comma 3 21 6 2" xfId="36439"/>
    <cellStyle name="Comma 3 21 7" xfId="1703"/>
    <cellStyle name="Comma 3 21 7 2" xfId="24134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0 2" xfId="36440"/>
    <cellStyle name="Comma 3 3 11" xfId="1706"/>
    <cellStyle name="Comma 3 3 11 2" xfId="24135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2 2" xfId="35658"/>
    <cellStyle name="Comma 3 3 2 2 2 2 3" xfId="21927"/>
    <cellStyle name="Comma 3 3 2 2 2 2 3 2" xfId="41810"/>
    <cellStyle name="Comma 3 3 2 2 2 2 4" xfId="29505"/>
    <cellStyle name="Comma 3 3 2 2 2 3" xfId="12709"/>
    <cellStyle name="Comma 3 3 2 2 2 3 2" xfId="32592"/>
    <cellStyle name="Comma 3 3 2 2 2 4" xfId="18861"/>
    <cellStyle name="Comma 3 3 2 2 2 4 2" xfId="38744"/>
    <cellStyle name="Comma 3 3 2 2 2 5" xfId="26439"/>
    <cellStyle name="Comma 3 3 2 2 3" xfId="8047"/>
    <cellStyle name="Comma 3 3 2 2 3 2" xfId="14241"/>
    <cellStyle name="Comma 3 3 2 2 3 2 2" xfId="34124"/>
    <cellStyle name="Comma 3 3 2 2 3 3" xfId="20393"/>
    <cellStyle name="Comma 3 3 2 2 3 3 2" xfId="40276"/>
    <cellStyle name="Comma 3 3 2 2 3 4" xfId="27971"/>
    <cellStyle name="Comma 3 3 2 2 4" xfId="11175"/>
    <cellStyle name="Comma 3 3 2 2 4 2" xfId="31058"/>
    <cellStyle name="Comma 3 3 2 2 5" xfId="17327"/>
    <cellStyle name="Comma 3 3 2 2 5 2" xfId="37210"/>
    <cellStyle name="Comma 3 3 2 2 6" xfId="24905"/>
    <cellStyle name="Comma 3 3 2 3" xfId="5710"/>
    <cellStyle name="Comma 3 3 2 3 2" xfId="8813"/>
    <cellStyle name="Comma 3 3 2 3 2 2" xfId="15006"/>
    <cellStyle name="Comma 3 3 2 3 2 2 2" xfId="34889"/>
    <cellStyle name="Comma 3 3 2 3 2 3" xfId="21158"/>
    <cellStyle name="Comma 3 3 2 3 2 3 2" xfId="41041"/>
    <cellStyle name="Comma 3 3 2 3 2 4" xfId="28736"/>
    <cellStyle name="Comma 3 3 2 3 3" xfId="11940"/>
    <cellStyle name="Comma 3 3 2 3 3 2" xfId="31823"/>
    <cellStyle name="Comma 3 3 2 3 4" xfId="18092"/>
    <cellStyle name="Comma 3 3 2 3 4 2" xfId="37975"/>
    <cellStyle name="Comma 3 3 2 3 5" xfId="25670"/>
    <cellStyle name="Comma 3 3 2 4" xfId="7278"/>
    <cellStyle name="Comma 3 3 2 4 2" xfId="13472"/>
    <cellStyle name="Comma 3 3 2 4 2 2" xfId="33355"/>
    <cellStyle name="Comma 3 3 2 4 3" xfId="19624"/>
    <cellStyle name="Comma 3 3 2 4 3 2" xfId="39507"/>
    <cellStyle name="Comma 3 3 2 4 4" xfId="27202"/>
    <cellStyle name="Comma 3 3 2 5" xfId="10406"/>
    <cellStyle name="Comma 3 3 2 5 2" xfId="30289"/>
    <cellStyle name="Comma 3 3 2 6" xfId="16558"/>
    <cellStyle name="Comma 3 3 2 6 2" xfId="36441"/>
    <cellStyle name="Comma 3 3 2 7" xfId="1707"/>
    <cellStyle name="Comma 3 3 2 7 2" xfId="24136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2 2" xfId="35659"/>
    <cellStyle name="Comma 3 3 3 2 2 2 3" xfId="21928"/>
    <cellStyle name="Comma 3 3 3 2 2 2 3 2" xfId="41811"/>
    <cellStyle name="Comma 3 3 3 2 2 2 4" xfId="29506"/>
    <cellStyle name="Comma 3 3 3 2 2 3" xfId="12710"/>
    <cellStyle name="Comma 3 3 3 2 2 3 2" xfId="32593"/>
    <cellStyle name="Comma 3 3 3 2 2 4" xfId="18862"/>
    <cellStyle name="Comma 3 3 3 2 2 4 2" xfId="38745"/>
    <cellStyle name="Comma 3 3 3 2 2 5" xfId="26440"/>
    <cellStyle name="Comma 3 3 3 2 3" xfId="8048"/>
    <cellStyle name="Comma 3 3 3 2 3 2" xfId="14242"/>
    <cellStyle name="Comma 3 3 3 2 3 2 2" xfId="34125"/>
    <cellStyle name="Comma 3 3 3 2 3 3" xfId="20394"/>
    <cellStyle name="Comma 3 3 3 2 3 3 2" xfId="40277"/>
    <cellStyle name="Comma 3 3 3 2 3 4" xfId="27972"/>
    <cellStyle name="Comma 3 3 3 2 4" xfId="11176"/>
    <cellStyle name="Comma 3 3 3 2 4 2" xfId="31059"/>
    <cellStyle name="Comma 3 3 3 2 5" xfId="17328"/>
    <cellStyle name="Comma 3 3 3 2 5 2" xfId="37211"/>
    <cellStyle name="Comma 3 3 3 2 6" xfId="24906"/>
    <cellStyle name="Comma 3 3 3 3" xfId="5711"/>
    <cellStyle name="Comma 3 3 3 3 2" xfId="8814"/>
    <cellStyle name="Comma 3 3 3 3 2 2" xfId="15007"/>
    <cellStyle name="Comma 3 3 3 3 2 2 2" xfId="34890"/>
    <cellStyle name="Comma 3 3 3 3 2 3" xfId="21159"/>
    <cellStyle name="Comma 3 3 3 3 2 3 2" xfId="41042"/>
    <cellStyle name="Comma 3 3 3 3 2 4" xfId="28737"/>
    <cellStyle name="Comma 3 3 3 3 3" xfId="11941"/>
    <cellStyle name="Comma 3 3 3 3 3 2" xfId="31824"/>
    <cellStyle name="Comma 3 3 3 3 4" xfId="18093"/>
    <cellStyle name="Comma 3 3 3 3 4 2" xfId="37976"/>
    <cellStyle name="Comma 3 3 3 3 5" xfId="25671"/>
    <cellStyle name="Comma 3 3 3 4" xfId="7279"/>
    <cellStyle name="Comma 3 3 3 4 2" xfId="13473"/>
    <cellStyle name="Comma 3 3 3 4 2 2" xfId="33356"/>
    <cellStyle name="Comma 3 3 3 4 3" xfId="19625"/>
    <cellStyle name="Comma 3 3 3 4 3 2" xfId="39508"/>
    <cellStyle name="Comma 3 3 3 4 4" xfId="27203"/>
    <cellStyle name="Comma 3 3 3 5" xfId="10407"/>
    <cellStyle name="Comma 3 3 3 5 2" xfId="30290"/>
    <cellStyle name="Comma 3 3 3 6" xfId="16559"/>
    <cellStyle name="Comma 3 3 3 6 2" xfId="36442"/>
    <cellStyle name="Comma 3 3 3 7" xfId="24137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2 2" xfId="35660"/>
    <cellStyle name="Comma 3 3 4 2 2 2 3" xfId="21929"/>
    <cellStyle name="Comma 3 3 4 2 2 2 3 2" xfId="41812"/>
    <cellStyle name="Comma 3 3 4 2 2 2 4" xfId="29507"/>
    <cellStyle name="Comma 3 3 4 2 2 3" xfId="12711"/>
    <cellStyle name="Comma 3 3 4 2 2 3 2" xfId="32594"/>
    <cellStyle name="Comma 3 3 4 2 2 4" xfId="18863"/>
    <cellStyle name="Comma 3 3 4 2 2 4 2" xfId="38746"/>
    <cellStyle name="Comma 3 3 4 2 2 5" xfId="26441"/>
    <cellStyle name="Comma 3 3 4 2 3" xfId="8049"/>
    <cellStyle name="Comma 3 3 4 2 3 2" xfId="14243"/>
    <cellStyle name="Comma 3 3 4 2 3 2 2" xfId="34126"/>
    <cellStyle name="Comma 3 3 4 2 3 3" xfId="20395"/>
    <cellStyle name="Comma 3 3 4 2 3 3 2" xfId="40278"/>
    <cellStyle name="Comma 3 3 4 2 3 4" xfId="27973"/>
    <cellStyle name="Comma 3 3 4 2 4" xfId="11177"/>
    <cellStyle name="Comma 3 3 4 2 4 2" xfId="31060"/>
    <cellStyle name="Comma 3 3 4 2 5" xfId="17329"/>
    <cellStyle name="Comma 3 3 4 2 5 2" xfId="37212"/>
    <cellStyle name="Comma 3 3 4 2 6" xfId="24907"/>
    <cellStyle name="Comma 3 3 4 3" xfId="5712"/>
    <cellStyle name="Comma 3 3 4 3 2" xfId="8815"/>
    <cellStyle name="Comma 3 3 4 3 2 2" xfId="15008"/>
    <cellStyle name="Comma 3 3 4 3 2 2 2" xfId="34891"/>
    <cellStyle name="Comma 3 3 4 3 2 3" xfId="21160"/>
    <cellStyle name="Comma 3 3 4 3 2 3 2" xfId="41043"/>
    <cellStyle name="Comma 3 3 4 3 2 4" xfId="28738"/>
    <cellStyle name="Comma 3 3 4 3 3" xfId="11942"/>
    <cellStyle name="Comma 3 3 4 3 3 2" xfId="31825"/>
    <cellStyle name="Comma 3 3 4 3 4" xfId="18094"/>
    <cellStyle name="Comma 3 3 4 3 4 2" xfId="37977"/>
    <cellStyle name="Comma 3 3 4 3 5" xfId="25672"/>
    <cellStyle name="Comma 3 3 4 4" xfId="7280"/>
    <cellStyle name="Comma 3 3 4 4 2" xfId="13474"/>
    <cellStyle name="Comma 3 3 4 4 2 2" xfId="33357"/>
    <cellStyle name="Comma 3 3 4 4 3" xfId="19626"/>
    <cellStyle name="Comma 3 3 4 4 3 2" xfId="39509"/>
    <cellStyle name="Comma 3 3 4 4 4" xfId="27204"/>
    <cellStyle name="Comma 3 3 4 5" xfId="10408"/>
    <cellStyle name="Comma 3 3 4 5 2" xfId="30291"/>
    <cellStyle name="Comma 3 3 4 6" xfId="16560"/>
    <cellStyle name="Comma 3 3 4 6 2" xfId="36443"/>
    <cellStyle name="Comma 3 3 4 7" xfId="24138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2 2" xfId="35661"/>
    <cellStyle name="Comma 3 3 5 2 2 2 3" xfId="21930"/>
    <cellStyle name="Comma 3 3 5 2 2 2 3 2" xfId="41813"/>
    <cellStyle name="Comma 3 3 5 2 2 2 4" xfId="29508"/>
    <cellStyle name="Comma 3 3 5 2 2 3" xfId="12712"/>
    <cellStyle name="Comma 3 3 5 2 2 3 2" xfId="32595"/>
    <cellStyle name="Comma 3 3 5 2 2 4" xfId="18864"/>
    <cellStyle name="Comma 3 3 5 2 2 4 2" xfId="38747"/>
    <cellStyle name="Comma 3 3 5 2 2 5" xfId="26442"/>
    <cellStyle name="Comma 3 3 5 2 3" xfId="8050"/>
    <cellStyle name="Comma 3 3 5 2 3 2" xfId="14244"/>
    <cellStyle name="Comma 3 3 5 2 3 2 2" xfId="34127"/>
    <cellStyle name="Comma 3 3 5 2 3 3" xfId="20396"/>
    <cellStyle name="Comma 3 3 5 2 3 3 2" xfId="40279"/>
    <cellStyle name="Comma 3 3 5 2 3 4" xfId="27974"/>
    <cellStyle name="Comma 3 3 5 2 4" xfId="11178"/>
    <cellStyle name="Comma 3 3 5 2 4 2" xfId="31061"/>
    <cellStyle name="Comma 3 3 5 2 5" xfId="17330"/>
    <cellStyle name="Comma 3 3 5 2 5 2" xfId="37213"/>
    <cellStyle name="Comma 3 3 5 2 6" xfId="24908"/>
    <cellStyle name="Comma 3 3 5 3" xfId="5713"/>
    <cellStyle name="Comma 3 3 5 3 2" xfId="8816"/>
    <cellStyle name="Comma 3 3 5 3 2 2" xfId="15009"/>
    <cellStyle name="Comma 3 3 5 3 2 2 2" xfId="34892"/>
    <cellStyle name="Comma 3 3 5 3 2 3" xfId="21161"/>
    <cellStyle name="Comma 3 3 5 3 2 3 2" xfId="41044"/>
    <cellStyle name="Comma 3 3 5 3 2 4" xfId="28739"/>
    <cellStyle name="Comma 3 3 5 3 3" xfId="11943"/>
    <cellStyle name="Comma 3 3 5 3 3 2" xfId="31826"/>
    <cellStyle name="Comma 3 3 5 3 4" xfId="18095"/>
    <cellStyle name="Comma 3 3 5 3 4 2" xfId="37978"/>
    <cellStyle name="Comma 3 3 5 3 5" xfId="25673"/>
    <cellStyle name="Comma 3 3 5 4" xfId="7281"/>
    <cellStyle name="Comma 3 3 5 4 2" xfId="13475"/>
    <cellStyle name="Comma 3 3 5 4 2 2" xfId="33358"/>
    <cellStyle name="Comma 3 3 5 4 3" xfId="19627"/>
    <cellStyle name="Comma 3 3 5 4 3 2" xfId="39510"/>
    <cellStyle name="Comma 3 3 5 4 4" xfId="27205"/>
    <cellStyle name="Comma 3 3 5 5" xfId="10409"/>
    <cellStyle name="Comma 3 3 5 5 2" xfId="30292"/>
    <cellStyle name="Comma 3 3 5 6" xfId="16561"/>
    <cellStyle name="Comma 3 3 5 6 2" xfId="36444"/>
    <cellStyle name="Comma 3 3 5 7" xfId="24139"/>
    <cellStyle name="Comma 3 3 6" xfId="4870"/>
    <cellStyle name="Comma 3 3 6 2" xfId="6495"/>
    <cellStyle name="Comma 3 3 6 2 2" xfId="9581"/>
    <cellStyle name="Comma 3 3 6 2 2 2" xfId="15774"/>
    <cellStyle name="Comma 3 3 6 2 2 2 2" xfId="35657"/>
    <cellStyle name="Comma 3 3 6 2 2 3" xfId="21926"/>
    <cellStyle name="Comma 3 3 6 2 2 3 2" xfId="41809"/>
    <cellStyle name="Comma 3 3 6 2 2 4" xfId="29504"/>
    <cellStyle name="Comma 3 3 6 2 3" xfId="12708"/>
    <cellStyle name="Comma 3 3 6 2 3 2" xfId="32591"/>
    <cellStyle name="Comma 3 3 6 2 4" xfId="18860"/>
    <cellStyle name="Comma 3 3 6 2 4 2" xfId="38743"/>
    <cellStyle name="Comma 3 3 6 2 5" xfId="26438"/>
    <cellStyle name="Comma 3 3 6 3" xfId="8046"/>
    <cellStyle name="Comma 3 3 6 3 2" xfId="14240"/>
    <cellStyle name="Comma 3 3 6 3 2 2" xfId="34123"/>
    <cellStyle name="Comma 3 3 6 3 3" xfId="20392"/>
    <cellStyle name="Comma 3 3 6 3 3 2" xfId="40275"/>
    <cellStyle name="Comma 3 3 6 3 4" xfId="27970"/>
    <cellStyle name="Comma 3 3 6 4" xfId="11174"/>
    <cellStyle name="Comma 3 3 6 4 2" xfId="31057"/>
    <cellStyle name="Comma 3 3 6 5" xfId="17326"/>
    <cellStyle name="Comma 3 3 6 5 2" xfId="37209"/>
    <cellStyle name="Comma 3 3 6 6" xfId="24904"/>
    <cellStyle name="Comma 3 3 7" xfId="5709"/>
    <cellStyle name="Comma 3 3 7 2" xfId="8812"/>
    <cellStyle name="Comma 3 3 7 2 2" xfId="15005"/>
    <cellStyle name="Comma 3 3 7 2 2 2" xfId="34888"/>
    <cellStyle name="Comma 3 3 7 2 3" xfId="21157"/>
    <cellStyle name="Comma 3 3 7 2 3 2" xfId="41040"/>
    <cellStyle name="Comma 3 3 7 2 4" xfId="28735"/>
    <cellStyle name="Comma 3 3 7 3" xfId="11939"/>
    <cellStyle name="Comma 3 3 7 3 2" xfId="31822"/>
    <cellStyle name="Comma 3 3 7 4" xfId="18091"/>
    <cellStyle name="Comma 3 3 7 4 2" xfId="37974"/>
    <cellStyle name="Comma 3 3 7 5" xfId="25669"/>
    <cellStyle name="Comma 3 3 8" xfId="7277"/>
    <cellStyle name="Comma 3 3 8 2" xfId="13471"/>
    <cellStyle name="Comma 3 3 8 2 2" xfId="33354"/>
    <cellStyle name="Comma 3 3 8 3" xfId="19623"/>
    <cellStyle name="Comma 3 3 8 3 2" xfId="39506"/>
    <cellStyle name="Comma 3 3 8 4" xfId="27201"/>
    <cellStyle name="Comma 3 3 9" xfId="10405"/>
    <cellStyle name="Comma 3 3 9 2" xfId="30288"/>
    <cellStyle name="Comma 3 30" xfId="853"/>
    <cellStyle name="Comma 3 30 2" xfId="23696"/>
    <cellStyle name="Comma 3 31" xfId="22816"/>
    <cellStyle name="Comma 3 31 2" xfId="42690"/>
    <cellStyle name="Comma 3 32" xfId="195"/>
    <cellStyle name="Comma 3 32 2" xfId="2340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2 2" xfId="35663"/>
    <cellStyle name="Comma 3 4 2 2 2 2 3" xfId="21932"/>
    <cellStyle name="Comma 3 4 2 2 2 2 3 2" xfId="41815"/>
    <cellStyle name="Comma 3 4 2 2 2 2 4" xfId="29510"/>
    <cellStyle name="Comma 3 4 2 2 2 3" xfId="12714"/>
    <cellStyle name="Comma 3 4 2 2 2 3 2" xfId="32597"/>
    <cellStyle name="Comma 3 4 2 2 2 4" xfId="18866"/>
    <cellStyle name="Comma 3 4 2 2 2 4 2" xfId="38749"/>
    <cellStyle name="Comma 3 4 2 2 2 5" xfId="26444"/>
    <cellStyle name="Comma 3 4 2 2 3" xfId="8052"/>
    <cellStyle name="Comma 3 4 2 2 3 2" xfId="14246"/>
    <cellStyle name="Comma 3 4 2 2 3 2 2" xfId="34129"/>
    <cellStyle name="Comma 3 4 2 2 3 3" xfId="20398"/>
    <cellStyle name="Comma 3 4 2 2 3 3 2" xfId="40281"/>
    <cellStyle name="Comma 3 4 2 2 3 4" xfId="27976"/>
    <cellStyle name="Comma 3 4 2 2 4" xfId="11180"/>
    <cellStyle name="Comma 3 4 2 2 4 2" xfId="31063"/>
    <cellStyle name="Comma 3 4 2 2 5" xfId="17332"/>
    <cellStyle name="Comma 3 4 2 2 5 2" xfId="37215"/>
    <cellStyle name="Comma 3 4 2 2 6" xfId="24910"/>
    <cellStyle name="Comma 3 4 2 3" xfId="5715"/>
    <cellStyle name="Comma 3 4 2 3 2" xfId="8818"/>
    <cellStyle name="Comma 3 4 2 3 2 2" xfId="15011"/>
    <cellStyle name="Comma 3 4 2 3 2 2 2" xfId="34894"/>
    <cellStyle name="Comma 3 4 2 3 2 3" xfId="21163"/>
    <cellStyle name="Comma 3 4 2 3 2 3 2" xfId="41046"/>
    <cellStyle name="Comma 3 4 2 3 2 4" xfId="28741"/>
    <cellStyle name="Comma 3 4 2 3 3" xfId="11945"/>
    <cellStyle name="Comma 3 4 2 3 3 2" xfId="31828"/>
    <cellStyle name="Comma 3 4 2 3 4" xfId="18097"/>
    <cellStyle name="Comma 3 4 2 3 4 2" xfId="37980"/>
    <cellStyle name="Comma 3 4 2 3 5" xfId="25675"/>
    <cellStyle name="Comma 3 4 2 4" xfId="7283"/>
    <cellStyle name="Comma 3 4 2 4 2" xfId="13477"/>
    <cellStyle name="Comma 3 4 2 4 2 2" xfId="33360"/>
    <cellStyle name="Comma 3 4 2 4 3" xfId="19629"/>
    <cellStyle name="Comma 3 4 2 4 3 2" xfId="39512"/>
    <cellStyle name="Comma 3 4 2 4 4" xfId="27207"/>
    <cellStyle name="Comma 3 4 2 5" xfId="10411"/>
    <cellStyle name="Comma 3 4 2 5 2" xfId="30294"/>
    <cellStyle name="Comma 3 4 2 6" xfId="16563"/>
    <cellStyle name="Comma 3 4 2 6 2" xfId="36446"/>
    <cellStyle name="Comma 3 4 2 7" xfId="24141"/>
    <cellStyle name="Comma 3 4 3" xfId="4875"/>
    <cellStyle name="Comma 3 4 3 2" xfId="6500"/>
    <cellStyle name="Comma 3 4 3 2 2" xfId="9586"/>
    <cellStyle name="Comma 3 4 3 2 2 2" xfId="15779"/>
    <cellStyle name="Comma 3 4 3 2 2 2 2" xfId="35662"/>
    <cellStyle name="Comma 3 4 3 2 2 3" xfId="21931"/>
    <cellStyle name="Comma 3 4 3 2 2 3 2" xfId="41814"/>
    <cellStyle name="Comma 3 4 3 2 2 4" xfId="29509"/>
    <cellStyle name="Comma 3 4 3 2 3" xfId="12713"/>
    <cellStyle name="Comma 3 4 3 2 3 2" xfId="32596"/>
    <cellStyle name="Comma 3 4 3 2 4" xfId="18865"/>
    <cellStyle name="Comma 3 4 3 2 4 2" xfId="38748"/>
    <cellStyle name="Comma 3 4 3 2 5" xfId="26443"/>
    <cellStyle name="Comma 3 4 3 3" xfId="8051"/>
    <cellStyle name="Comma 3 4 3 3 2" xfId="14245"/>
    <cellStyle name="Comma 3 4 3 3 2 2" xfId="34128"/>
    <cellStyle name="Comma 3 4 3 3 3" xfId="20397"/>
    <cellStyle name="Comma 3 4 3 3 3 2" xfId="40280"/>
    <cellStyle name="Comma 3 4 3 3 4" xfId="27975"/>
    <cellStyle name="Comma 3 4 3 4" xfId="11179"/>
    <cellStyle name="Comma 3 4 3 4 2" xfId="31062"/>
    <cellStyle name="Comma 3 4 3 5" xfId="17331"/>
    <cellStyle name="Comma 3 4 3 5 2" xfId="37214"/>
    <cellStyle name="Comma 3 4 3 6" xfId="24909"/>
    <cellStyle name="Comma 3 4 4" xfId="5714"/>
    <cellStyle name="Comma 3 4 4 2" xfId="8817"/>
    <cellStyle name="Comma 3 4 4 2 2" xfId="15010"/>
    <cellStyle name="Comma 3 4 4 2 2 2" xfId="34893"/>
    <cellStyle name="Comma 3 4 4 2 3" xfId="21162"/>
    <cellStyle name="Comma 3 4 4 2 3 2" xfId="41045"/>
    <cellStyle name="Comma 3 4 4 2 4" xfId="28740"/>
    <cellStyle name="Comma 3 4 4 3" xfId="11944"/>
    <cellStyle name="Comma 3 4 4 3 2" xfId="31827"/>
    <cellStyle name="Comma 3 4 4 4" xfId="18096"/>
    <cellStyle name="Comma 3 4 4 4 2" xfId="37979"/>
    <cellStyle name="Comma 3 4 4 5" xfId="25674"/>
    <cellStyle name="Comma 3 4 5" xfId="7282"/>
    <cellStyle name="Comma 3 4 5 2" xfId="13476"/>
    <cellStyle name="Comma 3 4 5 2 2" xfId="33359"/>
    <cellStyle name="Comma 3 4 5 3" xfId="19628"/>
    <cellStyle name="Comma 3 4 5 3 2" xfId="39511"/>
    <cellStyle name="Comma 3 4 5 4" xfId="27206"/>
    <cellStyle name="Comma 3 4 6" xfId="10410"/>
    <cellStyle name="Comma 3 4 6 2" xfId="30293"/>
    <cellStyle name="Comma 3 4 7" xfId="16562"/>
    <cellStyle name="Comma 3 4 7 2" xfId="36445"/>
    <cellStyle name="Comma 3 4 8" xfId="1711"/>
    <cellStyle name="Comma 3 4 8 2" xfId="24140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2 2" xfId="35665"/>
    <cellStyle name="Comma 3 5 2 2 2 2 3" xfId="21934"/>
    <cellStyle name="Comma 3 5 2 2 2 2 3 2" xfId="41817"/>
    <cellStyle name="Comma 3 5 2 2 2 2 4" xfId="29512"/>
    <cellStyle name="Comma 3 5 2 2 2 3" xfId="12716"/>
    <cellStyle name="Comma 3 5 2 2 2 3 2" xfId="32599"/>
    <cellStyle name="Comma 3 5 2 2 2 4" xfId="18868"/>
    <cellStyle name="Comma 3 5 2 2 2 4 2" xfId="38751"/>
    <cellStyle name="Comma 3 5 2 2 2 5" xfId="26446"/>
    <cellStyle name="Comma 3 5 2 2 3" xfId="8054"/>
    <cellStyle name="Comma 3 5 2 2 3 2" xfId="14248"/>
    <cellStyle name="Comma 3 5 2 2 3 2 2" xfId="34131"/>
    <cellStyle name="Comma 3 5 2 2 3 3" xfId="20400"/>
    <cellStyle name="Comma 3 5 2 2 3 3 2" xfId="40283"/>
    <cellStyle name="Comma 3 5 2 2 3 4" xfId="27978"/>
    <cellStyle name="Comma 3 5 2 2 4" xfId="11182"/>
    <cellStyle name="Comma 3 5 2 2 4 2" xfId="31065"/>
    <cellStyle name="Comma 3 5 2 2 5" xfId="17334"/>
    <cellStyle name="Comma 3 5 2 2 5 2" xfId="37217"/>
    <cellStyle name="Comma 3 5 2 2 6" xfId="24912"/>
    <cellStyle name="Comma 3 5 2 3" xfId="5717"/>
    <cellStyle name="Comma 3 5 2 3 2" xfId="8820"/>
    <cellStyle name="Comma 3 5 2 3 2 2" xfId="15013"/>
    <cellStyle name="Comma 3 5 2 3 2 2 2" xfId="34896"/>
    <cellStyle name="Comma 3 5 2 3 2 3" xfId="21165"/>
    <cellStyle name="Comma 3 5 2 3 2 3 2" xfId="41048"/>
    <cellStyle name="Comma 3 5 2 3 2 4" xfId="28743"/>
    <cellStyle name="Comma 3 5 2 3 3" xfId="11947"/>
    <cellStyle name="Comma 3 5 2 3 3 2" xfId="31830"/>
    <cellStyle name="Comma 3 5 2 3 4" xfId="18099"/>
    <cellStyle name="Comma 3 5 2 3 4 2" xfId="37982"/>
    <cellStyle name="Comma 3 5 2 3 5" xfId="25677"/>
    <cellStyle name="Comma 3 5 2 4" xfId="7285"/>
    <cellStyle name="Comma 3 5 2 4 2" xfId="13479"/>
    <cellStyle name="Comma 3 5 2 4 2 2" xfId="33362"/>
    <cellStyle name="Comma 3 5 2 4 3" xfId="19631"/>
    <cellStyle name="Comma 3 5 2 4 3 2" xfId="39514"/>
    <cellStyle name="Comma 3 5 2 4 4" xfId="27209"/>
    <cellStyle name="Comma 3 5 2 5" xfId="10413"/>
    <cellStyle name="Comma 3 5 2 5 2" xfId="30296"/>
    <cellStyle name="Comma 3 5 2 6" xfId="16565"/>
    <cellStyle name="Comma 3 5 2 6 2" xfId="36448"/>
    <cellStyle name="Comma 3 5 2 7" xfId="24143"/>
    <cellStyle name="Comma 3 5 3" xfId="4877"/>
    <cellStyle name="Comma 3 5 3 2" xfId="6502"/>
    <cellStyle name="Comma 3 5 3 2 2" xfId="9588"/>
    <cellStyle name="Comma 3 5 3 2 2 2" xfId="15781"/>
    <cellStyle name="Comma 3 5 3 2 2 2 2" xfId="35664"/>
    <cellStyle name="Comma 3 5 3 2 2 3" xfId="21933"/>
    <cellStyle name="Comma 3 5 3 2 2 3 2" xfId="41816"/>
    <cellStyle name="Comma 3 5 3 2 2 4" xfId="29511"/>
    <cellStyle name="Comma 3 5 3 2 3" xfId="12715"/>
    <cellStyle name="Comma 3 5 3 2 3 2" xfId="32598"/>
    <cellStyle name="Comma 3 5 3 2 4" xfId="18867"/>
    <cellStyle name="Comma 3 5 3 2 4 2" xfId="38750"/>
    <cellStyle name="Comma 3 5 3 2 5" xfId="26445"/>
    <cellStyle name="Comma 3 5 3 3" xfId="8053"/>
    <cellStyle name="Comma 3 5 3 3 2" xfId="14247"/>
    <cellStyle name="Comma 3 5 3 3 2 2" xfId="34130"/>
    <cellStyle name="Comma 3 5 3 3 3" xfId="20399"/>
    <cellStyle name="Comma 3 5 3 3 3 2" xfId="40282"/>
    <cellStyle name="Comma 3 5 3 3 4" xfId="27977"/>
    <cellStyle name="Comma 3 5 3 4" xfId="11181"/>
    <cellStyle name="Comma 3 5 3 4 2" xfId="31064"/>
    <cellStyle name="Comma 3 5 3 5" xfId="17333"/>
    <cellStyle name="Comma 3 5 3 5 2" xfId="37216"/>
    <cellStyle name="Comma 3 5 3 6" xfId="24911"/>
    <cellStyle name="Comma 3 5 4" xfId="5716"/>
    <cellStyle name="Comma 3 5 4 2" xfId="8819"/>
    <cellStyle name="Comma 3 5 4 2 2" xfId="15012"/>
    <cellStyle name="Comma 3 5 4 2 2 2" xfId="34895"/>
    <cellStyle name="Comma 3 5 4 2 3" xfId="21164"/>
    <cellStyle name="Comma 3 5 4 2 3 2" xfId="41047"/>
    <cellStyle name="Comma 3 5 4 2 4" xfId="28742"/>
    <cellStyle name="Comma 3 5 4 3" xfId="11946"/>
    <cellStyle name="Comma 3 5 4 3 2" xfId="31829"/>
    <cellStyle name="Comma 3 5 4 4" xfId="18098"/>
    <cellStyle name="Comma 3 5 4 4 2" xfId="37981"/>
    <cellStyle name="Comma 3 5 4 5" xfId="25676"/>
    <cellStyle name="Comma 3 5 5" xfId="7284"/>
    <cellStyle name="Comma 3 5 5 2" xfId="13478"/>
    <cellStyle name="Comma 3 5 5 2 2" xfId="33361"/>
    <cellStyle name="Comma 3 5 5 3" xfId="19630"/>
    <cellStyle name="Comma 3 5 5 3 2" xfId="39513"/>
    <cellStyle name="Comma 3 5 5 4" xfId="27208"/>
    <cellStyle name="Comma 3 5 6" xfId="10412"/>
    <cellStyle name="Comma 3 5 6 2" xfId="30295"/>
    <cellStyle name="Comma 3 5 7" xfId="16564"/>
    <cellStyle name="Comma 3 5 7 2" xfId="36447"/>
    <cellStyle name="Comma 3 5 8" xfId="1713"/>
    <cellStyle name="Comma 3 5 8 2" xfId="24142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2 2" xfId="35667"/>
    <cellStyle name="Comma 3 6 2 2 2 2 3" xfId="21936"/>
    <cellStyle name="Comma 3 6 2 2 2 2 3 2" xfId="41819"/>
    <cellStyle name="Comma 3 6 2 2 2 2 4" xfId="29514"/>
    <cellStyle name="Comma 3 6 2 2 2 3" xfId="12718"/>
    <cellStyle name="Comma 3 6 2 2 2 3 2" xfId="32601"/>
    <cellStyle name="Comma 3 6 2 2 2 4" xfId="18870"/>
    <cellStyle name="Comma 3 6 2 2 2 4 2" xfId="38753"/>
    <cellStyle name="Comma 3 6 2 2 2 5" xfId="26448"/>
    <cellStyle name="Comma 3 6 2 2 3" xfId="8056"/>
    <cellStyle name="Comma 3 6 2 2 3 2" xfId="14250"/>
    <cellStyle name="Comma 3 6 2 2 3 2 2" xfId="34133"/>
    <cellStyle name="Comma 3 6 2 2 3 3" xfId="20402"/>
    <cellStyle name="Comma 3 6 2 2 3 3 2" xfId="40285"/>
    <cellStyle name="Comma 3 6 2 2 3 4" xfId="27980"/>
    <cellStyle name="Comma 3 6 2 2 4" xfId="11184"/>
    <cellStyle name="Comma 3 6 2 2 4 2" xfId="31067"/>
    <cellStyle name="Comma 3 6 2 2 5" xfId="17336"/>
    <cellStyle name="Comma 3 6 2 2 5 2" xfId="37219"/>
    <cellStyle name="Comma 3 6 2 2 6" xfId="24914"/>
    <cellStyle name="Comma 3 6 2 3" xfId="5719"/>
    <cellStyle name="Comma 3 6 2 3 2" xfId="8822"/>
    <cellStyle name="Comma 3 6 2 3 2 2" xfId="15015"/>
    <cellStyle name="Comma 3 6 2 3 2 2 2" xfId="34898"/>
    <cellStyle name="Comma 3 6 2 3 2 3" xfId="21167"/>
    <cellStyle name="Comma 3 6 2 3 2 3 2" xfId="41050"/>
    <cellStyle name="Comma 3 6 2 3 2 4" xfId="28745"/>
    <cellStyle name="Comma 3 6 2 3 3" xfId="11949"/>
    <cellStyle name="Comma 3 6 2 3 3 2" xfId="31832"/>
    <cellStyle name="Comma 3 6 2 3 4" xfId="18101"/>
    <cellStyle name="Comma 3 6 2 3 4 2" xfId="37984"/>
    <cellStyle name="Comma 3 6 2 3 5" xfId="25679"/>
    <cellStyle name="Comma 3 6 2 4" xfId="7287"/>
    <cellStyle name="Comma 3 6 2 4 2" xfId="13481"/>
    <cellStyle name="Comma 3 6 2 4 2 2" xfId="33364"/>
    <cellStyle name="Comma 3 6 2 4 3" xfId="19633"/>
    <cellStyle name="Comma 3 6 2 4 3 2" xfId="39516"/>
    <cellStyle name="Comma 3 6 2 4 4" xfId="27211"/>
    <cellStyle name="Comma 3 6 2 5" xfId="10415"/>
    <cellStyle name="Comma 3 6 2 5 2" xfId="30298"/>
    <cellStyle name="Comma 3 6 2 6" xfId="16567"/>
    <cellStyle name="Comma 3 6 2 6 2" xfId="36450"/>
    <cellStyle name="Comma 3 6 2 7" xfId="24145"/>
    <cellStyle name="Comma 3 6 3" xfId="4879"/>
    <cellStyle name="Comma 3 6 3 2" xfId="6504"/>
    <cellStyle name="Comma 3 6 3 2 2" xfId="9590"/>
    <cellStyle name="Comma 3 6 3 2 2 2" xfId="15783"/>
    <cellStyle name="Comma 3 6 3 2 2 2 2" xfId="35666"/>
    <cellStyle name="Comma 3 6 3 2 2 3" xfId="21935"/>
    <cellStyle name="Comma 3 6 3 2 2 3 2" xfId="41818"/>
    <cellStyle name="Comma 3 6 3 2 2 4" xfId="29513"/>
    <cellStyle name="Comma 3 6 3 2 3" xfId="12717"/>
    <cellStyle name="Comma 3 6 3 2 3 2" xfId="32600"/>
    <cellStyle name="Comma 3 6 3 2 4" xfId="18869"/>
    <cellStyle name="Comma 3 6 3 2 4 2" xfId="38752"/>
    <cellStyle name="Comma 3 6 3 2 5" xfId="26447"/>
    <cellStyle name="Comma 3 6 3 3" xfId="8055"/>
    <cellStyle name="Comma 3 6 3 3 2" xfId="14249"/>
    <cellStyle name="Comma 3 6 3 3 2 2" xfId="34132"/>
    <cellStyle name="Comma 3 6 3 3 3" xfId="20401"/>
    <cellStyle name="Comma 3 6 3 3 3 2" xfId="40284"/>
    <cellStyle name="Comma 3 6 3 3 4" xfId="27979"/>
    <cellStyle name="Comma 3 6 3 4" xfId="11183"/>
    <cellStyle name="Comma 3 6 3 4 2" xfId="31066"/>
    <cellStyle name="Comma 3 6 3 5" xfId="17335"/>
    <cellStyle name="Comma 3 6 3 5 2" xfId="37218"/>
    <cellStyle name="Comma 3 6 3 6" xfId="24913"/>
    <cellStyle name="Comma 3 6 4" xfId="5718"/>
    <cellStyle name="Comma 3 6 4 2" xfId="8821"/>
    <cellStyle name="Comma 3 6 4 2 2" xfId="15014"/>
    <cellStyle name="Comma 3 6 4 2 2 2" xfId="34897"/>
    <cellStyle name="Comma 3 6 4 2 3" xfId="21166"/>
    <cellStyle name="Comma 3 6 4 2 3 2" xfId="41049"/>
    <cellStyle name="Comma 3 6 4 2 4" xfId="28744"/>
    <cellStyle name="Comma 3 6 4 3" xfId="11948"/>
    <cellStyle name="Comma 3 6 4 3 2" xfId="31831"/>
    <cellStyle name="Comma 3 6 4 4" xfId="18100"/>
    <cellStyle name="Comma 3 6 4 4 2" xfId="37983"/>
    <cellStyle name="Comma 3 6 4 5" xfId="25678"/>
    <cellStyle name="Comma 3 6 5" xfId="7286"/>
    <cellStyle name="Comma 3 6 5 2" xfId="13480"/>
    <cellStyle name="Comma 3 6 5 2 2" xfId="33363"/>
    <cellStyle name="Comma 3 6 5 3" xfId="19632"/>
    <cellStyle name="Comma 3 6 5 3 2" xfId="39515"/>
    <cellStyle name="Comma 3 6 5 4" xfId="27210"/>
    <cellStyle name="Comma 3 6 6" xfId="10414"/>
    <cellStyle name="Comma 3 6 6 2" xfId="30297"/>
    <cellStyle name="Comma 3 6 7" xfId="16566"/>
    <cellStyle name="Comma 3 6 7 2" xfId="36449"/>
    <cellStyle name="Comma 3 6 8" xfId="1715"/>
    <cellStyle name="Comma 3 6 8 2" xfId="24144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2 2" xfId="35668"/>
    <cellStyle name="Comma 3 7 2 2 2 3" xfId="21937"/>
    <cellStyle name="Comma 3 7 2 2 2 3 2" xfId="41820"/>
    <cellStyle name="Comma 3 7 2 2 2 4" xfId="29515"/>
    <cellStyle name="Comma 3 7 2 2 3" xfId="12719"/>
    <cellStyle name="Comma 3 7 2 2 3 2" xfId="32602"/>
    <cellStyle name="Comma 3 7 2 2 4" xfId="18871"/>
    <cellStyle name="Comma 3 7 2 2 4 2" xfId="38754"/>
    <cellStyle name="Comma 3 7 2 2 5" xfId="26449"/>
    <cellStyle name="Comma 3 7 2 3" xfId="8057"/>
    <cellStyle name="Comma 3 7 2 3 2" xfId="14251"/>
    <cellStyle name="Comma 3 7 2 3 2 2" xfId="34134"/>
    <cellStyle name="Comma 3 7 2 3 3" xfId="20403"/>
    <cellStyle name="Comma 3 7 2 3 3 2" xfId="40286"/>
    <cellStyle name="Comma 3 7 2 3 4" xfId="27981"/>
    <cellStyle name="Comma 3 7 2 4" xfId="11185"/>
    <cellStyle name="Comma 3 7 2 4 2" xfId="31068"/>
    <cellStyle name="Comma 3 7 2 5" xfId="17337"/>
    <cellStyle name="Comma 3 7 2 5 2" xfId="37220"/>
    <cellStyle name="Comma 3 7 2 6" xfId="24915"/>
    <cellStyle name="Comma 3 7 3" xfId="5720"/>
    <cellStyle name="Comma 3 7 3 2" xfId="8823"/>
    <cellStyle name="Comma 3 7 3 2 2" xfId="15016"/>
    <cellStyle name="Comma 3 7 3 2 2 2" xfId="34899"/>
    <cellStyle name="Comma 3 7 3 2 3" xfId="21168"/>
    <cellStyle name="Comma 3 7 3 2 3 2" xfId="41051"/>
    <cellStyle name="Comma 3 7 3 2 4" xfId="28746"/>
    <cellStyle name="Comma 3 7 3 3" xfId="11950"/>
    <cellStyle name="Comma 3 7 3 3 2" xfId="31833"/>
    <cellStyle name="Comma 3 7 3 4" xfId="18102"/>
    <cellStyle name="Comma 3 7 3 4 2" xfId="37985"/>
    <cellStyle name="Comma 3 7 3 5" xfId="25680"/>
    <cellStyle name="Comma 3 7 4" xfId="7288"/>
    <cellStyle name="Comma 3 7 4 2" xfId="13482"/>
    <cellStyle name="Comma 3 7 4 2 2" xfId="33365"/>
    <cellStyle name="Comma 3 7 4 3" xfId="19634"/>
    <cellStyle name="Comma 3 7 4 3 2" xfId="39517"/>
    <cellStyle name="Comma 3 7 4 4" xfId="27212"/>
    <cellStyle name="Comma 3 7 5" xfId="10416"/>
    <cellStyle name="Comma 3 7 5 2" xfId="30299"/>
    <cellStyle name="Comma 3 7 6" xfId="16568"/>
    <cellStyle name="Comma 3 7 6 2" xfId="36451"/>
    <cellStyle name="Comma 3 7 7" xfId="1717"/>
    <cellStyle name="Comma 3 7 7 2" xfId="24146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2 2" xfId="35669"/>
    <cellStyle name="Comma 3 8 2 2 2 3" xfId="21938"/>
    <cellStyle name="Comma 3 8 2 2 2 3 2" xfId="41821"/>
    <cellStyle name="Comma 3 8 2 2 2 4" xfId="29516"/>
    <cellStyle name="Comma 3 8 2 2 3" xfId="12720"/>
    <cellStyle name="Comma 3 8 2 2 3 2" xfId="32603"/>
    <cellStyle name="Comma 3 8 2 2 4" xfId="18872"/>
    <cellStyle name="Comma 3 8 2 2 4 2" xfId="38755"/>
    <cellStyle name="Comma 3 8 2 2 5" xfId="26450"/>
    <cellStyle name="Comma 3 8 2 3" xfId="8058"/>
    <cellStyle name="Comma 3 8 2 3 2" xfId="14252"/>
    <cellStyle name="Comma 3 8 2 3 2 2" xfId="34135"/>
    <cellStyle name="Comma 3 8 2 3 3" xfId="20404"/>
    <cellStyle name="Comma 3 8 2 3 3 2" xfId="40287"/>
    <cellStyle name="Comma 3 8 2 3 4" xfId="27982"/>
    <cellStyle name="Comma 3 8 2 4" xfId="11186"/>
    <cellStyle name="Comma 3 8 2 4 2" xfId="31069"/>
    <cellStyle name="Comma 3 8 2 5" xfId="17338"/>
    <cellStyle name="Comma 3 8 2 5 2" xfId="37221"/>
    <cellStyle name="Comma 3 8 2 6" xfId="24916"/>
    <cellStyle name="Comma 3 8 3" xfId="5721"/>
    <cellStyle name="Comma 3 8 3 2" xfId="8824"/>
    <cellStyle name="Comma 3 8 3 2 2" xfId="15017"/>
    <cellStyle name="Comma 3 8 3 2 2 2" xfId="34900"/>
    <cellStyle name="Comma 3 8 3 2 3" xfId="21169"/>
    <cellStyle name="Comma 3 8 3 2 3 2" xfId="41052"/>
    <cellStyle name="Comma 3 8 3 2 4" xfId="28747"/>
    <cellStyle name="Comma 3 8 3 3" xfId="11951"/>
    <cellStyle name="Comma 3 8 3 3 2" xfId="31834"/>
    <cellStyle name="Comma 3 8 3 4" xfId="18103"/>
    <cellStyle name="Comma 3 8 3 4 2" xfId="37986"/>
    <cellStyle name="Comma 3 8 3 5" xfId="25681"/>
    <cellStyle name="Comma 3 8 4" xfId="7289"/>
    <cellStyle name="Comma 3 8 4 2" xfId="13483"/>
    <cellStyle name="Comma 3 8 4 2 2" xfId="33366"/>
    <cellStyle name="Comma 3 8 4 3" xfId="19635"/>
    <cellStyle name="Comma 3 8 4 3 2" xfId="39518"/>
    <cellStyle name="Comma 3 8 4 4" xfId="27213"/>
    <cellStyle name="Comma 3 8 5" xfId="10417"/>
    <cellStyle name="Comma 3 8 5 2" xfId="30300"/>
    <cellStyle name="Comma 3 8 6" xfId="16569"/>
    <cellStyle name="Comma 3 8 6 2" xfId="36452"/>
    <cellStyle name="Comma 3 8 7" xfId="1718"/>
    <cellStyle name="Comma 3 8 7 2" xfId="24147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2 2" xfId="35670"/>
    <cellStyle name="Comma 3 9 2 2 2 3" xfId="21939"/>
    <cellStyle name="Comma 3 9 2 2 2 3 2" xfId="41822"/>
    <cellStyle name="Comma 3 9 2 2 2 4" xfId="29517"/>
    <cellStyle name="Comma 3 9 2 2 3" xfId="12721"/>
    <cellStyle name="Comma 3 9 2 2 3 2" xfId="32604"/>
    <cellStyle name="Comma 3 9 2 2 4" xfId="18873"/>
    <cellStyle name="Comma 3 9 2 2 4 2" xfId="38756"/>
    <cellStyle name="Comma 3 9 2 2 5" xfId="26451"/>
    <cellStyle name="Comma 3 9 2 3" xfId="8059"/>
    <cellStyle name="Comma 3 9 2 3 2" xfId="14253"/>
    <cellStyle name="Comma 3 9 2 3 2 2" xfId="34136"/>
    <cellStyle name="Comma 3 9 2 3 3" xfId="20405"/>
    <cellStyle name="Comma 3 9 2 3 3 2" xfId="40288"/>
    <cellStyle name="Comma 3 9 2 3 4" xfId="27983"/>
    <cellStyle name="Comma 3 9 2 4" xfId="11187"/>
    <cellStyle name="Comma 3 9 2 4 2" xfId="31070"/>
    <cellStyle name="Comma 3 9 2 5" xfId="17339"/>
    <cellStyle name="Comma 3 9 2 5 2" xfId="37222"/>
    <cellStyle name="Comma 3 9 2 6" xfId="24917"/>
    <cellStyle name="Comma 3 9 3" xfId="5722"/>
    <cellStyle name="Comma 3 9 3 2" xfId="8825"/>
    <cellStyle name="Comma 3 9 3 2 2" xfId="15018"/>
    <cellStyle name="Comma 3 9 3 2 2 2" xfId="34901"/>
    <cellStyle name="Comma 3 9 3 2 3" xfId="21170"/>
    <cellStyle name="Comma 3 9 3 2 3 2" xfId="41053"/>
    <cellStyle name="Comma 3 9 3 2 4" xfId="28748"/>
    <cellStyle name="Comma 3 9 3 3" xfId="11952"/>
    <cellStyle name="Comma 3 9 3 3 2" xfId="31835"/>
    <cellStyle name="Comma 3 9 3 4" xfId="18104"/>
    <cellStyle name="Comma 3 9 3 4 2" xfId="37987"/>
    <cellStyle name="Comma 3 9 3 5" xfId="25682"/>
    <cellStyle name="Comma 3 9 4" xfId="7290"/>
    <cellStyle name="Comma 3 9 4 2" xfId="13484"/>
    <cellStyle name="Comma 3 9 4 2 2" xfId="33367"/>
    <cellStyle name="Comma 3 9 4 3" xfId="19636"/>
    <cellStyle name="Comma 3 9 4 3 2" xfId="39519"/>
    <cellStyle name="Comma 3 9 4 4" xfId="27214"/>
    <cellStyle name="Comma 3 9 5" xfId="10418"/>
    <cellStyle name="Comma 3 9 5 2" xfId="30301"/>
    <cellStyle name="Comma 3 9 6" xfId="16570"/>
    <cellStyle name="Comma 3 9 6 2" xfId="36453"/>
    <cellStyle name="Comma 3 9 7" xfId="1719"/>
    <cellStyle name="Comma 3 9 7 2" xfId="24148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2 2" xfId="36300"/>
    <cellStyle name="Comma 4 2 3 3" xfId="22569"/>
    <cellStyle name="Comma 4 2 3 3 2" xfId="42452"/>
    <cellStyle name="Comma 4 2 3 4" xfId="30147"/>
    <cellStyle name="Comma 4 2 4" xfId="1730"/>
    <cellStyle name="Comma 4 2 5" xfId="253"/>
    <cellStyle name="Comma 4 2 6" xfId="23142"/>
    <cellStyle name="Comma 4 2 6 2" xfId="42996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29 2" xfId="23715"/>
    <cellStyle name="Comma 4 3" xfId="85"/>
    <cellStyle name="Comma 4 3 2" xfId="274"/>
    <cellStyle name="Comma 4 3 3" xfId="23143"/>
    <cellStyle name="Comma 4 3 3 2" xfId="42997"/>
    <cellStyle name="Comma 4 30" xfId="1167"/>
    <cellStyle name="Comma 4 31" xfId="22835"/>
    <cellStyle name="Comma 4 31 2" xfId="42709"/>
    <cellStyle name="Comma 4 32" xfId="217"/>
    <cellStyle name="Comma 4 32 2" xfId="23412"/>
    <cellStyle name="Comma 4 33" xfId="23141"/>
    <cellStyle name="Comma 4 33 2" xfId="42995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2 2" xfId="36291"/>
    <cellStyle name="Comma 4 7 3" xfId="22560"/>
    <cellStyle name="Comma 4 7 3 2" xfId="42443"/>
    <cellStyle name="Comma 4 7 4" xfId="10225"/>
    <cellStyle name="Comma 4 7 4 2" xfId="30138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2 2" xfId="34762"/>
    <cellStyle name="Comma 5 10 2 3" xfId="21031"/>
    <cellStyle name="Comma 5 10 2 3 2" xfId="40914"/>
    <cellStyle name="Comma 5 10 2 4" xfId="8686"/>
    <cellStyle name="Comma 5 10 2 4 2" xfId="28609"/>
    <cellStyle name="Comma 5 10 2 5" xfId="23761"/>
    <cellStyle name="Comma 5 10 3" xfId="11813"/>
    <cellStyle name="Comma 5 10 3 2" xfId="31696"/>
    <cellStyle name="Comma 5 10 4" xfId="17965"/>
    <cellStyle name="Comma 5 10 4 2" xfId="37848"/>
    <cellStyle name="Comma 5 10 5" xfId="5582"/>
    <cellStyle name="Comma 5 10 5 2" xfId="25543"/>
    <cellStyle name="Comma 5 10 6" xfId="22881"/>
    <cellStyle name="Comma 5 10 6 2" xfId="42755"/>
    <cellStyle name="Comma 5 10 7" xfId="23458"/>
    <cellStyle name="Comma 5 11" xfId="433"/>
    <cellStyle name="Comma 5 11 2" xfId="921"/>
    <cellStyle name="Comma 5 11 2 2" xfId="13345"/>
    <cellStyle name="Comma 5 11 2 2 2" xfId="33228"/>
    <cellStyle name="Comma 5 11 2 3" xfId="23764"/>
    <cellStyle name="Comma 5 11 3" xfId="19497"/>
    <cellStyle name="Comma 5 11 3 2" xfId="39380"/>
    <cellStyle name="Comma 5 11 4" xfId="7151"/>
    <cellStyle name="Comma 5 11 4 2" xfId="27075"/>
    <cellStyle name="Comma 5 11 5" xfId="22884"/>
    <cellStyle name="Comma 5 11 5 2" xfId="42758"/>
    <cellStyle name="Comma 5 11 6" xfId="23461"/>
    <cellStyle name="Comma 5 12" xfId="441"/>
    <cellStyle name="Comma 5 12 2" xfId="924"/>
    <cellStyle name="Comma 5 12 2 2" xfId="23767"/>
    <cellStyle name="Comma 5 12 3" xfId="10279"/>
    <cellStyle name="Comma 5 12 3 2" xfId="30162"/>
    <cellStyle name="Comma 5 12 4" xfId="22887"/>
    <cellStyle name="Comma 5 12 4 2" xfId="42761"/>
    <cellStyle name="Comma 5 12 5" xfId="23464"/>
    <cellStyle name="Comma 5 13" xfId="444"/>
    <cellStyle name="Comma 5 13 2" xfId="927"/>
    <cellStyle name="Comma 5 13 2 2" xfId="23770"/>
    <cellStyle name="Comma 5 13 3" xfId="16431"/>
    <cellStyle name="Comma 5 13 3 2" xfId="36314"/>
    <cellStyle name="Comma 5 13 4" xfId="22890"/>
    <cellStyle name="Comma 5 13 4 2" xfId="42764"/>
    <cellStyle name="Comma 5 13 5" xfId="23467"/>
    <cellStyle name="Comma 5 14" xfId="447"/>
    <cellStyle name="Comma 5 14 2" xfId="930"/>
    <cellStyle name="Comma 5 14 2 2" xfId="23773"/>
    <cellStyle name="Comma 5 14 3" xfId="1280"/>
    <cellStyle name="Comma 5 14 3 2" xfId="24009"/>
    <cellStyle name="Comma 5 14 4" xfId="22893"/>
    <cellStyle name="Comma 5 14 4 2" xfId="42767"/>
    <cellStyle name="Comma 5 14 5" xfId="23470"/>
    <cellStyle name="Comma 5 15" xfId="512"/>
    <cellStyle name="Comma 5 15 2" xfId="946"/>
    <cellStyle name="Comma 5 15 2 2" xfId="23789"/>
    <cellStyle name="Comma 5 15 3" xfId="22765"/>
    <cellStyle name="Comma 5 15 3 2" xfId="42639"/>
    <cellStyle name="Comma 5 15 4" xfId="22909"/>
    <cellStyle name="Comma 5 15 4 2" xfId="42783"/>
    <cellStyle name="Comma 5 15 5" xfId="23486"/>
    <cellStyle name="Comma 5 16" xfId="542"/>
    <cellStyle name="Comma 5 16 2" xfId="962"/>
    <cellStyle name="Comma 5 16 2 2" xfId="23805"/>
    <cellStyle name="Comma 5 16 3" xfId="22702"/>
    <cellStyle name="Comma 5 16 3 2" xfId="42576"/>
    <cellStyle name="Comma 5 16 4" xfId="22925"/>
    <cellStyle name="Comma 5 16 4 2" xfId="42799"/>
    <cellStyle name="Comma 5 16 5" xfId="23502"/>
    <cellStyle name="Comma 5 17" xfId="569"/>
    <cellStyle name="Comma 5 17 2" xfId="978"/>
    <cellStyle name="Comma 5 17 2 2" xfId="23821"/>
    <cellStyle name="Comma 5 17 3" xfId="22620"/>
    <cellStyle name="Comma 5 17 3 2" xfId="42494"/>
    <cellStyle name="Comma 5 17 4" xfId="22941"/>
    <cellStyle name="Comma 5 17 4 2" xfId="42815"/>
    <cellStyle name="Comma 5 17 5" xfId="23518"/>
    <cellStyle name="Comma 5 18" xfId="595"/>
    <cellStyle name="Comma 5 18 2" xfId="994"/>
    <cellStyle name="Comma 5 18 2 2" xfId="23837"/>
    <cellStyle name="Comma 5 18 3" xfId="22810"/>
    <cellStyle name="Comma 5 18 3 2" xfId="42684"/>
    <cellStyle name="Comma 5 18 4" xfId="22957"/>
    <cellStyle name="Comma 5 18 4 2" xfId="42831"/>
    <cellStyle name="Comma 5 18 5" xfId="23534"/>
    <cellStyle name="Comma 5 19" xfId="621"/>
    <cellStyle name="Comma 5 19 2" xfId="1010"/>
    <cellStyle name="Comma 5 19 2 2" xfId="23853"/>
    <cellStyle name="Comma 5 19 3" xfId="22671"/>
    <cellStyle name="Comma 5 19 3 2" xfId="42545"/>
    <cellStyle name="Comma 5 19 4" xfId="22973"/>
    <cellStyle name="Comma 5 19 4 2" xfId="42847"/>
    <cellStyle name="Comma 5 19 5" xfId="23550"/>
    <cellStyle name="Comma 5 2" xfId="87"/>
    <cellStyle name="Comma 5 2 10" xfId="16437"/>
    <cellStyle name="Comma 5 2 10 2" xfId="36320"/>
    <cellStyle name="Comma 5 2 11" xfId="1295"/>
    <cellStyle name="Comma 5 2 11 2" xfId="24015"/>
    <cellStyle name="Comma 5 2 12" xfId="22857"/>
    <cellStyle name="Comma 5 2 12 2" xfId="42731"/>
    <cellStyle name="Comma 5 2 13" xfId="298"/>
    <cellStyle name="Comma 5 2 13 2" xfId="23434"/>
    <cellStyle name="Comma 5 2 2" xfId="894"/>
    <cellStyle name="Comma 5 2 2 10" xfId="23737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2 2" xfId="36288"/>
    <cellStyle name="Comma 5 2 2 2 2 2 2 3" xfId="22557"/>
    <cellStyle name="Comma 5 2 2 2 2 2 2 3 2" xfId="42440"/>
    <cellStyle name="Comma 5 2 2 2 2 2 2 4" xfId="30135"/>
    <cellStyle name="Comma 5 2 2 2 2 2 3" xfId="13339"/>
    <cellStyle name="Comma 5 2 2 2 2 2 3 2" xfId="33222"/>
    <cellStyle name="Comma 5 2 2 2 2 2 4" xfId="19491"/>
    <cellStyle name="Comma 5 2 2 2 2 2 4 2" xfId="39374"/>
    <cellStyle name="Comma 5 2 2 2 2 2 5" xfId="27069"/>
    <cellStyle name="Comma 5 2 2 2 2 3" xfId="8677"/>
    <cellStyle name="Comma 5 2 2 2 2 3 2" xfId="14871"/>
    <cellStyle name="Comma 5 2 2 2 2 3 2 2" xfId="34754"/>
    <cellStyle name="Comma 5 2 2 2 2 3 3" xfId="21023"/>
    <cellStyle name="Comma 5 2 2 2 2 3 3 2" xfId="40906"/>
    <cellStyle name="Comma 5 2 2 2 2 3 4" xfId="28601"/>
    <cellStyle name="Comma 5 2 2 2 2 4" xfId="11805"/>
    <cellStyle name="Comma 5 2 2 2 2 4 2" xfId="31688"/>
    <cellStyle name="Comma 5 2 2 2 2 5" xfId="17957"/>
    <cellStyle name="Comma 5 2 2 2 2 5 2" xfId="37840"/>
    <cellStyle name="Comma 5 2 2 2 2 6" xfId="25535"/>
    <cellStyle name="Comma 5 2 2 2 3" xfId="6357"/>
    <cellStyle name="Comma 5 2 2 2 3 2" xfId="9443"/>
    <cellStyle name="Comma 5 2 2 2 3 2 2" xfId="15636"/>
    <cellStyle name="Comma 5 2 2 2 3 2 2 2" xfId="35519"/>
    <cellStyle name="Comma 5 2 2 2 3 2 3" xfId="21788"/>
    <cellStyle name="Comma 5 2 2 2 3 2 3 2" xfId="41671"/>
    <cellStyle name="Comma 5 2 2 2 3 2 4" xfId="29366"/>
    <cellStyle name="Comma 5 2 2 2 3 3" xfId="12570"/>
    <cellStyle name="Comma 5 2 2 2 3 3 2" xfId="32453"/>
    <cellStyle name="Comma 5 2 2 2 3 4" xfId="18722"/>
    <cellStyle name="Comma 5 2 2 2 3 4 2" xfId="38605"/>
    <cellStyle name="Comma 5 2 2 2 3 5" xfId="26300"/>
    <cellStyle name="Comma 5 2 2 2 4" xfId="7908"/>
    <cellStyle name="Comma 5 2 2 2 4 2" xfId="14102"/>
    <cellStyle name="Comma 5 2 2 2 4 2 2" xfId="33985"/>
    <cellStyle name="Comma 5 2 2 2 4 3" xfId="20254"/>
    <cellStyle name="Comma 5 2 2 2 4 3 2" xfId="40137"/>
    <cellStyle name="Comma 5 2 2 2 4 4" xfId="27832"/>
    <cellStyle name="Comma 5 2 2 2 5" xfId="11036"/>
    <cellStyle name="Comma 5 2 2 2 5 2" xfId="30919"/>
    <cellStyle name="Comma 5 2 2 2 6" xfId="17188"/>
    <cellStyle name="Comma 5 2 2 2 6 2" xfId="37071"/>
    <cellStyle name="Comma 5 2 2 2 7" xfId="24766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2 2" xfId="35548"/>
    <cellStyle name="Comma 5 2 2 4 2 2 3" xfId="21817"/>
    <cellStyle name="Comma 5 2 2 4 2 2 3 2" xfId="41700"/>
    <cellStyle name="Comma 5 2 2 4 2 2 4" xfId="29395"/>
    <cellStyle name="Comma 5 2 2 4 2 3" xfId="12599"/>
    <cellStyle name="Comma 5 2 2 4 2 3 2" xfId="32482"/>
    <cellStyle name="Comma 5 2 2 4 2 4" xfId="18751"/>
    <cellStyle name="Comma 5 2 2 4 2 4 2" xfId="38634"/>
    <cellStyle name="Comma 5 2 2 4 2 5" xfId="26329"/>
    <cellStyle name="Comma 5 2 2 4 3" xfId="7937"/>
    <cellStyle name="Comma 5 2 2 4 3 2" xfId="14131"/>
    <cellStyle name="Comma 5 2 2 4 3 2 2" xfId="34014"/>
    <cellStyle name="Comma 5 2 2 4 3 3" xfId="20283"/>
    <cellStyle name="Comma 5 2 2 4 3 3 2" xfId="40166"/>
    <cellStyle name="Comma 5 2 2 4 3 4" xfId="27861"/>
    <cellStyle name="Comma 5 2 2 4 4" xfId="11065"/>
    <cellStyle name="Comma 5 2 2 4 4 2" xfId="30948"/>
    <cellStyle name="Comma 5 2 2 4 5" xfId="17217"/>
    <cellStyle name="Comma 5 2 2 4 5 2" xfId="37100"/>
    <cellStyle name="Comma 5 2 2 4 6" xfId="24795"/>
    <cellStyle name="Comma 5 2 2 5" xfId="5600"/>
    <cellStyle name="Comma 5 2 2 5 2" xfId="8703"/>
    <cellStyle name="Comma 5 2 2 5 2 2" xfId="14896"/>
    <cellStyle name="Comma 5 2 2 5 2 2 2" xfId="34779"/>
    <cellStyle name="Comma 5 2 2 5 2 3" xfId="21048"/>
    <cellStyle name="Comma 5 2 2 5 2 3 2" xfId="40931"/>
    <cellStyle name="Comma 5 2 2 5 2 4" xfId="28626"/>
    <cellStyle name="Comma 5 2 2 5 3" xfId="11830"/>
    <cellStyle name="Comma 5 2 2 5 3 2" xfId="31713"/>
    <cellStyle name="Comma 5 2 2 5 4" xfId="17982"/>
    <cellStyle name="Comma 5 2 2 5 4 2" xfId="37865"/>
    <cellStyle name="Comma 5 2 2 5 5" xfId="25560"/>
    <cellStyle name="Comma 5 2 2 6" xfId="7168"/>
    <cellStyle name="Comma 5 2 2 6 2" xfId="13362"/>
    <cellStyle name="Comma 5 2 2 6 2 2" xfId="33245"/>
    <cellStyle name="Comma 5 2 2 6 3" xfId="19514"/>
    <cellStyle name="Comma 5 2 2 6 3 2" xfId="39397"/>
    <cellStyle name="Comma 5 2 2 6 4" xfId="27092"/>
    <cellStyle name="Comma 5 2 2 7" xfId="10296"/>
    <cellStyle name="Comma 5 2 2 7 2" xfId="30179"/>
    <cellStyle name="Comma 5 2 2 8" xfId="16448"/>
    <cellStyle name="Comma 5 2 2 8 2" xfId="36331"/>
    <cellStyle name="Comma 5 2 2 9" xfId="1314"/>
    <cellStyle name="Comma 5 2 2 9 2" xfId="24026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2 2" xfId="36279"/>
    <cellStyle name="Comma 5 2 4 2 2 2 3" xfId="22548"/>
    <cellStyle name="Comma 5 2 4 2 2 2 3 2" xfId="42431"/>
    <cellStyle name="Comma 5 2 4 2 2 2 4" xfId="30126"/>
    <cellStyle name="Comma 5 2 4 2 2 3" xfId="13330"/>
    <cellStyle name="Comma 5 2 4 2 2 3 2" xfId="33213"/>
    <cellStyle name="Comma 5 2 4 2 2 4" xfId="19482"/>
    <cellStyle name="Comma 5 2 4 2 2 4 2" xfId="39365"/>
    <cellStyle name="Comma 5 2 4 2 2 5" xfId="27060"/>
    <cellStyle name="Comma 5 2 4 2 3" xfId="8668"/>
    <cellStyle name="Comma 5 2 4 2 3 2" xfId="14862"/>
    <cellStyle name="Comma 5 2 4 2 3 2 2" xfId="34745"/>
    <cellStyle name="Comma 5 2 4 2 3 3" xfId="21014"/>
    <cellStyle name="Comma 5 2 4 2 3 3 2" xfId="40897"/>
    <cellStyle name="Comma 5 2 4 2 3 4" xfId="28592"/>
    <cellStyle name="Comma 5 2 4 2 4" xfId="11796"/>
    <cellStyle name="Comma 5 2 4 2 4 2" xfId="31679"/>
    <cellStyle name="Comma 5 2 4 2 5" xfId="17948"/>
    <cellStyle name="Comma 5 2 4 2 5 2" xfId="37831"/>
    <cellStyle name="Comma 5 2 4 2 6" xfId="25526"/>
    <cellStyle name="Comma 5 2 4 3" xfId="6348"/>
    <cellStyle name="Comma 5 2 4 3 2" xfId="9434"/>
    <cellStyle name="Comma 5 2 4 3 2 2" xfId="15627"/>
    <cellStyle name="Comma 5 2 4 3 2 2 2" xfId="35510"/>
    <cellStyle name="Comma 5 2 4 3 2 3" xfId="21779"/>
    <cellStyle name="Comma 5 2 4 3 2 3 2" xfId="41662"/>
    <cellStyle name="Comma 5 2 4 3 2 4" xfId="29357"/>
    <cellStyle name="Comma 5 2 4 3 3" xfId="12561"/>
    <cellStyle name="Comma 5 2 4 3 3 2" xfId="32444"/>
    <cellStyle name="Comma 5 2 4 3 4" xfId="18713"/>
    <cellStyle name="Comma 5 2 4 3 4 2" xfId="38596"/>
    <cellStyle name="Comma 5 2 4 3 5" xfId="26291"/>
    <cellStyle name="Comma 5 2 4 4" xfId="7899"/>
    <cellStyle name="Comma 5 2 4 4 2" xfId="14093"/>
    <cellStyle name="Comma 5 2 4 4 2 2" xfId="33976"/>
    <cellStyle name="Comma 5 2 4 4 3" xfId="20245"/>
    <cellStyle name="Comma 5 2 4 4 3 2" xfId="40128"/>
    <cellStyle name="Comma 5 2 4 4 4" xfId="27823"/>
    <cellStyle name="Comma 5 2 4 5" xfId="11027"/>
    <cellStyle name="Comma 5 2 4 5 2" xfId="30910"/>
    <cellStyle name="Comma 5 2 4 6" xfId="17179"/>
    <cellStyle name="Comma 5 2 4 6 2" xfId="37062"/>
    <cellStyle name="Comma 5 2 4 7" xfId="24757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2 2" xfId="35537"/>
    <cellStyle name="Comma 5 2 6 2 2 3" xfId="21806"/>
    <cellStyle name="Comma 5 2 6 2 2 3 2" xfId="41689"/>
    <cellStyle name="Comma 5 2 6 2 2 4" xfId="29384"/>
    <cellStyle name="Comma 5 2 6 2 3" xfId="12588"/>
    <cellStyle name="Comma 5 2 6 2 3 2" xfId="32471"/>
    <cellStyle name="Comma 5 2 6 2 4" xfId="18740"/>
    <cellStyle name="Comma 5 2 6 2 4 2" xfId="38623"/>
    <cellStyle name="Comma 5 2 6 2 5" xfId="26318"/>
    <cellStyle name="Comma 5 2 6 3" xfId="7926"/>
    <cellStyle name="Comma 5 2 6 3 2" xfId="14120"/>
    <cellStyle name="Comma 5 2 6 3 2 2" xfId="34003"/>
    <cellStyle name="Comma 5 2 6 3 3" xfId="20272"/>
    <cellStyle name="Comma 5 2 6 3 3 2" xfId="40155"/>
    <cellStyle name="Comma 5 2 6 3 4" xfId="27850"/>
    <cellStyle name="Comma 5 2 6 4" xfId="11054"/>
    <cellStyle name="Comma 5 2 6 4 2" xfId="30937"/>
    <cellStyle name="Comma 5 2 6 5" xfId="17206"/>
    <cellStyle name="Comma 5 2 6 5 2" xfId="37089"/>
    <cellStyle name="Comma 5 2 6 6" xfId="24784"/>
    <cellStyle name="Comma 5 2 7" xfId="5588"/>
    <cellStyle name="Comma 5 2 7 2" xfId="8692"/>
    <cellStyle name="Comma 5 2 7 2 2" xfId="14885"/>
    <cellStyle name="Comma 5 2 7 2 2 2" xfId="34768"/>
    <cellStyle name="Comma 5 2 7 2 3" xfId="21037"/>
    <cellStyle name="Comma 5 2 7 2 3 2" xfId="40920"/>
    <cellStyle name="Comma 5 2 7 2 4" xfId="28615"/>
    <cellStyle name="Comma 5 2 7 3" xfId="11819"/>
    <cellStyle name="Comma 5 2 7 3 2" xfId="31702"/>
    <cellStyle name="Comma 5 2 7 4" xfId="17971"/>
    <cellStyle name="Comma 5 2 7 4 2" xfId="37854"/>
    <cellStyle name="Comma 5 2 7 5" xfId="25549"/>
    <cellStyle name="Comma 5 2 8" xfId="7157"/>
    <cellStyle name="Comma 5 2 8 2" xfId="13351"/>
    <cellStyle name="Comma 5 2 8 2 2" xfId="33234"/>
    <cellStyle name="Comma 5 2 8 3" xfId="19503"/>
    <cellStyle name="Comma 5 2 8 3 2" xfId="39386"/>
    <cellStyle name="Comma 5 2 8 4" xfId="27081"/>
    <cellStyle name="Comma 5 2 9" xfId="10285"/>
    <cellStyle name="Comma 5 2 9 2" xfId="30168"/>
    <cellStyle name="Comma 5 20" xfId="645"/>
    <cellStyle name="Comma 5 20 2" xfId="1026"/>
    <cellStyle name="Comma 5 20 2 2" xfId="23869"/>
    <cellStyle name="Comma 5 20 3" xfId="22782"/>
    <cellStyle name="Comma 5 20 3 2" xfId="42656"/>
    <cellStyle name="Comma 5 20 4" xfId="22989"/>
    <cellStyle name="Comma 5 20 4 2" xfId="42863"/>
    <cellStyle name="Comma 5 20 5" xfId="23566"/>
    <cellStyle name="Comma 5 21" xfId="671"/>
    <cellStyle name="Comma 5 21 2" xfId="1042"/>
    <cellStyle name="Comma 5 21 2 2" xfId="23885"/>
    <cellStyle name="Comma 5 21 3" xfId="22767"/>
    <cellStyle name="Comma 5 21 3 2" xfId="42641"/>
    <cellStyle name="Comma 5 21 4" xfId="23005"/>
    <cellStyle name="Comma 5 21 4 2" xfId="42879"/>
    <cellStyle name="Comma 5 21 5" xfId="23582"/>
    <cellStyle name="Comma 5 22" xfId="711"/>
    <cellStyle name="Comma 5 22 2" xfId="1058"/>
    <cellStyle name="Comma 5 22 2 2" xfId="23901"/>
    <cellStyle name="Comma 5 22 3" xfId="22733"/>
    <cellStyle name="Comma 5 22 3 2" xfId="42607"/>
    <cellStyle name="Comma 5 22 4" xfId="23021"/>
    <cellStyle name="Comma 5 22 4 2" xfId="42895"/>
    <cellStyle name="Comma 5 22 5" xfId="23598"/>
    <cellStyle name="Comma 5 23" xfId="739"/>
    <cellStyle name="Comma 5 23 2" xfId="1074"/>
    <cellStyle name="Comma 5 23 2 2" xfId="23917"/>
    <cellStyle name="Comma 5 23 3" xfId="22734"/>
    <cellStyle name="Comma 5 23 3 2" xfId="42608"/>
    <cellStyle name="Comma 5 23 4" xfId="23037"/>
    <cellStyle name="Comma 5 23 4 2" xfId="42911"/>
    <cellStyle name="Comma 5 23 5" xfId="23614"/>
    <cellStyle name="Comma 5 24" xfId="765"/>
    <cellStyle name="Comma 5 24 2" xfId="1090"/>
    <cellStyle name="Comma 5 24 2 2" xfId="23933"/>
    <cellStyle name="Comma 5 24 3" xfId="22681"/>
    <cellStyle name="Comma 5 24 3 2" xfId="42555"/>
    <cellStyle name="Comma 5 24 4" xfId="23053"/>
    <cellStyle name="Comma 5 24 4 2" xfId="42927"/>
    <cellStyle name="Comma 5 24 5" xfId="23630"/>
    <cellStyle name="Comma 5 25" xfId="790"/>
    <cellStyle name="Comma 5 25 2" xfId="1106"/>
    <cellStyle name="Comma 5 25 2 2" xfId="23949"/>
    <cellStyle name="Comma 5 25 3" xfId="22706"/>
    <cellStyle name="Comma 5 25 3 2" xfId="42580"/>
    <cellStyle name="Comma 5 25 4" xfId="23069"/>
    <cellStyle name="Comma 5 25 4 2" xfId="42943"/>
    <cellStyle name="Comma 5 25 5" xfId="23646"/>
    <cellStyle name="Comma 5 26" xfId="814"/>
    <cellStyle name="Comma 5 26 2" xfId="1122"/>
    <cellStyle name="Comma 5 26 2 2" xfId="23965"/>
    <cellStyle name="Comma 5 26 3" xfId="22794"/>
    <cellStyle name="Comma 5 26 3 2" xfId="42668"/>
    <cellStyle name="Comma 5 26 4" xfId="23085"/>
    <cellStyle name="Comma 5 26 4 2" xfId="42959"/>
    <cellStyle name="Comma 5 26 5" xfId="23662"/>
    <cellStyle name="Comma 5 27" xfId="830"/>
    <cellStyle name="Comma 5 27 2" xfId="1138"/>
    <cellStyle name="Comma 5 27 2 2" xfId="23981"/>
    <cellStyle name="Comma 5 27 3" xfId="22698"/>
    <cellStyle name="Comma 5 27 3 2" xfId="42572"/>
    <cellStyle name="Comma 5 27 4" xfId="23101"/>
    <cellStyle name="Comma 5 27 4 2" xfId="42975"/>
    <cellStyle name="Comma 5 27 5" xfId="23678"/>
    <cellStyle name="Comma 5 28" xfId="846"/>
    <cellStyle name="Comma 5 28 2" xfId="1154"/>
    <cellStyle name="Comma 5 28 2 2" xfId="23997"/>
    <cellStyle name="Comma 5 28 3" xfId="22633"/>
    <cellStyle name="Comma 5 28 3 2" xfId="42507"/>
    <cellStyle name="Comma 5 28 4" xfId="23117"/>
    <cellStyle name="Comma 5 28 4 2" xfId="42991"/>
    <cellStyle name="Comma 5 28 5" xfId="23694"/>
    <cellStyle name="Comma 5 29" xfId="873"/>
    <cellStyle name="Comma 5 29 2" xfId="23716"/>
    <cellStyle name="Comma 5 3" xfId="321"/>
    <cellStyle name="Comma 5 3 10" xfId="22860"/>
    <cellStyle name="Comma 5 3 10 2" xfId="42734"/>
    <cellStyle name="Comma 5 3 11" xfId="23437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2 2" xfId="36283"/>
    <cellStyle name="Comma 5 3 2 2 2 2 3" xfId="22552"/>
    <cellStyle name="Comma 5 3 2 2 2 2 3 2" xfId="42435"/>
    <cellStyle name="Comma 5 3 2 2 2 2 4" xfId="30130"/>
    <cellStyle name="Comma 5 3 2 2 2 3" xfId="13334"/>
    <cellStyle name="Comma 5 3 2 2 2 3 2" xfId="33217"/>
    <cellStyle name="Comma 5 3 2 2 2 4" xfId="19486"/>
    <cellStyle name="Comma 5 3 2 2 2 4 2" xfId="39369"/>
    <cellStyle name="Comma 5 3 2 2 2 5" xfId="27064"/>
    <cellStyle name="Comma 5 3 2 2 3" xfId="8672"/>
    <cellStyle name="Comma 5 3 2 2 3 2" xfId="14866"/>
    <cellStyle name="Comma 5 3 2 2 3 2 2" xfId="34749"/>
    <cellStyle name="Comma 5 3 2 2 3 3" xfId="21018"/>
    <cellStyle name="Comma 5 3 2 2 3 3 2" xfId="40901"/>
    <cellStyle name="Comma 5 3 2 2 3 4" xfId="28596"/>
    <cellStyle name="Comma 5 3 2 2 4" xfId="11800"/>
    <cellStyle name="Comma 5 3 2 2 4 2" xfId="31683"/>
    <cellStyle name="Comma 5 3 2 2 5" xfId="17952"/>
    <cellStyle name="Comma 5 3 2 2 5 2" xfId="37835"/>
    <cellStyle name="Comma 5 3 2 2 6" xfId="25530"/>
    <cellStyle name="Comma 5 3 2 3" xfId="6352"/>
    <cellStyle name="Comma 5 3 2 3 2" xfId="9438"/>
    <cellStyle name="Comma 5 3 2 3 2 2" xfId="15631"/>
    <cellStyle name="Comma 5 3 2 3 2 2 2" xfId="35514"/>
    <cellStyle name="Comma 5 3 2 3 2 3" xfId="21783"/>
    <cellStyle name="Comma 5 3 2 3 2 3 2" xfId="41666"/>
    <cellStyle name="Comma 5 3 2 3 2 4" xfId="29361"/>
    <cellStyle name="Comma 5 3 2 3 3" xfId="12565"/>
    <cellStyle name="Comma 5 3 2 3 3 2" xfId="32448"/>
    <cellStyle name="Comma 5 3 2 3 4" xfId="18717"/>
    <cellStyle name="Comma 5 3 2 3 4 2" xfId="38600"/>
    <cellStyle name="Comma 5 3 2 3 5" xfId="26295"/>
    <cellStyle name="Comma 5 3 2 4" xfId="7903"/>
    <cellStyle name="Comma 5 3 2 4 2" xfId="14097"/>
    <cellStyle name="Comma 5 3 2 4 2 2" xfId="33980"/>
    <cellStyle name="Comma 5 3 2 4 3" xfId="20249"/>
    <cellStyle name="Comma 5 3 2 4 3 2" xfId="40132"/>
    <cellStyle name="Comma 5 3 2 4 4" xfId="27827"/>
    <cellStyle name="Comma 5 3 2 5" xfId="11031"/>
    <cellStyle name="Comma 5 3 2 5 2" xfId="30914"/>
    <cellStyle name="Comma 5 3 2 6" xfId="17183"/>
    <cellStyle name="Comma 5 3 2 6 2" xfId="37066"/>
    <cellStyle name="Comma 5 3 2 7" xfId="4720"/>
    <cellStyle name="Comma 5 3 2 7 2" xfId="24761"/>
    <cellStyle name="Comma 5 3 2 8" xfId="2374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2 2" xfId="35542"/>
    <cellStyle name="Comma 5 3 4 2 2 3" xfId="21811"/>
    <cellStyle name="Comma 5 3 4 2 2 3 2" xfId="41694"/>
    <cellStyle name="Comma 5 3 4 2 2 4" xfId="29389"/>
    <cellStyle name="Comma 5 3 4 2 3" xfId="12593"/>
    <cellStyle name="Comma 5 3 4 2 3 2" xfId="32476"/>
    <cellStyle name="Comma 5 3 4 2 4" xfId="18745"/>
    <cellStyle name="Comma 5 3 4 2 4 2" xfId="38628"/>
    <cellStyle name="Comma 5 3 4 2 5" xfId="26323"/>
    <cellStyle name="Comma 5 3 4 3" xfId="7931"/>
    <cellStyle name="Comma 5 3 4 3 2" xfId="14125"/>
    <cellStyle name="Comma 5 3 4 3 2 2" xfId="34008"/>
    <cellStyle name="Comma 5 3 4 3 3" xfId="20277"/>
    <cellStyle name="Comma 5 3 4 3 3 2" xfId="40160"/>
    <cellStyle name="Comma 5 3 4 3 4" xfId="27855"/>
    <cellStyle name="Comma 5 3 4 4" xfId="11059"/>
    <cellStyle name="Comma 5 3 4 4 2" xfId="30942"/>
    <cellStyle name="Comma 5 3 4 5" xfId="17211"/>
    <cellStyle name="Comma 5 3 4 5 2" xfId="37094"/>
    <cellStyle name="Comma 5 3 4 6" xfId="24789"/>
    <cellStyle name="Comma 5 3 5" xfId="5594"/>
    <cellStyle name="Comma 5 3 5 2" xfId="8697"/>
    <cellStyle name="Comma 5 3 5 2 2" xfId="14890"/>
    <cellStyle name="Comma 5 3 5 2 2 2" xfId="34773"/>
    <cellStyle name="Comma 5 3 5 2 3" xfId="21042"/>
    <cellStyle name="Comma 5 3 5 2 3 2" xfId="40925"/>
    <cellStyle name="Comma 5 3 5 2 4" xfId="28620"/>
    <cellStyle name="Comma 5 3 5 3" xfId="11824"/>
    <cellStyle name="Comma 5 3 5 3 2" xfId="31707"/>
    <cellStyle name="Comma 5 3 5 4" xfId="17976"/>
    <cellStyle name="Comma 5 3 5 4 2" xfId="37859"/>
    <cellStyle name="Comma 5 3 5 5" xfId="25554"/>
    <cellStyle name="Comma 5 3 6" xfId="7162"/>
    <cellStyle name="Comma 5 3 6 2" xfId="13356"/>
    <cellStyle name="Comma 5 3 6 2 2" xfId="33239"/>
    <cellStyle name="Comma 5 3 6 3" xfId="19508"/>
    <cellStyle name="Comma 5 3 6 3 2" xfId="39391"/>
    <cellStyle name="Comma 5 3 6 4" xfId="27086"/>
    <cellStyle name="Comma 5 3 7" xfId="10290"/>
    <cellStyle name="Comma 5 3 7 2" xfId="30173"/>
    <cellStyle name="Comma 5 3 8" xfId="16442"/>
    <cellStyle name="Comma 5 3 8 2" xfId="36325"/>
    <cellStyle name="Comma 5 3 9" xfId="1308"/>
    <cellStyle name="Comma 5 3 9 2" xfId="24020"/>
    <cellStyle name="Comma 5 30" xfId="1168"/>
    <cellStyle name="Comma 5 31" xfId="22836"/>
    <cellStyle name="Comma 5 31 2" xfId="42710"/>
    <cellStyle name="Comma 5 32" xfId="219"/>
    <cellStyle name="Comma 5 32 2" xfId="23413"/>
    <cellStyle name="Comma 5 4" xfId="336"/>
    <cellStyle name="Comma 5 4 2" xfId="900"/>
    <cellStyle name="Comma 5 4 2 2" xfId="23743"/>
    <cellStyle name="Comma 5 4 3" xfId="2275"/>
    <cellStyle name="Comma 5 4 4" xfId="22608"/>
    <cellStyle name="Comma 5 4 4 2" xfId="42482"/>
    <cellStyle name="Comma 5 4 5" xfId="22863"/>
    <cellStyle name="Comma 5 4 5 2" xfId="42737"/>
    <cellStyle name="Comma 5 4 6" xfId="23440"/>
    <cellStyle name="Comma 5 5" xfId="350"/>
    <cellStyle name="Comma 5 5 2" xfId="903"/>
    <cellStyle name="Comma 5 5 2 2" xfId="2277"/>
    <cellStyle name="Comma 5 5 2 3" xfId="23746"/>
    <cellStyle name="Comma 5 5 3" xfId="2278"/>
    <cellStyle name="Comma 5 5 4" xfId="2276"/>
    <cellStyle name="Comma 5 5 5" xfId="22653"/>
    <cellStyle name="Comma 5 5 5 2" xfId="42527"/>
    <cellStyle name="Comma 5 5 6" xfId="22866"/>
    <cellStyle name="Comma 5 5 6 2" xfId="42740"/>
    <cellStyle name="Comma 5 5 7" xfId="23443"/>
    <cellStyle name="Comma 5 6" xfId="366"/>
    <cellStyle name="Comma 5 6 2" xfId="906"/>
    <cellStyle name="Comma 5 6 2 2" xfId="23749"/>
    <cellStyle name="Comma 5 6 3" xfId="2279"/>
    <cellStyle name="Comma 5 6 4" xfId="22811"/>
    <cellStyle name="Comma 5 6 4 2" xfId="42685"/>
    <cellStyle name="Comma 5 6 5" xfId="22869"/>
    <cellStyle name="Comma 5 6 5 2" xfId="42743"/>
    <cellStyle name="Comma 5 6 6" xfId="23446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2 2" xfId="36275"/>
    <cellStyle name="Comma 5 7 2 2 2 3" xfId="22544"/>
    <cellStyle name="Comma 5 7 2 2 2 3 2" xfId="42427"/>
    <cellStyle name="Comma 5 7 2 2 2 4" xfId="30122"/>
    <cellStyle name="Comma 5 7 2 2 3" xfId="13326"/>
    <cellStyle name="Comma 5 7 2 2 3 2" xfId="33209"/>
    <cellStyle name="Comma 5 7 2 2 4" xfId="19478"/>
    <cellStyle name="Comma 5 7 2 2 4 2" xfId="39361"/>
    <cellStyle name="Comma 5 7 2 2 5" xfId="27056"/>
    <cellStyle name="Comma 5 7 2 3" xfId="8664"/>
    <cellStyle name="Comma 5 7 2 3 2" xfId="14858"/>
    <cellStyle name="Comma 5 7 2 3 2 2" xfId="34741"/>
    <cellStyle name="Comma 5 7 2 3 3" xfId="21010"/>
    <cellStyle name="Comma 5 7 2 3 3 2" xfId="40893"/>
    <cellStyle name="Comma 5 7 2 3 4" xfId="28588"/>
    <cellStyle name="Comma 5 7 2 4" xfId="11792"/>
    <cellStyle name="Comma 5 7 2 4 2" xfId="31675"/>
    <cellStyle name="Comma 5 7 2 5" xfId="17944"/>
    <cellStyle name="Comma 5 7 2 5 2" xfId="37827"/>
    <cellStyle name="Comma 5 7 2 6" xfId="5488"/>
    <cellStyle name="Comma 5 7 2 6 2" xfId="25522"/>
    <cellStyle name="Comma 5 7 2 7" xfId="23752"/>
    <cellStyle name="Comma 5 7 3" xfId="6344"/>
    <cellStyle name="Comma 5 7 3 2" xfId="9430"/>
    <cellStyle name="Comma 5 7 3 2 2" xfId="15623"/>
    <cellStyle name="Comma 5 7 3 2 2 2" xfId="35506"/>
    <cellStyle name="Comma 5 7 3 2 3" xfId="21775"/>
    <cellStyle name="Comma 5 7 3 2 3 2" xfId="41658"/>
    <cellStyle name="Comma 5 7 3 2 4" xfId="29353"/>
    <cellStyle name="Comma 5 7 3 3" xfId="12557"/>
    <cellStyle name="Comma 5 7 3 3 2" xfId="32440"/>
    <cellStyle name="Comma 5 7 3 4" xfId="18709"/>
    <cellStyle name="Comma 5 7 3 4 2" xfId="38592"/>
    <cellStyle name="Comma 5 7 3 5" xfId="26287"/>
    <cellStyle name="Comma 5 7 4" xfId="7895"/>
    <cellStyle name="Comma 5 7 4 2" xfId="14089"/>
    <cellStyle name="Comma 5 7 4 2 2" xfId="33972"/>
    <cellStyle name="Comma 5 7 4 3" xfId="20241"/>
    <cellStyle name="Comma 5 7 4 3 2" xfId="40124"/>
    <cellStyle name="Comma 5 7 4 4" xfId="27819"/>
    <cellStyle name="Comma 5 7 5" xfId="11023"/>
    <cellStyle name="Comma 5 7 5 2" xfId="30906"/>
    <cellStyle name="Comma 5 7 6" xfId="17175"/>
    <cellStyle name="Comma 5 7 6 2" xfId="37058"/>
    <cellStyle name="Comma 5 7 7" xfId="4700"/>
    <cellStyle name="Comma 5 7 7 2" xfId="24753"/>
    <cellStyle name="Comma 5 7 8" xfId="22872"/>
    <cellStyle name="Comma 5 7 8 2" xfId="42746"/>
    <cellStyle name="Comma 5 7 9" xfId="23449"/>
    <cellStyle name="Comma 5 8" xfId="397"/>
    <cellStyle name="Comma 5 8 2" xfId="912"/>
    <cellStyle name="Comma 5 8 2 2" xfId="23755"/>
    <cellStyle name="Comma 5 8 3" xfId="2270"/>
    <cellStyle name="Comma 5 8 4" xfId="22715"/>
    <cellStyle name="Comma 5 8 4 2" xfId="42589"/>
    <cellStyle name="Comma 5 8 5" xfId="22875"/>
    <cellStyle name="Comma 5 8 5 2" xfId="42749"/>
    <cellStyle name="Comma 5 8 6" xfId="23452"/>
    <cellStyle name="Comma 5 9" xfId="410"/>
    <cellStyle name="Comma 5 9 2" xfId="915"/>
    <cellStyle name="Comma 5 9 2 2" xfId="9455"/>
    <cellStyle name="Comma 5 9 2 2 2" xfId="15648"/>
    <cellStyle name="Comma 5 9 2 2 2 2" xfId="35531"/>
    <cellStyle name="Comma 5 9 2 2 3" xfId="21800"/>
    <cellStyle name="Comma 5 9 2 2 3 2" xfId="41683"/>
    <cellStyle name="Comma 5 9 2 2 4" xfId="29378"/>
    <cellStyle name="Comma 5 9 2 3" xfId="12582"/>
    <cellStyle name="Comma 5 9 2 3 2" xfId="32465"/>
    <cellStyle name="Comma 5 9 2 4" xfId="18734"/>
    <cellStyle name="Comma 5 9 2 4 2" xfId="38617"/>
    <cellStyle name="Comma 5 9 2 5" xfId="6369"/>
    <cellStyle name="Comma 5 9 2 5 2" xfId="26312"/>
    <cellStyle name="Comma 5 9 2 6" xfId="23758"/>
    <cellStyle name="Comma 5 9 3" xfId="7920"/>
    <cellStyle name="Comma 5 9 3 2" xfId="14114"/>
    <cellStyle name="Comma 5 9 3 2 2" xfId="33997"/>
    <cellStyle name="Comma 5 9 3 3" xfId="20266"/>
    <cellStyle name="Comma 5 9 3 3 2" xfId="40149"/>
    <cellStyle name="Comma 5 9 3 4" xfId="27844"/>
    <cellStyle name="Comma 5 9 4" xfId="11048"/>
    <cellStyle name="Comma 5 9 4 2" xfId="30931"/>
    <cellStyle name="Comma 5 9 5" xfId="17200"/>
    <cellStyle name="Comma 5 9 5 2" xfId="37083"/>
    <cellStyle name="Comma 5 9 6" xfId="4744"/>
    <cellStyle name="Comma 5 9 6 2" xfId="24778"/>
    <cellStyle name="Comma 5 9 7" xfId="22878"/>
    <cellStyle name="Comma 5 9 7 2" xfId="42752"/>
    <cellStyle name="Comma 5 9 8" xfId="23455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2 2" xfId="36310"/>
    <cellStyle name="Comma 6 10 3" xfId="22579"/>
    <cellStyle name="Comma 6 10 3 2" xfId="42462"/>
    <cellStyle name="Comma 6 10 4" xfId="30157"/>
    <cellStyle name="Comma 6 11" xfId="10281"/>
    <cellStyle name="Comma 6 11 2" xfId="30164"/>
    <cellStyle name="Comma 6 12" xfId="16433"/>
    <cellStyle name="Comma 6 12 2" xfId="36316"/>
    <cellStyle name="Comma 6 13" xfId="1283"/>
    <cellStyle name="Comma 6 13 2" xfId="24011"/>
    <cellStyle name="Comma 6 14" xfId="1172"/>
    <cellStyle name="Comma 6 15" xfId="22837"/>
    <cellStyle name="Comma 6 15 2" xfId="42711"/>
    <cellStyle name="Comma 6 16" xfId="223"/>
    <cellStyle name="Comma 6 16 2" xfId="23414"/>
    <cellStyle name="Comma 6 2" xfId="83"/>
    <cellStyle name="Comma 6 2 10" xfId="16439"/>
    <cellStyle name="Comma 6 2 10 2" xfId="36322"/>
    <cellStyle name="Comma 6 2 11" xfId="1297"/>
    <cellStyle name="Comma 6 2 11 2" xfId="24017"/>
    <cellStyle name="Comma 6 2 12" xfId="874"/>
    <cellStyle name="Comma 6 2 12 2" xfId="23717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2 2" xfId="36290"/>
    <cellStyle name="Comma 6 2 2 2 2 2 2 3" xfId="22559"/>
    <cellStyle name="Comma 6 2 2 2 2 2 2 3 2" xfId="42442"/>
    <cellStyle name="Comma 6 2 2 2 2 2 2 4" xfId="30137"/>
    <cellStyle name="Comma 6 2 2 2 2 2 3" xfId="13341"/>
    <cellStyle name="Comma 6 2 2 2 2 2 3 2" xfId="33224"/>
    <cellStyle name="Comma 6 2 2 2 2 2 4" xfId="19493"/>
    <cellStyle name="Comma 6 2 2 2 2 2 4 2" xfId="39376"/>
    <cellStyle name="Comma 6 2 2 2 2 2 5" xfId="27071"/>
    <cellStyle name="Comma 6 2 2 2 2 3" xfId="8679"/>
    <cellStyle name="Comma 6 2 2 2 2 3 2" xfId="14873"/>
    <cellStyle name="Comma 6 2 2 2 2 3 2 2" xfId="34756"/>
    <cellStyle name="Comma 6 2 2 2 2 3 3" xfId="21025"/>
    <cellStyle name="Comma 6 2 2 2 2 3 3 2" xfId="40908"/>
    <cellStyle name="Comma 6 2 2 2 2 3 4" xfId="28603"/>
    <cellStyle name="Comma 6 2 2 2 2 4" xfId="11807"/>
    <cellStyle name="Comma 6 2 2 2 2 4 2" xfId="31690"/>
    <cellStyle name="Comma 6 2 2 2 2 5" xfId="17959"/>
    <cellStyle name="Comma 6 2 2 2 2 5 2" xfId="37842"/>
    <cellStyle name="Comma 6 2 2 2 2 6" xfId="25537"/>
    <cellStyle name="Comma 6 2 2 2 3" xfId="6359"/>
    <cellStyle name="Comma 6 2 2 2 3 2" xfId="9445"/>
    <cellStyle name="Comma 6 2 2 2 3 2 2" xfId="15638"/>
    <cellStyle name="Comma 6 2 2 2 3 2 2 2" xfId="35521"/>
    <cellStyle name="Comma 6 2 2 2 3 2 3" xfId="21790"/>
    <cellStyle name="Comma 6 2 2 2 3 2 3 2" xfId="41673"/>
    <cellStyle name="Comma 6 2 2 2 3 2 4" xfId="29368"/>
    <cellStyle name="Comma 6 2 2 2 3 3" xfId="12572"/>
    <cellStyle name="Comma 6 2 2 2 3 3 2" xfId="32455"/>
    <cellStyle name="Comma 6 2 2 2 3 4" xfId="18724"/>
    <cellStyle name="Comma 6 2 2 2 3 4 2" xfId="38607"/>
    <cellStyle name="Comma 6 2 2 2 3 5" xfId="26302"/>
    <cellStyle name="Comma 6 2 2 2 4" xfId="7910"/>
    <cellStyle name="Comma 6 2 2 2 4 2" xfId="14104"/>
    <cellStyle name="Comma 6 2 2 2 4 2 2" xfId="33987"/>
    <cellStyle name="Comma 6 2 2 2 4 3" xfId="20256"/>
    <cellStyle name="Comma 6 2 2 2 4 3 2" xfId="40139"/>
    <cellStyle name="Comma 6 2 2 2 4 4" xfId="27834"/>
    <cellStyle name="Comma 6 2 2 2 5" xfId="11038"/>
    <cellStyle name="Comma 6 2 2 2 5 2" xfId="30921"/>
    <cellStyle name="Comma 6 2 2 2 6" xfId="17190"/>
    <cellStyle name="Comma 6 2 2 2 6 2" xfId="37073"/>
    <cellStyle name="Comma 6 2 2 2 7" xfId="24768"/>
    <cellStyle name="Comma 6 2 2 3" xfId="4763"/>
    <cellStyle name="Comma 6 2 2 3 2" xfId="6388"/>
    <cellStyle name="Comma 6 2 2 3 2 2" xfId="9474"/>
    <cellStyle name="Comma 6 2 2 3 2 2 2" xfId="15667"/>
    <cellStyle name="Comma 6 2 2 3 2 2 2 2" xfId="35550"/>
    <cellStyle name="Comma 6 2 2 3 2 2 3" xfId="21819"/>
    <cellStyle name="Comma 6 2 2 3 2 2 3 2" xfId="41702"/>
    <cellStyle name="Comma 6 2 2 3 2 2 4" xfId="29397"/>
    <cellStyle name="Comma 6 2 2 3 2 3" xfId="12601"/>
    <cellStyle name="Comma 6 2 2 3 2 3 2" xfId="32484"/>
    <cellStyle name="Comma 6 2 2 3 2 4" xfId="18753"/>
    <cellStyle name="Comma 6 2 2 3 2 4 2" xfId="38636"/>
    <cellStyle name="Comma 6 2 2 3 2 5" xfId="26331"/>
    <cellStyle name="Comma 6 2 2 3 3" xfId="7939"/>
    <cellStyle name="Comma 6 2 2 3 3 2" xfId="14133"/>
    <cellStyle name="Comma 6 2 2 3 3 2 2" xfId="34016"/>
    <cellStyle name="Comma 6 2 2 3 3 3" xfId="20285"/>
    <cellStyle name="Comma 6 2 2 3 3 3 2" xfId="40168"/>
    <cellStyle name="Comma 6 2 2 3 3 4" xfId="27863"/>
    <cellStyle name="Comma 6 2 2 3 4" xfId="11067"/>
    <cellStyle name="Comma 6 2 2 3 4 2" xfId="30950"/>
    <cellStyle name="Comma 6 2 2 3 5" xfId="17219"/>
    <cellStyle name="Comma 6 2 2 3 5 2" xfId="37102"/>
    <cellStyle name="Comma 6 2 2 3 6" xfId="24797"/>
    <cellStyle name="Comma 6 2 2 4" xfId="5602"/>
    <cellStyle name="Comma 6 2 2 4 2" xfId="8705"/>
    <cellStyle name="Comma 6 2 2 4 2 2" xfId="14898"/>
    <cellStyle name="Comma 6 2 2 4 2 2 2" xfId="34781"/>
    <cellStyle name="Comma 6 2 2 4 2 3" xfId="21050"/>
    <cellStyle name="Comma 6 2 2 4 2 3 2" xfId="40933"/>
    <cellStyle name="Comma 6 2 2 4 2 4" xfId="28628"/>
    <cellStyle name="Comma 6 2 2 4 3" xfId="11832"/>
    <cellStyle name="Comma 6 2 2 4 3 2" xfId="31715"/>
    <cellStyle name="Comma 6 2 2 4 4" xfId="17984"/>
    <cellStyle name="Comma 6 2 2 4 4 2" xfId="37867"/>
    <cellStyle name="Comma 6 2 2 4 5" xfId="25562"/>
    <cellStyle name="Comma 6 2 2 5" xfId="7170"/>
    <cellStyle name="Comma 6 2 2 5 2" xfId="13364"/>
    <cellStyle name="Comma 6 2 2 5 2 2" xfId="33247"/>
    <cellStyle name="Comma 6 2 2 5 3" xfId="19516"/>
    <cellStyle name="Comma 6 2 2 5 3 2" xfId="39399"/>
    <cellStyle name="Comma 6 2 2 5 4" xfId="27094"/>
    <cellStyle name="Comma 6 2 2 6" xfId="10298"/>
    <cellStyle name="Comma 6 2 2 6 2" xfId="30181"/>
    <cellStyle name="Comma 6 2 2 7" xfId="16450"/>
    <cellStyle name="Comma 6 2 2 7 2" xfId="36333"/>
    <cellStyle name="Comma 6 2 2 8" xfId="24028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2 2" xfId="36281"/>
    <cellStyle name="Comma 6 2 3 2 2 2 3" xfId="22550"/>
    <cellStyle name="Comma 6 2 3 2 2 2 3 2" xfId="42433"/>
    <cellStyle name="Comma 6 2 3 2 2 2 4" xfId="30128"/>
    <cellStyle name="Comma 6 2 3 2 2 3" xfId="13332"/>
    <cellStyle name="Comma 6 2 3 2 2 3 2" xfId="33215"/>
    <cellStyle name="Comma 6 2 3 2 2 4" xfId="19484"/>
    <cellStyle name="Comma 6 2 3 2 2 4 2" xfId="39367"/>
    <cellStyle name="Comma 6 2 3 2 2 5" xfId="27062"/>
    <cellStyle name="Comma 6 2 3 2 3" xfId="8670"/>
    <cellStyle name="Comma 6 2 3 2 3 2" xfId="14864"/>
    <cellStyle name="Comma 6 2 3 2 3 2 2" xfId="34747"/>
    <cellStyle name="Comma 6 2 3 2 3 3" xfId="21016"/>
    <cellStyle name="Comma 6 2 3 2 3 3 2" xfId="40899"/>
    <cellStyle name="Comma 6 2 3 2 3 4" xfId="28594"/>
    <cellStyle name="Comma 6 2 3 2 4" xfId="11798"/>
    <cellStyle name="Comma 6 2 3 2 4 2" xfId="31681"/>
    <cellStyle name="Comma 6 2 3 2 5" xfId="17950"/>
    <cellStyle name="Comma 6 2 3 2 5 2" xfId="37833"/>
    <cellStyle name="Comma 6 2 3 2 6" xfId="25528"/>
    <cellStyle name="Comma 6 2 3 3" xfId="6350"/>
    <cellStyle name="Comma 6 2 3 3 2" xfId="9436"/>
    <cellStyle name="Comma 6 2 3 3 2 2" xfId="15629"/>
    <cellStyle name="Comma 6 2 3 3 2 2 2" xfId="35512"/>
    <cellStyle name="Comma 6 2 3 3 2 3" xfId="21781"/>
    <cellStyle name="Comma 6 2 3 3 2 3 2" xfId="41664"/>
    <cellStyle name="Comma 6 2 3 3 2 4" xfId="29359"/>
    <cellStyle name="Comma 6 2 3 3 3" xfId="12563"/>
    <cellStyle name="Comma 6 2 3 3 3 2" xfId="32446"/>
    <cellStyle name="Comma 6 2 3 3 4" xfId="18715"/>
    <cellStyle name="Comma 6 2 3 3 4 2" xfId="38598"/>
    <cellStyle name="Comma 6 2 3 3 5" xfId="26293"/>
    <cellStyle name="Comma 6 2 3 4" xfId="7901"/>
    <cellStyle name="Comma 6 2 3 4 2" xfId="14095"/>
    <cellStyle name="Comma 6 2 3 4 2 2" xfId="33978"/>
    <cellStyle name="Comma 6 2 3 4 3" xfId="20247"/>
    <cellStyle name="Comma 6 2 3 4 3 2" xfId="40130"/>
    <cellStyle name="Comma 6 2 3 4 4" xfId="27825"/>
    <cellStyle name="Comma 6 2 3 5" xfId="11029"/>
    <cellStyle name="Comma 6 2 3 5 2" xfId="30912"/>
    <cellStyle name="Comma 6 2 3 6" xfId="17181"/>
    <cellStyle name="Comma 6 2 3 6 2" xfId="37064"/>
    <cellStyle name="Comma 6 2 3 7" xfId="24759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2 2" xfId="35539"/>
    <cellStyle name="Comma 6 2 5 2 2 3" xfId="21808"/>
    <cellStyle name="Comma 6 2 5 2 2 3 2" xfId="41691"/>
    <cellStyle name="Comma 6 2 5 2 2 4" xfId="29386"/>
    <cellStyle name="Comma 6 2 5 2 3" xfId="12590"/>
    <cellStyle name="Comma 6 2 5 2 3 2" xfId="32473"/>
    <cellStyle name="Comma 6 2 5 2 4" xfId="18742"/>
    <cellStyle name="Comma 6 2 5 2 4 2" xfId="38625"/>
    <cellStyle name="Comma 6 2 5 2 5" xfId="26320"/>
    <cellStyle name="Comma 6 2 5 3" xfId="7928"/>
    <cellStyle name="Comma 6 2 5 3 2" xfId="14122"/>
    <cellStyle name="Comma 6 2 5 3 2 2" xfId="34005"/>
    <cellStyle name="Comma 6 2 5 3 3" xfId="20274"/>
    <cellStyle name="Comma 6 2 5 3 3 2" xfId="40157"/>
    <cellStyle name="Comma 6 2 5 3 4" xfId="27852"/>
    <cellStyle name="Comma 6 2 5 4" xfId="11056"/>
    <cellStyle name="Comma 6 2 5 4 2" xfId="30939"/>
    <cellStyle name="Comma 6 2 5 5" xfId="17208"/>
    <cellStyle name="Comma 6 2 5 5 2" xfId="37091"/>
    <cellStyle name="Comma 6 2 5 6" xfId="24786"/>
    <cellStyle name="Comma 6 2 6" xfId="5590"/>
    <cellStyle name="Comma 6 2 6 2" xfId="8694"/>
    <cellStyle name="Comma 6 2 6 2 2" xfId="14887"/>
    <cellStyle name="Comma 6 2 6 2 2 2" xfId="34770"/>
    <cellStyle name="Comma 6 2 6 2 3" xfId="21039"/>
    <cellStyle name="Comma 6 2 6 2 3 2" xfId="40922"/>
    <cellStyle name="Comma 6 2 6 2 4" xfId="28617"/>
    <cellStyle name="Comma 6 2 6 3" xfId="11821"/>
    <cellStyle name="Comma 6 2 6 3 2" xfId="31704"/>
    <cellStyle name="Comma 6 2 6 4" xfId="17973"/>
    <cellStyle name="Comma 6 2 6 4 2" xfId="37856"/>
    <cellStyle name="Comma 6 2 6 5" xfId="25551"/>
    <cellStyle name="Comma 6 2 7" xfId="7159"/>
    <cellStyle name="Comma 6 2 7 2" xfId="13353"/>
    <cellStyle name="Comma 6 2 7 2 2" xfId="33236"/>
    <cellStyle name="Comma 6 2 7 3" xfId="19505"/>
    <cellStyle name="Comma 6 2 7 3 2" xfId="39388"/>
    <cellStyle name="Comma 6 2 7 4" xfId="27083"/>
    <cellStyle name="Comma 6 2 8" xfId="10268"/>
    <cellStyle name="Comma 6 2 8 2" xfId="16428"/>
    <cellStyle name="Comma 6 2 8 2 2" xfId="36311"/>
    <cellStyle name="Comma 6 2 8 3" xfId="22580"/>
    <cellStyle name="Comma 6 2 8 3 2" xfId="42463"/>
    <cellStyle name="Comma 6 2 8 4" xfId="30158"/>
    <cellStyle name="Comma 6 2 9" xfId="10287"/>
    <cellStyle name="Comma 6 2 9 2" xfId="30170"/>
    <cellStyle name="Comma 6 3" xfId="1310"/>
    <cellStyle name="Comma 6 3 10" xfId="16444"/>
    <cellStyle name="Comma 6 3 10 2" xfId="36327"/>
    <cellStyle name="Comma 6 3 11" xfId="24022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2 2" xfId="36285"/>
    <cellStyle name="Comma 6 3 4 2 2 2 3" xfId="22554"/>
    <cellStyle name="Comma 6 3 4 2 2 2 3 2" xfId="42437"/>
    <cellStyle name="Comma 6 3 4 2 2 2 4" xfId="30132"/>
    <cellStyle name="Comma 6 3 4 2 2 3" xfId="13336"/>
    <cellStyle name="Comma 6 3 4 2 2 3 2" xfId="33219"/>
    <cellStyle name="Comma 6 3 4 2 2 4" xfId="19488"/>
    <cellStyle name="Comma 6 3 4 2 2 4 2" xfId="39371"/>
    <cellStyle name="Comma 6 3 4 2 2 5" xfId="27066"/>
    <cellStyle name="Comma 6 3 4 2 3" xfId="8674"/>
    <cellStyle name="Comma 6 3 4 2 3 2" xfId="14868"/>
    <cellStyle name="Comma 6 3 4 2 3 2 2" xfId="34751"/>
    <cellStyle name="Comma 6 3 4 2 3 3" xfId="21020"/>
    <cellStyle name="Comma 6 3 4 2 3 3 2" xfId="40903"/>
    <cellStyle name="Comma 6 3 4 2 3 4" xfId="28598"/>
    <cellStyle name="Comma 6 3 4 2 4" xfId="11802"/>
    <cellStyle name="Comma 6 3 4 2 4 2" xfId="31685"/>
    <cellStyle name="Comma 6 3 4 2 5" xfId="17954"/>
    <cellStyle name="Comma 6 3 4 2 5 2" xfId="37837"/>
    <cellStyle name="Comma 6 3 4 2 6" xfId="25532"/>
    <cellStyle name="Comma 6 3 4 3" xfId="6354"/>
    <cellStyle name="Comma 6 3 4 3 2" xfId="9440"/>
    <cellStyle name="Comma 6 3 4 3 2 2" xfId="15633"/>
    <cellStyle name="Comma 6 3 4 3 2 2 2" xfId="35516"/>
    <cellStyle name="Comma 6 3 4 3 2 3" xfId="21785"/>
    <cellStyle name="Comma 6 3 4 3 2 3 2" xfId="41668"/>
    <cellStyle name="Comma 6 3 4 3 2 4" xfId="29363"/>
    <cellStyle name="Comma 6 3 4 3 3" xfId="12567"/>
    <cellStyle name="Comma 6 3 4 3 3 2" xfId="32450"/>
    <cellStyle name="Comma 6 3 4 3 4" xfId="18719"/>
    <cellStyle name="Comma 6 3 4 3 4 2" xfId="38602"/>
    <cellStyle name="Comma 6 3 4 3 5" xfId="26297"/>
    <cellStyle name="Comma 6 3 4 4" xfId="7905"/>
    <cellStyle name="Comma 6 3 4 4 2" xfId="14099"/>
    <cellStyle name="Comma 6 3 4 4 2 2" xfId="33982"/>
    <cellStyle name="Comma 6 3 4 4 3" xfId="20251"/>
    <cellStyle name="Comma 6 3 4 4 3 2" xfId="40134"/>
    <cellStyle name="Comma 6 3 4 4 4" xfId="27829"/>
    <cellStyle name="Comma 6 3 4 5" xfId="11033"/>
    <cellStyle name="Comma 6 3 4 5 2" xfId="30916"/>
    <cellStyle name="Comma 6 3 4 6" xfId="17185"/>
    <cellStyle name="Comma 6 3 4 6 2" xfId="37068"/>
    <cellStyle name="Comma 6 3 4 7" xfId="24763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2 2" xfId="35544"/>
    <cellStyle name="Comma 6 3 6 2 2 3" xfId="21813"/>
    <cellStyle name="Comma 6 3 6 2 2 3 2" xfId="41696"/>
    <cellStyle name="Comma 6 3 6 2 2 4" xfId="29391"/>
    <cellStyle name="Comma 6 3 6 2 3" xfId="12595"/>
    <cellStyle name="Comma 6 3 6 2 3 2" xfId="32478"/>
    <cellStyle name="Comma 6 3 6 2 4" xfId="18747"/>
    <cellStyle name="Comma 6 3 6 2 4 2" xfId="38630"/>
    <cellStyle name="Comma 6 3 6 2 5" xfId="26325"/>
    <cellStyle name="Comma 6 3 6 3" xfId="7933"/>
    <cellStyle name="Comma 6 3 6 3 2" xfId="14127"/>
    <cellStyle name="Comma 6 3 6 3 2 2" xfId="34010"/>
    <cellStyle name="Comma 6 3 6 3 3" xfId="20279"/>
    <cellStyle name="Comma 6 3 6 3 3 2" xfId="40162"/>
    <cellStyle name="Comma 6 3 6 3 4" xfId="27857"/>
    <cellStyle name="Comma 6 3 6 4" xfId="11061"/>
    <cellStyle name="Comma 6 3 6 4 2" xfId="30944"/>
    <cellStyle name="Comma 6 3 6 5" xfId="17213"/>
    <cellStyle name="Comma 6 3 6 5 2" xfId="37096"/>
    <cellStyle name="Comma 6 3 6 6" xfId="24791"/>
    <cellStyle name="Comma 6 3 7" xfId="5596"/>
    <cellStyle name="Comma 6 3 7 2" xfId="8699"/>
    <cellStyle name="Comma 6 3 7 2 2" xfId="14892"/>
    <cellStyle name="Comma 6 3 7 2 2 2" xfId="34775"/>
    <cellStyle name="Comma 6 3 7 2 3" xfId="21044"/>
    <cellStyle name="Comma 6 3 7 2 3 2" xfId="40927"/>
    <cellStyle name="Comma 6 3 7 2 4" xfId="28622"/>
    <cellStyle name="Comma 6 3 7 3" xfId="11826"/>
    <cellStyle name="Comma 6 3 7 3 2" xfId="31709"/>
    <cellStyle name="Comma 6 3 7 4" xfId="17978"/>
    <cellStyle name="Comma 6 3 7 4 2" xfId="37861"/>
    <cellStyle name="Comma 6 3 7 5" xfId="25556"/>
    <cellStyle name="Comma 6 3 8" xfId="7164"/>
    <cellStyle name="Comma 6 3 8 2" xfId="13358"/>
    <cellStyle name="Comma 6 3 8 2 2" xfId="33241"/>
    <cellStyle name="Comma 6 3 8 3" xfId="19510"/>
    <cellStyle name="Comma 6 3 8 3 2" xfId="39393"/>
    <cellStyle name="Comma 6 3 8 4" xfId="27088"/>
    <cellStyle name="Comma 6 3 9" xfId="10292"/>
    <cellStyle name="Comma 6 3 9 2" xfId="30175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2 2" xfId="36277"/>
    <cellStyle name="Comma 6 5 2 2 2 3" xfId="22546"/>
    <cellStyle name="Comma 6 5 2 2 2 3 2" xfId="42429"/>
    <cellStyle name="Comma 6 5 2 2 2 4" xfId="30124"/>
    <cellStyle name="Comma 6 5 2 2 3" xfId="13328"/>
    <cellStyle name="Comma 6 5 2 2 3 2" xfId="33211"/>
    <cellStyle name="Comma 6 5 2 2 4" xfId="19480"/>
    <cellStyle name="Comma 6 5 2 2 4 2" xfId="39363"/>
    <cellStyle name="Comma 6 5 2 2 5" xfId="27058"/>
    <cellStyle name="Comma 6 5 2 3" xfId="8666"/>
    <cellStyle name="Comma 6 5 2 3 2" xfId="14860"/>
    <cellStyle name="Comma 6 5 2 3 2 2" xfId="34743"/>
    <cellStyle name="Comma 6 5 2 3 3" xfId="21012"/>
    <cellStyle name="Comma 6 5 2 3 3 2" xfId="40895"/>
    <cellStyle name="Comma 6 5 2 3 4" xfId="28590"/>
    <cellStyle name="Comma 6 5 2 4" xfId="11794"/>
    <cellStyle name="Comma 6 5 2 4 2" xfId="31677"/>
    <cellStyle name="Comma 6 5 2 5" xfId="17946"/>
    <cellStyle name="Comma 6 5 2 5 2" xfId="37829"/>
    <cellStyle name="Comma 6 5 2 6" xfId="25524"/>
    <cellStyle name="Comma 6 5 3" xfId="6346"/>
    <cellStyle name="Comma 6 5 3 2" xfId="9432"/>
    <cellStyle name="Comma 6 5 3 2 2" xfId="15625"/>
    <cellStyle name="Comma 6 5 3 2 2 2" xfId="35508"/>
    <cellStyle name="Comma 6 5 3 2 3" xfId="21777"/>
    <cellStyle name="Comma 6 5 3 2 3 2" xfId="41660"/>
    <cellStyle name="Comma 6 5 3 2 4" xfId="29355"/>
    <cellStyle name="Comma 6 5 3 3" xfId="12559"/>
    <cellStyle name="Comma 6 5 3 3 2" xfId="32442"/>
    <cellStyle name="Comma 6 5 3 4" xfId="18711"/>
    <cellStyle name="Comma 6 5 3 4 2" xfId="38594"/>
    <cellStyle name="Comma 6 5 3 5" xfId="26289"/>
    <cellStyle name="Comma 6 5 4" xfId="7897"/>
    <cellStyle name="Comma 6 5 4 2" xfId="14091"/>
    <cellStyle name="Comma 6 5 4 2 2" xfId="33974"/>
    <cellStyle name="Comma 6 5 4 3" xfId="20243"/>
    <cellStyle name="Comma 6 5 4 3 2" xfId="40126"/>
    <cellStyle name="Comma 6 5 4 4" xfId="27821"/>
    <cellStyle name="Comma 6 5 5" xfId="11025"/>
    <cellStyle name="Comma 6 5 5 2" xfId="30908"/>
    <cellStyle name="Comma 6 5 6" xfId="17177"/>
    <cellStyle name="Comma 6 5 6 2" xfId="37060"/>
    <cellStyle name="Comma 6 5 7" xfId="24755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2 2" xfId="35533"/>
    <cellStyle name="Comma 6 7 2 2 3" xfId="21802"/>
    <cellStyle name="Comma 6 7 2 2 3 2" xfId="41685"/>
    <cellStyle name="Comma 6 7 2 2 4" xfId="29380"/>
    <cellStyle name="Comma 6 7 2 3" xfId="12584"/>
    <cellStyle name="Comma 6 7 2 3 2" xfId="32467"/>
    <cellStyle name="Comma 6 7 2 4" xfId="18736"/>
    <cellStyle name="Comma 6 7 2 4 2" xfId="38619"/>
    <cellStyle name="Comma 6 7 2 5" xfId="26314"/>
    <cellStyle name="Comma 6 7 3" xfId="7922"/>
    <cellStyle name="Comma 6 7 3 2" xfId="14116"/>
    <cellStyle name="Comma 6 7 3 2 2" xfId="33999"/>
    <cellStyle name="Comma 6 7 3 3" xfId="20268"/>
    <cellStyle name="Comma 6 7 3 3 2" xfId="40151"/>
    <cellStyle name="Comma 6 7 3 4" xfId="27846"/>
    <cellStyle name="Comma 6 7 4" xfId="11050"/>
    <cellStyle name="Comma 6 7 4 2" xfId="30933"/>
    <cellStyle name="Comma 6 7 5" xfId="17202"/>
    <cellStyle name="Comma 6 7 5 2" xfId="37085"/>
    <cellStyle name="Comma 6 7 6" xfId="24780"/>
    <cellStyle name="Comma 6 8" xfId="5584"/>
    <cellStyle name="Comma 6 8 2" xfId="8688"/>
    <cellStyle name="Comma 6 8 2 2" xfId="14881"/>
    <cellStyle name="Comma 6 8 2 2 2" xfId="34764"/>
    <cellStyle name="Comma 6 8 2 3" xfId="21033"/>
    <cellStyle name="Comma 6 8 2 3 2" xfId="40916"/>
    <cellStyle name="Comma 6 8 2 4" xfId="28611"/>
    <cellStyle name="Comma 6 8 3" xfId="11815"/>
    <cellStyle name="Comma 6 8 3 2" xfId="31698"/>
    <cellStyle name="Comma 6 8 4" xfId="17967"/>
    <cellStyle name="Comma 6 8 4 2" xfId="37850"/>
    <cellStyle name="Comma 6 8 5" xfId="25545"/>
    <cellStyle name="Comma 6 9" xfId="7153"/>
    <cellStyle name="Comma 6 9 2" xfId="13347"/>
    <cellStyle name="Comma 6 9 2 2" xfId="33230"/>
    <cellStyle name="Comma 6 9 3" xfId="19499"/>
    <cellStyle name="Comma 6 9 3 2" xfId="39382"/>
    <cellStyle name="Comma 6 9 4" xfId="27077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0 2" xfId="42712"/>
    <cellStyle name="Comma 7 11" xfId="224"/>
    <cellStyle name="Comma 7 11 2" xfId="23415"/>
    <cellStyle name="Comma 7 12" xfId="23339"/>
    <cellStyle name="Comma 7 2" xfId="104"/>
    <cellStyle name="Comma 7 2 2" xfId="147"/>
    <cellStyle name="Comma 7 2 2 2" xfId="2982"/>
    <cellStyle name="Comma 7 2 2 3" xfId="23390"/>
    <cellStyle name="Comma 7 2 3" xfId="875"/>
    <cellStyle name="Comma 7 2 3 2" xfId="23718"/>
    <cellStyle name="Comma 7 2 4" xfId="23352"/>
    <cellStyle name="Comma 7 3" xfId="132"/>
    <cellStyle name="Comma 7 3 2" xfId="2984"/>
    <cellStyle name="Comma 7 3 3" xfId="2985"/>
    <cellStyle name="Comma 7 3 4" xfId="2983"/>
    <cellStyle name="Comma 7 3 5" xfId="23377"/>
    <cellStyle name="Comma 7 4" xfId="117"/>
    <cellStyle name="Comma 7 4 2" xfId="2986"/>
    <cellStyle name="Comma 7 4 3" xfId="23365"/>
    <cellStyle name="Comma 7 5" xfId="4706"/>
    <cellStyle name="Comma 7 6" xfId="2981"/>
    <cellStyle name="Comma 7 7" xfId="1290"/>
    <cellStyle name="Comma 7 8" xfId="1171"/>
    <cellStyle name="Comma 7 9" xfId="22736"/>
    <cellStyle name="Comma 7 9 2" xfId="42610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2 5" xfId="23719"/>
    <cellStyle name="Comma 8 3" xfId="4713"/>
    <cellStyle name="Comma 8 4" xfId="2997"/>
    <cellStyle name="Comma 8 5" xfId="1300"/>
    <cellStyle name="Comma 8 6" xfId="1173"/>
    <cellStyle name="Comma 8 7" xfId="22655"/>
    <cellStyle name="Comma 8 7 2" xfId="42529"/>
    <cellStyle name="Comma 8 8" xfId="22839"/>
    <cellStyle name="Comma 8 8 2" xfId="42713"/>
    <cellStyle name="Comma 8 9" xfId="225"/>
    <cellStyle name="Comma 8 9 2" xfId="23416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10 2" xfId="23418"/>
    <cellStyle name="Comma 9 2" xfId="878"/>
    <cellStyle name="Comma 9 2 2" xfId="3013"/>
    <cellStyle name="Comma 9 2 3" xfId="3014"/>
    <cellStyle name="Comma 9 2 4" xfId="3012"/>
    <cellStyle name="Comma 9 2 5" xfId="23721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8 2" xfId="42616"/>
    <cellStyle name="Comma 9 9" xfId="22841"/>
    <cellStyle name="Comma 9 9 2" xfId="42715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2 2" xfId="35671"/>
    <cellStyle name="Currency 120 2 2 2 3" xfId="21940"/>
    <cellStyle name="Currency 120 2 2 2 3 2" xfId="41823"/>
    <cellStyle name="Currency 120 2 2 2 4" xfId="29518"/>
    <cellStyle name="Currency 120 2 2 3" xfId="12722"/>
    <cellStyle name="Currency 120 2 2 3 2" xfId="32605"/>
    <cellStyle name="Currency 120 2 2 4" xfId="18874"/>
    <cellStyle name="Currency 120 2 2 4 2" xfId="38757"/>
    <cellStyle name="Currency 120 2 2 5" xfId="26452"/>
    <cellStyle name="Currency 120 2 3" xfId="8060"/>
    <cellStyle name="Currency 120 2 3 2" xfId="14254"/>
    <cellStyle name="Currency 120 2 3 2 2" xfId="34137"/>
    <cellStyle name="Currency 120 2 3 3" xfId="20406"/>
    <cellStyle name="Currency 120 2 3 3 2" xfId="40289"/>
    <cellStyle name="Currency 120 2 3 4" xfId="27984"/>
    <cellStyle name="Currency 120 2 4" xfId="11188"/>
    <cellStyle name="Currency 120 2 4 2" xfId="31071"/>
    <cellStyle name="Currency 120 2 5" xfId="17340"/>
    <cellStyle name="Currency 120 2 5 2" xfId="37223"/>
    <cellStyle name="Currency 120 2 6" xfId="24918"/>
    <cellStyle name="Currency 120 3" xfId="5725"/>
    <cellStyle name="Currency 120 3 2" xfId="8826"/>
    <cellStyle name="Currency 120 3 2 2" xfId="15019"/>
    <cellStyle name="Currency 120 3 2 2 2" xfId="34902"/>
    <cellStyle name="Currency 120 3 2 3" xfId="21171"/>
    <cellStyle name="Currency 120 3 2 3 2" xfId="41054"/>
    <cellStyle name="Currency 120 3 2 4" xfId="28749"/>
    <cellStyle name="Currency 120 3 3" xfId="11953"/>
    <cellStyle name="Currency 120 3 3 2" xfId="31836"/>
    <cellStyle name="Currency 120 3 4" xfId="18105"/>
    <cellStyle name="Currency 120 3 4 2" xfId="37988"/>
    <cellStyle name="Currency 120 3 5" xfId="25683"/>
    <cellStyle name="Currency 120 4" xfId="7291"/>
    <cellStyle name="Currency 120 4 2" xfId="13485"/>
    <cellStyle name="Currency 120 4 2 2" xfId="33368"/>
    <cellStyle name="Currency 120 4 3" xfId="19637"/>
    <cellStyle name="Currency 120 4 3 2" xfId="39520"/>
    <cellStyle name="Currency 120 4 4" xfId="27215"/>
    <cellStyle name="Currency 120 5" xfId="10419"/>
    <cellStyle name="Currency 120 5 2" xfId="30302"/>
    <cellStyle name="Currency 120 6" xfId="16571"/>
    <cellStyle name="Currency 120 6 2" xfId="36454"/>
    <cellStyle name="Currency 120 7" xfId="24149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2 2" xfId="35672"/>
    <cellStyle name="Currency 121 2 2 2 3" xfId="21941"/>
    <cellStyle name="Currency 121 2 2 2 3 2" xfId="41824"/>
    <cellStyle name="Currency 121 2 2 2 4" xfId="29519"/>
    <cellStyle name="Currency 121 2 2 3" xfId="12723"/>
    <cellStyle name="Currency 121 2 2 3 2" xfId="32606"/>
    <cellStyle name="Currency 121 2 2 4" xfId="18875"/>
    <cellStyle name="Currency 121 2 2 4 2" xfId="38758"/>
    <cellStyle name="Currency 121 2 2 5" xfId="26453"/>
    <cellStyle name="Currency 121 2 3" xfId="8061"/>
    <cellStyle name="Currency 121 2 3 2" xfId="14255"/>
    <cellStyle name="Currency 121 2 3 2 2" xfId="34138"/>
    <cellStyle name="Currency 121 2 3 3" xfId="20407"/>
    <cellStyle name="Currency 121 2 3 3 2" xfId="40290"/>
    <cellStyle name="Currency 121 2 3 4" xfId="27985"/>
    <cellStyle name="Currency 121 2 4" xfId="11189"/>
    <cellStyle name="Currency 121 2 4 2" xfId="31072"/>
    <cellStyle name="Currency 121 2 5" xfId="17341"/>
    <cellStyle name="Currency 121 2 5 2" xfId="37224"/>
    <cellStyle name="Currency 121 2 6" xfId="24919"/>
    <cellStyle name="Currency 121 3" xfId="5726"/>
    <cellStyle name="Currency 121 3 2" xfId="8827"/>
    <cellStyle name="Currency 121 3 2 2" xfId="15020"/>
    <cellStyle name="Currency 121 3 2 2 2" xfId="34903"/>
    <cellStyle name="Currency 121 3 2 3" xfId="21172"/>
    <cellStyle name="Currency 121 3 2 3 2" xfId="41055"/>
    <cellStyle name="Currency 121 3 2 4" xfId="28750"/>
    <cellStyle name="Currency 121 3 3" xfId="11954"/>
    <cellStyle name="Currency 121 3 3 2" xfId="31837"/>
    <cellStyle name="Currency 121 3 4" xfId="18106"/>
    <cellStyle name="Currency 121 3 4 2" xfId="37989"/>
    <cellStyle name="Currency 121 3 5" xfId="25684"/>
    <cellStyle name="Currency 121 4" xfId="7292"/>
    <cellStyle name="Currency 121 4 2" xfId="13486"/>
    <cellStyle name="Currency 121 4 2 2" xfId="33369"/>
    <cellStyle name="Currency 121 4 3" xfId="19638"/>
    <cellStyle name="Currency 121 4 3 2" xfId="39521"/>
    <cellStyle name="Currency 121 4 4" xfId="27216"/>
    <cellStyle name="Currency 121 5" xfId="10420"/>
    <cellStyle name="Currency 121 5 2" xfId="30303"/>
    <cellStyle name="Currency 121 6" xfId="16572"/>
    <cellStyle name="Currency 121 6 2" xfId="36455"/>
    <cellStyle name="Currency 121 7" xfId="24150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2 2" xfId="35673"/>
    <cellStyle name="Currency 122 2 2 2 3" xfId="21942"/>
    <cellStyle name="Currency 122 2 2 2 3 2" xfId="41825"/>
    <cellStyle name="Currency 122 2 2 2 4" xfId="29520"/>
    <cellStyle name="Currency 122 2 2 3" xfId="12724"/>
    <cellStyle name="Currency 122 2 2 3 2" xfId="32607"/>
    <cellStyle name="Currency 122 2 2 4" xfId="18876"/>
    <cellStyle name="Currency 122 2 2 4 2" xfId="38759"/>
    <cellStyle name="Currency 122 2 2 5" xfId="26454"/>
    <cellStyle name="Currency 122 2 3" xfId="8062"/>
    <cellStyle name="Currency 122 2 3 2" xfId="14256"/>
    <cellStyle name="Currency 122 2 3 2 2" xfId="34139"/>
    <cellStyle name="Currency 122 2 3 3" xfId="20408"/>
    <cellStyle name="Currency 122 2 3 3 2" xfId="40291"/>
    <cellStyle name="Currency 122 2 3 4" xfId="27986"/>
    <cellStyle name="Currency 122 2 4" xfId="11190"/>
    <cellStyle name="Currency 122 2 4 2" xfId="31073"/>
    <cellStyle name="Currency 122 2 5" xfId="17342"/>
    <cellStyle name="Currency 122 2 5 2" xfId="37225"/>
    <cellStyle name="Currency 122 2 6" xfId="24920"/>
    <cellStyle name="Currency 122 3" xfId="5727"/>
    <cellStyle name="Currency 122 3 2" xfId="8828"/>
    <cellStyle name="Currency 122 3 2 2" xfId="15021"/>
    <cellStyle name="Currency 122 3 2 2 2" xfId="34904"/>
    <cellStyle name="Currency 122 3 2 3" xfId="21173"/>
    <cellStyle name="Currency 122 3 2 3 2" xfId="41056"/>
    <cellStyle name="Currency 122 3 2 4" xfId="28751"/>
    <cellStyle name="Currency 122 3 3" xfId="11955"/>
    <cellStyle name="Currency 122 3 3 2" xfId="31838"/>
    <cellStyle name="Currency 122 3 4" xfId="18107"/>
    <cellStyle name="Currency 122 3 4 2" xfId="37990"/>
    <cellStyle name="Currency 122 3 5" xfId="25685"/>
    <cellStyle name="Currency 122 4" xfId="7293"/>
    <cellStyle name="Currency 122 4 2" xfId="13487"/>
    <cellStyle name="Currency 122 4 2 2" xfId="33370"/>
    <cellStyle name="Currency 122 4 3" xfId="19639"/>
    <cellStyle name="Currency 122 4 3 2" xfId="39522"/>
    <cellStyle name="Currency 122 4 4" xfId="27217"/>
    <cellStyle name="Currency 122 5" xfId="10421"/>
    <cellStyle name="Currency 122 5 2" xfId="30304"/>
    <cellStyle name="Currency 122 6" xfId="16573"/>
    <cellStyle name="Currency 122 6 2" xfId="36456"/>
    <cellStyle name="Currency 122 7" xfId="24151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2 2" xfId="35674"/>
    <cellStyle name="Currency 123 2 2 2 3" xfId="21943"/>
    <cellStyle name="Currency 123 2 2 2 3 2" xfId="41826"/>
    <cellStyle name="Currency 123 2 2 2 4" xfId="29521"/>
    <cellStyle name="Currency 123 2 2 3" xfId="12725"/>
    <cellStyle name="Currency 123 2 2 3 2" xfId="32608"/>
    <cellStyle name="Currency 123 2 2 4" xfId="18877"/>
    <cellStyle name="Currency 123 2 2 4 2" xfId="38760"/>
    <cellStyle name="Currency 123 2 2 5" xfId="26455"/>
    <cellStyle name="Currency 123 2 3" xfId="8063"/>
    <cellStyle name="Currency 123 2 3 2" xfId="14257"/>
    <cellStyle name="Currency 123 2 3 2 2" xfId="34140"/>
    <cellStyle name="Currency 123 2 3 3" xfId="20409"/>
    <cellStyle name="Currency 123 2 3 3 2" xfId="40292"/>
    <cellStyle name="Currency 123 2 3 4" xfId="27987"/>
    <cellStyle name="Currency 123 2 4" xfId="11191"/>
    <cellStyle name="Currency 123 2 4 2" xfId="31074"/>
    <cellStyle name="Currency 123 2 5" xfId="17343"/>
    <cellStyle name="Currency 123 2 5 2" xfId="37226"/>
    <cellStyle name="Currency 123 2 6" xfId="24921"/>
    <cellStyle name="Currency 123 3" xfId="5728"/>
    <cellStyle name="Currency 123 3 2" xfId="8829"/>
    <cellStyle name="Currency 123 3 2 2" xfId="15022"/>
    <cellStyle name="Currency 123 3 2 2 2" xfId="34905"/>
    <cellStyle name="Currency 123 3 2 3" xfId="21174"/>
    <cellStyle name="Currency 123 3 2 3 2" xfId="41057"/>
    <cellStyle name="Currency 123 3 2 4" xfId="28752"/>
    <cellStyle name="Currency 123 3 3" xfId="11956"/>
    <cellStyle name="Currency 123 3 3 2" xfId="31839"/>
    <cellStyle name="Currency 123 3 4" xfId="18108"/>
    <cellStyle name="Currency 123 3 4 2" xfId="37991"/>
    <cellStyle name="Currency 123 3 5" xfId="25686"/>
    <cellStyle name="Currency 123 4" xfId="7294"/>
    <cellStyle name="Currency 123 4 2" xfId="13488"/>
    <cellStyle name="Currency 123 4 2 2" xfId="33371"/>
    <cellStyle name="Currency 123 4 3" xfId="19640"/>
    <cellStyle name="Currency 123 4 3 2" xfId="39523"/>
    <cellStyle name="Currency 123 4 4" xfId="27218"/>
    <cellStyle name="Currency 123 5" xfId="10422"/>
    <cellStyle name="Currency 123 5 2" xfId="30305"/>
    <cellStyle name="Currency 123 6" xfId="16574"/>
    <cellStyle name="Currency 123 6 2" xfId="36457"/>
    <cellStyle name="Currency 123 7" xfId="24152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2 2" xfId="35675"/>
    <cellStyle name="Currency 124 2 2 2 3" xfId="21944"/>
    <cellStyle name="Currency 124 2 2 2 3 2" xfId="41827"/>
    <cellStyle name="Currency 124 2 2 2 4" xfId="29522"/>
    <cellStyle name="Currency 124 2 2 3" xfId="12726"/>
    <cellStyle name="Currency 124 2 2 3 2" xfId="32609"/>
    <cellStyle name="Currency 124 2 2 4" xfId="18878"/>
    <cellStyle name="Currency 124 2 2 4 2" xfId="38761"/>
    <cellStyle name="Currency 124 2 2 5" xfId="26456"/>
    <cellStyle name="Currency 124 2 3" xfId="8064"/>
    <cellStyle name="Currency 124 2 3 2" xfId="14258"/>
    <cellStyle name="Currency 124 2 3 2 2" xfId="34141"/>
    <cellStyle name="Currency 124 2 3 3" xfId="20410"/>
    <cellStyle name="Currency 124 2 3 3 2" xfId="40293"/>
    <cellStyle name="Currency 124 2 3 4" xfId="27988"/>
    <cellStyle name="Currency 124 2 4" xfId="11192"/>
    <cellStyle name="Currency 124 2 4 2" xfId="31075"/>
    <cellStyle name="Currency 124 2 5" xfId="17344"/>
    <cellStyle name="Currency 124 2 5 2" xfId="37227"/>
    <cellStyle name="Currency 124 2 6" xfId="24922"/>
    <cellStyle name="Currency 124 3" xfId="5729"/>
    <cellStyle name="Currency 124 3 2" xfId="8830"/>
    <cellStyle name="Currency 124 3 2 2" xfId="15023"/>
    <cellStyle name="Currency 124 3 2 2 2" xfId="34906"/>
    <cellStyle name="Currency 124 3 2 3" xfId="21175"/>
    <cellStyle name="Currency 124 3 2 3 2" xfId="41058"/>
    <cellStyle name="Currency 124 3 2 4" xfId="28753"/>
    <cellStyle name="Currency 124 3 3" xfId="11957"/>
    <cellStyle name="Currency 124 3 3 2" xfId="31840"/>
    <cellStyle name="Currency 124 3 4" xfId="18109"/>
    <cellStyle name="Currency 124 3 4 2" xfId="37992"/>
    <cellStyle name="Currency 124 3 5" xfId="25687"/>
    <cellStyle name="Currency 124 4" xfId="7295"/>
    <cellStyle name="Currency 124 4 2" xfId="13489"/>
    <cellStyle name="Currency 124 4 2 2" xfId="33372"/>
    <cellStyle name="Currency 124 4 3" xfId="19641"/>
    <cellStyle name="Currency 124 4 3 2" xfId="39524"/>
    <cellStyle name="Currency 124 4 4" xfId="27219"/>
    <cellStyle name="Currency 124 5" xfId="10423"/>
    <cellStyle name="Currency 124 5 2" xfId="30306"/>
    <cellStyle name="Currency 124 6" xfId="16575"/>
    <cellStyle name="Currency 124 6 2" xfId="36458"/>
    <cellStyle name="Currency 124 7" xfId="24153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2 2" xfId="35676"/>
    <cellStyle name="Currency 125 2 2 2 3" xfId="21945"/>
    <cellStyle name="Currency 125 2 2 2 3 2" xfId="41828"/>
    <cellStyle name="Currency 125 2 2 2 4" xfId="29523"/>
    <cellStyle name="Currency 125 2 2 3" xfId="12727"/>
    <cellStyle name="Currency 125 2 2 3 2" xfId="32610"/>
    <cellStyle name="Currency 125 2 2 4" xfId="18879"/>
    <cellStyle name="Currency 125 2 2 4 2" xfId="38762"/>
    <cellStyle name="Currency 125 2 2 5" xfId="26457"/>
    <cellStyle name="Currency 125 2 3" xfId="8065"/>
    <cellStyle name="Currency 125 2 3 2" xfId="14259"/>
    <cellStyle name="Currency 125 2 3 2 2" xfId="34142"/>
    <cellStyle name="Currency 125 2 3 3" xfId="20411"/>
    <cellStyle name="Currency 125 2 3 3 2" xfId="40294"/>
    <cellStyle name="Currency 125 2 3 4" xfId="27989"/>
    <cellStyle name="Currency 125 2 4" xfId="11193"/>
    <cellStyle name="Currency 125 2 4 2" xfId="31076"/>
    <cellStyle name="Currency 125 2 5" xfId="17345"/>
    <cellStyle name="Currency 125 2 5 2" xfId="37228"/>
    <cellStyle name="Currency 125 2 6" xfId="24923"/>
    <cellStyle name="Currency 125 3" xfId="5730"/>
    <cellStyle name="Currency 125 3 2" xfId="8831"/>
    <cellStyle name="Currency 125 3 2 2" xfId="15024"/>
    <cellStyle name="Currency 125 3 2 2 2" xfId="34907"/>
    <cellStyle name="Currency 125 3 2 3" xfId="21176"/>
    <cellStyle name="Currency 125 3 2 3 2" xfId="41059"/>
    <cellStyle name="Currency 125 3 2 4" xfId="28754"/>
    <cellStyle name="Currency 125 3 3" xfId="11958"/>
    <cellStyle name="Currency 125 3 3 2" xfId="31841"/>
    <cellStyle name="Currency 125 3 4" xfId="18110"/>
    <cellStyle name="Currency 125 3 4 2" xfId="37993"/>
    <cellStyle name="Currency 125 3 5" xfId="25688"/>
    <cellStyle name="Currency 125 4" xfId="7296"/>
    <cellStyle name="Currency 125 4 2" xfId="13490"/>
    <cellStyle name="Currency 125 4 2 2" xfId="33373"/>
    <cellStyle name="Currency 125 4 3" xfId="19642"/>
    <cellStyle name="Currency 125 4 3 2" xfId="39525"/>
    <cellStyle name="Currency 125 4 4" xfId="27220"/>
    <cellStyle name="Currency 125 5" xfId="10424"/>
    <cellStyle name="Currency 125 5 2" xfId="30307"/>
    <cellStyle name="Currency 125 6" xfId="16576"/>
    <cellStyle name="Currency 125 6 2" xfId="36459"/>
    <cellStyle name="Currency 125 7" xfId="24154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2 2" xfId="35677"/>
    <cellStyle name="Currency 126 2 2 2 3" xfId="21946"/>
    <cellStyle name="Currency 126 2 2 2 3 2" xfId="41829"/>
    <cellStyle name="Currency 126 2 2 2 4" xfId="29524"/>
    <cellStyle name="Currency 126 2 2 3" xfId="12728"/>
    <cellStyle name="Currency 126 2 2 3 2" xfId="32611"/>
    <cellStyle name="Currency 126 2 2 4" xfId="18880"/>
    <cellStyle name="Currency 126 2 2 4 2" xfId="38763"/>
    <cellStyle name="Currency 126 2 2 5" xfId="26458"/>
    <cellStyle name="Currency 126 2 3" xfId="8066"/>
    <cellStyle name="Currency 126 2 3 2" xfId="14260"/>
    <cellStyle name="Currency 126 2 3 2 2" xfId="34143"/>
    <cellStyle name="Currency 126 2 3 3" xfId="20412"/>
    <cellStyle name="Currency 126 2 3 3 2" xfId="40295"/>
    <cellStyle name="Currency 126 2 3 4" xfId="27990"/>
    <cellStyle name="Currency 126 2 4" xfId="11194"/>
    <cellStyle name="Currency 126 2 4 2" xfId="31077"/>
    <cellStyle name="Currency 126 2 5" xfId="17346"/>
    <cellStyle name="Currency 126 2 5 2" xfId="37229"/>
    <cellStyle name="Currency 126 2 6" xfId="24924"/>
    <cellStyle name="Currency 126 3" xfId="5731"/>
    <cellStyle name="Currency 126 3 2" xfId="8832"/>
    <cellStyle name="Currency 126 3 2 2" xfId="15025"/>
    <cellStyle name="Currency 126 3 2 2 2" xfId="34908"/>
    <cellStyle name="Currency 126 3 2 3" xfId="21177"/>
    <cellStyle name="Currency 126 3 2 3 2" xfId="41060"/>
    <cellStyle name="Currency 126 3 2 4" xfId="28755"/>
    <cellStyle name="Currency 126 3 3" xfId="11959"/>
    <cellStyle name="Currency 126 3 3 2" xfId="31842"/>
    <cellStyle name="Currency 126 3 4" xfId="18111"/>
    <cellStyle name="Currency 126 3 4 2" xfId="37994"/>
    <cellStyle name="Currency 126 3 5" xfId="25689"/>
    <cellStyle name="Currency 126 4" xfId="7297"/>
    <cellStyle name="Currency 126 4 2" xfId="13491"/>
    <cellStyle name="Currency 126 4 2 2" xfId="33374"/>
    <cellStyle name="Currency 126 4 3" xfId="19643"/>
    <cellStyle name="Currency 126 4 3 2" xfId="39526"/>
    <cellStyle name="Currency 126 4 4" xfId="27221"/>
    <cellStyle name="Currency 126 5" xfId="10425"/>
    <cellStyle name="Currency 126 5 2" xfId="30308"/>
    <cellStyle name="Currency 126 6" xfId="16577"/>
    <cellStyle name="Currency 126 6 2" xfId="36460"/>
    <cellStyle name="Currency 126 7" xfId="24155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2 2" xfId="35678"/>
    <cellStyle name="Currency 127 2 2 2 3" xfId="21947"/>
    <cellStyle name="Currency 127 2 2 2 3 2" xfId="41830"/>
    <cellStyle name="Currency 127 2 2 2 4" xfId="29525"/>
    <cellStyle name="Currency 127 2 2 3" xfId="12729"/>
    <cellStyle name="Currency 127 2 2 3 2" xfId="32612"/>
    <cellStyle name="Currency 127 2 2 4" xfId="18881"/>
    <cellStyle name="Currency 127 2 2 4 2" xfId="38764"/>
    <cellStyle name="Currency 127 2 2 5" xfId="26459"/>
    <cellStyle name="Currency 127 2 3" xfId="8067"/>
    <cellStyle name="Currency 127 2 3 2" xfId="14261"/>
    <cellStyle name="Currency 127 2 3 2 2" xfId="34144"/>
    <cellStyle name="Currency 127 2 3 3" xfId="20413"/>
    <cellStyle name="Currency 127 2 3 3 2" xfId="40296"/>
    <cellStyle name="Currency 127 2 3 4" xfId="27991"/>
    <cellStyle name="Currency 127 2 4" xfId="11195"/>
    <cellStyle name="Currency 127 2 4 2" xfId="31078"/>
    <cellStyle name="Currency 127 2 5" xfId="17347"/>
    <cellStyle name="Currency 127 2 5 2" xfId="37230"/>
    <cellStyle name="Currency 127 2 6" xfId="24925"/>
    <cellStyle name="Currency 127 3" xfId="5732"/>
    <cellStyle name="Currency 127 3 2" xfId="8833"/>
    <cellStyle name="Currency 127 3 2 2" xfId="15026"/>
    <cellStyle name="Currency 127 3 2 2 2" xfId="34909"/>
    <cellStyle name="Currency 127 3 2 3" xfId="21178"/>
    <cellStyle name="Currency 127 3 2 3 2" xfId="41061"/>
    <cellStyle name="Currency 127 3 2 4" xfId="28756"/>
    <cellStyle name="Currency 127 3 3" xfId="11960"/>
    <cellStyle name="Currency 127 3 3 2" xfId="31843"/>
    <cellStyle name="Currency 127 3 4" xfId="18112"/>
    <cellStyle name="Currency 127 3 4 2" xfId="37995"/>
    <cellStyle name="Currency 127 3 5" xfId="25690"/>
    <cellStyle name="Currency 127 4" xfId="7298"/>
    <cellStyle name="Currency 127 4 2" xfId="13492"/>
    <cellStyle name="Currency 127 4 2 2" xfId="33375"/>
    <cellStyle name="Currency 127 4 3" xfId="19644"/>
    <cellStyle name="Currency 127 4 3 2" xfId="39527"/>
    <cellStyle name="Currency 127 4 4" xfId="27222"/>
    <cellStyle name="Currency 127 5" xfId="10426"/>
    <cellStyle name="Currency 127 5 2" xfId="30309"/>
    <cellStyle name="Currency 127 6" xfId="16578"/>
    <cellStyle name="Currency 127 6 2" xfId="36461"/>
    <cellStyle name="Currency 127 7" xfId="24156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2 2" xfId="35679"/>
    <cellStyle name="Currency 128 2 2 2 3" xfId="21948"/>
    <cellStyle name="Currency 128 2 2 2 3 2" xfId="41831"/>
    <cellStyle name="Currency 128 2 2 2 4" xfId="29526"/>
    <cellStyle name="Currency 128 2 2 3" xfId="12730"/>
    <cellStyle name="Currency 128 2 2 3 2" xfId="32613"/>
    <cellStyle name="Currency 128 2 2 4" xfId="18882"/>
    <cellStyle name="Currency 128 2 2 4 2" xfId="38765"/>
    <cellStyle name="Currency 128 2 2 5" xfId="26460"/>
    <cellStyle name="Currency 128 2 3" xfId="8068"/>
    <cellStyle name="Currency 128 2 3 2" xfId="14262"/>
    <cellStyle name="Currency 128 2 3 2 2" xfId="34145"/>
    <cellStyle name="Currency 128 2 3 3" xfId="20414"/>
    <cellStyle name="Currency 128 2 3 3 2" xfId="40297"/>
    <cellStyle name="Currency 128 2 3 4" xfId="27992"/>
    <cellStyle name="Currency 128 2 4" xfId="11196"/>
    <cellStyle name="Currency 128 2 4 2" xfId="31079"/>
    <cellStyle name="Currency 128 2 5" xfId="17348"/>
    <cellStyle name="Currency 128 2 5 2" xfId="37231"/>
    <cellStyle name="Currency 128 2 6" xfId="24926"/>
    <cellStyle name="Currency 128 3" xfId="5733"/>
    <cellStyle name="Currency 128 3 2" xfId="8834"/>
    <cellStyle name="Currency 128 3 2 2" xfId="15027"/>
    <cellStyle name="Currency 128 3 2 2 2" xfId="34910"/>
    <cellStyle name="Currency 128 3 2 3" xfId="21179"/>
    <cellStyle name="Currency 128 3 2 3 2" xfId="41062"/>
    <cellStyle name="Currency 128 3 2 4" xfId="28757"/>
    <cellStyle name="Currency 128 3 3" xfId="11961"/>
    <cellStyle name="Currency 128 3 3 2" xfId="31844"/>
    <cellStyle name="Currency 128 3 4" xfId="18113"/>
    <cellStyle name="Currency 128 3 4 2" xfId="37996"/>
    <cellStyle name="Currency 128 3 5" xfId="25691"/>
    <cellStyle name="Currency 128 4" xfId="7299"/>
    <cellStyle name="Currency 128 4 2" xfId="13493"/>
    <cellStyle name="Currency 128 4 2 2" xfId="33376"/>
    <cellStyle name="Currency 128 4 3" xfId="19645"/>
    <cellStyle name="Currency 128 4 3 2" xfId="39528"/>
    <cellStyle name="Currency 128 4 4" xfId="27223"/>
    <cellStyle name="Currency 128 5" xfId="10427"/>
    <cellStyle name="Currency 128 5 2" xfId="30310"/>
    <cellStyle name="Currency 128 6" xfId="16579"/>
    <cellStyle name="Currency 128 6 2" xfId="36462"/>
    <cellStyle name="Currency 128 7" xfId="24157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2 2" xfId="35680"/>
    <cellStyle name="Currency 129 2 2 2 3" xfId="21949"/>
    <cellStyle name="Currency 129 2 2 2 3 2" xfId="41832"/>
    <cellStyle name="Currency 129 2 2 2 4" xfId="29527"/>
    <cellStyle name="Currency 129 2 2 3" xfId="12731"/>
    <cellStyle name="Currency 129 2 2 3 2" xfId="32614"/>
    <cellStyle name="Currency 129 2 2 4" xfId="18883"/>
    <cellStyle name="Currency 129 2 2 4 2" xfId="38766"/>
    <cellStyle name="Currency 129 2 2 5" xfId="26461"/>
    <cellStyle name="Currency 129 2 3" xfId="8069"/>
    <cellStyle name="Currency 129 2 3 2" xfId="14263"/>
    <cellStyle name="Currency 129 2 3 2 2" xfId="34146"/>
    <cellStyle name="Currency 129 2 3 3" xfId="20415"/>
    <cellStyle name="Currency 129 2 3 3 2" xfId="40298"/>
    <cellStyle name="Currency 129 2 3 4" xfId="27993"/>
    <cellStyle name="Currency 129 2 4" xfId="11197"/>
    <cellStyle name="Currency 129 2 4 2" xfId="31080"/>
    <cellStyle name="Currency 129 2 5" xfId="17349"/>
    <cellStyle name="Currency 129 2 5 2" xfId="37232"/>
    <cellStyle name="Currency 129 2 6" xfId="24927"/>
    <cellStyle name="Currency 129 3" xfId="5734"/>
    <cellStyle name="Currency 129 3 2" xfId="8835"/>
    <cellStyle name="Currency 129 3 2 2" xfId="15028"/>
    <cellStyle name="Currency 129 3 2 2 2" xfId="34911"/>
    <cellStyle name="Currency 129 3 2 3" xfId="21180"/>
    <cellStyle name="Currency 129 3 2 3 2" xfId="41063"/>
    <cellStyle name="Currency 129 3 2 4" xfId="28758"/>
    <cellStyle name="Currency 129 3 3" xfId="11962"/>
    <cellStyle name="Currency 129 3 3 2" xfId="31845"/>
    <cellStyle name="Currency 129 3 4" xfId="18114"/>
    <cellStyle name="Currency 129 3 4 2" xfId="37997"/>
    <cellStyle name="Currency 129 3 5" xfId="25692"/>
    <cellStyle name="Currency 129 4" xfId="7300"/>
    <cellStyle name="Currency 129 4 2" xfId="13494"/>
    <cellStyle name="Currency 129 4 2 2" xfId="33377"/>
    <cellStyle name="Currency 129 4 3" xfId="19646"/>
    <cellStyle name="Currency 129 4 3 2" xfId="39529"/>
    <cellStyle name="Currency 129 4 4" xfId="27224"/>
    <cellStyle name="Currency 129 5" xfId="10428"/>
    <cellStyle name="Currency 129 5 2" xfId="30311"/>
    <cellStyle name="Currency 129 6" xfId="16580"/>
    <cellStyle name="Currency 129 6 2" xfId="36463"/>
    <cellStyle name="Currency 129 7" xfId="24158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2 2" xfId="35681"/>
    <cellStyle name="Currency 130 2 2 2 3" xfId="21950"/>
    <cellStyle name="Currency 130 2 2 2 3 2" xfId="41833"/>
    <cellStyle name="Currency 130 2 2 2 4" xfId="29528"/>
    <cellStyle name="Currency 130 2 2 3" xfId="12732"/>
    <cellStyle name="Currency 130 2 2 3 2" xfId="32615"/>
    <cellStyle name="Currency 130 2 2 4" xfId="18884"/>
    <cellStyle name="Currency 130 2 2 4 2" xfId="38767"/>
    <cellStyle name="Currency 130 2 2 5" xfId="26462"/>
    <cellStyle name="Currency 130 2 3" xfId="8070"/>
    <cellStyle name="Currency 130 2 3 2" xfId="14264"/>
    <cellStyle name="Currency 130 2 3 2 2" xfId="34147"/>
    <cellStyle name="Currency 130 2 3 3" xfId="20416"/>
    <cellStyle name="Currency 130 2 3 3 2" xfId="40299"/>
    <cellStyle name="Currency 130 2 3 4" xfId="27994"/>
    <cellStyle name="Currency 130 2 4" xfId="11198"/>
    <cellStyle name="Currency 130 2 4 2" xfId="31081"/>
    <cellStyle name="Currency 130 2 5" xfId="17350"/>
    <cellStyle name="Currency 130 2 5 2" xfId="37233"/>
    <cellStyle name="Currency 130 2 6" xfId="24928"/>
    <cellStyle name="Currency 130 3" xfId="5735"/>
    <cellStyle name="Currency 130 3 2" xfId="8836"/>
    <cellStyle name="Currency 130 3 2 2" xfId="15029"/>
    <cellStyle name="Currency 130 3 2 2 2" xfId="34912"/>
    <cellStyle name="Currency 130 3 2 3" xfId="21181"/>
    <cellStyle name="Currency 130 3 2 3 2" xfId="41064"/>
    <cellStyle name="Currency 130 3 2 4" xfId="28759"/>
    <cellStyle name="Currency 130 3 3" xfId="11963"/>
    <cellStyle name="Currency 130 3 3 2" xfId="31846"/>
    <cellStyle name="Currency 130 3 4" xfId="18115"/>
    <cellStyle name="Currency 130 3 4 2" xfId="37998"/>
    <cellStyle name="Currency 130 3 5" xfId="25693"/>
    <cellStyle name="Currency 130 4" xfId="7301"/>
    <cellStyle name="Currency 130 4 2" xfId="13495"/>
    <cellStyle name="Currency 130 4 2 2" xfId="33378"/>
    <cellStyle name="Currency 130 4 3" xfId="19647"/>
    <cellStyle name="Currency 130 4 3 2" xfId="39530"/>
    <cellStyle name="Currency 130 4 4" xfId="27225"/>
    <cellStyle name="Currency 130 5" xfId="10429"/>
    <cellStyle name="Currency 130 5 2" xfId="30312"/>
    <cellStyle name="Currency 130 6" xfId="16581"/>
    <cellStyle name="Currency 130 6 2" xfId="36464"/>
    <cellStyle name="Currency 130 7" xfId="24159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 4 2" xfId="42998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2 2" xfId="35682"/>
    <cellStyle name="Currency 159 2 2 2 3" xfId="21951"/>
    <cellStyle name="Currency 159 2 2 2 3 2" xfId="41834"/>
    <cellStyle name="Currency 159 2 2 2 4" xfId="29529"/>
    <cellStyle name="Currency 159 2 2 3" xfId="12733"/>
    <cellStyle name="Currency 159 2 2 3 2" xfId="32616"/>
    <cellStyle name="Currency 159 2 2 4" xfId="18885"/>
    <cellStyle name="Currency 159 2 2 4 2" xfId="38768"/>
    <cellStyle name="Currency 159 2 2 5" xfId="26463"/>
    <cellStyle name="Currency 159 2 3" xfId="8071"/>
    <cellStyle name="Currency 159 2 3 2" xfId="14265"/>
    <cellStyle name="Currency 159 2 3 2 2" xfId="34148"/>
    <cellStyle name="Currency 159 2 3 3" xfId="20417"/>
    <cellStyle name="Currency 159 2 3 3 2" xfId="40300"/>
    <cellStyle name="Currency 159 2 3 4" xfId="27995"/>
    <cellStyle name="Currency 159 2 4" xfId="11199"/>
    <cellStyle name="Currency 159 2 4 2" xfId="31082"/>
    <cellStyle name="Currency 159 2 5" xfId="17351"/>
    <cellStyle name="Currency 159 2 5 2" xfId="37234"/>
    <cellStyle name="Currency 159 2 6" xfId="24929"/>
    <cellStyle name="Currency 159 3" xfId="5736"/>
    <cellStyle name="Currency 159 3 2" xfId="8837"/>
    <cellStyle name="Currency 159 3 2 2" xfId="15030"/>
    <cellStyle name="Currency 159 3 2 2 2" xfId="34913"/>
    <cellStyle name="Currency 159 3 2 3" xfId="21182"/>
    <cellStyle name="Currency 159 3 2 3 2" xfId="41065"/>
    <cellStyle name="Currency 159 3 2 4" xfId="28760"/>
    <cellStyle name="Currency 159 3 3" xfId="11964"/>
    <cellStyle name="Currency 159 3 3 2" xfId="31847"/>
    <cellStyle name="Currency 159 3 4" xfId="18116"/>
    <cellStyle name="Currency 159 3 4 2" xfId="37999"/>
    <cellStyle name="Currency 159 3 5" xfId="25694"/>
    <cellStyle name="Currency 159 4" xfId="7302"/>
    <cellStyle name="Currency 159 4 2" xfId="13496"/>
    <cellStyle name="Currency 159 4 2 2" xfId="33379"/>
    <cellStyle name="Currency 159 4 3" xfId="19648"/>
    <cellStyle name="Currency 159 4 3 2" xfId="39531"/>
    <cellStyle name="Currency 159 4 4" xfId="27226"/>
    <cellStyle name="Currency 159 5" xfId="10430"/>
    <cellStyle name="Currency 159 5 2" xfId="30313"/>
    <cellStyle name="Currency 159 6" xfId="16582"/>
    <cellStyle name="Currency 159 6 2" xfId="36465"/>
    <cellStyle name="Currency 159 7" xfId="24160"/>
    <cellStyle name="Currency 16" xfId="3135"/>
    <cellStyle name="Currency 16 2" xfId="3136"/>
    <cellStyle name="Currency 16 3" xfId="3137"/>
    <cellStyle name="Currency 16 4" xfId="23164"/>
    <cellStyle name="Currency 16 4 2" xfId="42999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2 2" xfId="35525"/>
    <cellStyle name="Currency 162 3 2 3" xfId="21794"/>
    <cellStyle name="Currency 162 3 2 3 2" xfId="41677"/>
    <cellStyle name="Currency 162 3 2 4" xfId="29372"/>
    <cellStyle name="Currency 162 3 3" xfId="12576"/>
    <cellStyle name="Currency 162 3 3 2" xfId="32459"/>
    <cellStyle name="Currency 162 3 4" xfId="18728"/>
    <cellStyle name="Currency 162 3 4 2" xfId="38611"/>
    <cellStyle name="Currency 162 3 5" xfId="26306"/>
    <cellStyle name="Currency 162 4" xfId="7914"/>
    <cellStyle name="Currency 162 4 2" xfId="14108"/>
    <cellStyle name="Currency 162 4 2 2" xfId="33991"/>
    <cellStyle name="Currency 162 4 3" xfId="20260"/>
    <cellStyle name="Currency 162 4 3 2" xfId="40143"/>
    <cellStyle name="Currency 162 4 4" xfId="27838"/>
    <cellStyle name="Currency 162 5" xfId="11042"/>
    <cellStyle name="Currency 162 5 2" xfId="30925"/>
    <cellStyle name="Currency 162 6" xfId="17194"/>
    <cellStyle name="Currency 162 6 2" xfId="37077"/>
    <cellStyle name="Currency 162 7" xfId="24772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2 2" xfId="35527"/>
    <cellStyle name="Currency 179 2 2 3" xfId="21796"/>
    <cellStyle name="Currency 179 2 2 3 2" xfId="41679"/>
    <cellStyle name="Currency 179 2 2 4" xfId="29374"/>
    <cellStyle name="Currency 179 2 3" xfId="12578"/>
    <cellStyle name="Currency 179 2 3 2" xfId="32461"/>
    <cellStyle name="Currency 179 2 4" xfId="18730"/>
    <cellStyle name="Currency 179 2 4 2" xfId="38613"/>
    <cellStyle name="Currency 179 2 5" xfId="26308"/>
    <cellStyle name="Currency 179 3" xfId="7916"/>
    <cellStyle name="Currency 179 3 2" xfId="14110"/>
    <cellStyle name="Currency 179 3 2 2" xfId="33993"/>
    <cellStyle name="Currency 179 3 3" xfId="20262"/>
    <cellStyle name="Currency 179 3 3 2" xfId="40145"/>
    <cellStyle name="Currency 179 3 4" xfId="27840"/>
    <cellStyle name="Currency 179 4" xfId="11044"/>
    <cellStyle name="Currency 179 4 2" xfId="30927"/>
    <cellStyle name="Currency 179 5" xfId="17196"/>
    <cellStyle name="Currency 179 5 2" xfId="37079"/>
    <cellStyle name="Currency 179 6" xfId="24774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2 2" xfId="35685"/>
    <cellStyle name="Currency 2 2 10 2 2 2 3" xfId="21954"/>
    <cellStyle name="Currency 2 2 10 2 2 2 3 2" xfId="41837"/>
    <cellStyle name="Currency 2 2 10 2 2 2 4" xfId="29532"/>
    <cellStyle name="Currency 2 2 10 2 2 3" xfId="12736"/>
    <cellStyle name="Currency 2 2 10 2 2 3 2" xfId="32619"/>
    <cellStyle name="Currency 2 2 10 2 2 4" xfId="18888"/>
    <cellStyle name="Currency 2 2 10 2 2 4 2" xfId="38771"/>
    <cellStyle name="Currency 2 2 10 2 2 5" xfId="26466"/>
    <cellStyle name="Currency 2 2 10 2 3" xfId="8074"/>
    <cellStyle name="Currency 2 2 10 2 3 2" xfId="14268"/>
    <cellStyle name="Currency 2 2 10 2 3 2 2" xfId="34151"/>
    <cellStyle name="Currency 2 2 10 2 3 3" xfId="20420"/>
    <cellStyle name="Currency 2 2 10 2 3 3 2" xfId="40303"/>
    <cellStyle name="Currency 2 2 10 2 3 4" xfId="27998"/>
    <cellStyle name="Currency 2 2 10 2 4" xfId="11202"/>
    <cellStyle name="Currency 2 2 10 2 4 2" xfId="31085"/>
    <cellStyle name="Currency 2 2 10 2 5" xfId="17354"/>
    <cellStyle name="Currency 2 2 10 2 5 2" xfId="37237"/>
    <cellStyle name="Currency 2 2 10 2 6" xfId="24932"/>
    <cellStyle name="Currency 2 2 10 3" xfId="5739"/>
    <cellStyle name="Currency 2 2 10 3 2" xfId="8840"/>
    <cellStyle name="Currency 2 2 10 3 2 2" xfId="15033"/>
    <cellStyle name="Currency 2 2 10 3 2 2 2" xfId="34916"/>
    <cellStyle name="Currency 2 2 10 3 2 3" xfId="21185"/>
    <cellStyle name="Currency 2 2 10 3 2 3 2" xfId="41068"/>
    <cellStyle name="Currency 2 2 10 3 2 4" xfId="28763"/>
    <cellStyle name="Currency 2 2 10 3 3" xfId="11967"/>
    <cellStyle name="Currency 2 2 10 3 3 2" xfId="31850"/>
    <cellStyle name="Currency 2 2 10 3 4" xfId="18119"/>
    <cellStyle name="Currency 2 2 10 3 4 2" xfId="38002"/>
    <cellStyle name="Currency 2 2 10 3 5" xfId="25697"/>
    <cellStyle name="Currency 2 2 10 4" xfId="7305"/>
    <cellStyle name="Currency 2 2 10 4 2" xfId="13499"/>
    <cellStyle name="Currency 2 2 10 4 2 2" xfId="33382"/>
    <cellStyle name="Currency 2 2 10 4 3" xfId="19651"/>
    <cellStyle name="Currency 2 2 10 4 3 2" xfId="39534"/>
    <cellStyle name="Currency 2 2 10 4 4" xfId="27229"/>
    <cellStyle name="Currency 2 2 10 5" xfId="10433"/>
    <cellStyle name="Currency 2 2 10 5 2" xfId="30316"/>
    <cellStyle name="Currency 2 2 10 6" xfId="16585"/>
    <cellStyle name="Currency 2 2 10 6 2" xfId="36468"/>
    <cellStyle name="Currency 2 2 10 7" xfId="24163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2 2" xfId="35686"/>
    <cellStyle name="Currency 2 2 11 2 2 2 3" xfId="21955"/>
    <cellStyle name="Currency 2 2 11 2 2 2 3 2" xfId="41838"/>
    <cellStyle name="Currency 2 2 11 2 2 2 4" xfId="29533"/>
    <cellStyle name="Currency 2 2 11 2 2 3" xfId="12737"/>
    <cellStyle name="Currency 2 2 11 2 2 3 2" xfId="32620"/>
    <cellStyle name="Currency 2 2 11 2 2 4" xfId="18889"/>
    <cellStyle name="Currency 2 2 11 2 2 4 2" xfId="38772"/>
    <cellStyle name="Currency 2 2 11 2 2 5" xfId="26467"/>
    <cellStyle name="Currency 2 2 11 2 3" xfId="8075"/>
    <cellStyle name="Currency 2 2 11 2 3 2" xfId="14269"/>
    <cellStyle name="Currency 2 2 11 2 3 2 2" xfId="34152"/>
    <cellStyle name="Currency 2 2 11 2 3 3" xfId="20421"/>
    <cellStyle name="Currency 2 2 11 2 3 3 2" xfId="40304"/>
    <cellStyle name="Currency 2 2 11 2 3 4" xfId="27999"/>
    <cellStyle name="Currency 2 2 11 2 4" xfId="11203"/>
    <cellStyle name="Currency 2 2 11 2 4 2" xfId="31086"/>
    <cellStyle name="Currency 2 2 11 2 5" xfId="17355"/>
    <cellStyle name="Currency 2 2 11 2 5 2" xfId="37238"/>
    <cellStyle name="Currency 2 2 11 2 6" xfId="24933"/>
    <cellStyle name="Currency 2 2 11 3" xfId="5740"/>
    <cellStyle name="Currency 2 2 11 3 2" xfId="8841"/>
    <cellStyle name="Currency 2 2 11 3 2 2" xfId="15034"/>
    <cellStyle name="Currency 2 2 11 3 2 2 2" xfId="34917"/>
    <cellStyle name="Currency 2 2 11 3 2 3" xfId="21186"/>
    <cellStyle name="Currency 2 2 11 3 2 3 2" xfId="41069"/>
    <cellStyle name="Currency 2 2 11 3 2 4" xfId="28764"/>
    <cellStyle name="Currency 2 2 11 3 3" xfId="11968"/>
    <cellStyle name="Currency 2 2 11 3 3 2" xfId="31851"/>
    <cellStyle name="Currency 2 2 11 3 4" xfId="18120"/>
    <cellStyle name="Currency 2 2 11 3 4 2" xfId="38003"/>
    <cellStyle name="Currency 2 2 11 3 5" xfId="25698"/>
    <cellStyle name="Currency 2 2 11 4" xfId="7306"/>
    <cellStyle name="Currency 2 2 11 4 2" xfId="13500"/>
    <cellStyle name="Currency 2 2 11 4 2 2" xfId="33383"/>
    <cellStyle name="Currency 2 2 11 4 3" xfId="19652"/>
    <cellStyle name="Currency 2 2 11 4 3 2" xfId="39535"/>
    <cellStyle name="Currency 2 2 11 4 4" xfId="27230"/>
    <cellStyle name="Currency 2 2 11 5" xfId="10434"/>
    <cellStyle name="Currency 2 2 11 5 2" xfId="30317"/>
    <cellStyle name="Currency 2 2 11 6" xfId="16586"/>
    <cellStyle name="Currency 2 2 11 6 2" xfId="36469"/>
    <cellStyle name="Currency 2 2 11 7" xfId="24164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2 2" xfId="35687"/>
    <cellStyle name="Currency 2 2 12 2 2 2 3" xfId="21956"/>
    <cellStyle name="Currency 2 2 12 2 2 2 3 2" xfId="41839"/>
    <cellStyle name="Currency 2 2 12 2 2 2 4" xfId="29534"/>
    <cellStyle name="Currency 2 2 12 2 2 3" xfId="12738"/>
    <cellStyle name="Currency 2 2 12 2 2 3 2" xfId="32621"/>
    <cellStyle name="Currency 2 2 12 2 2 4" xfId="18890"/>
    <cellStyle name="Currency 2 2 12 2 2 4 2" xfId="38773"/>
    <cellStyle name="Currency 2 2 12 2 2 5" xfId="26468"/>
    <cellStyle name="Currency 2 2 12 2 3" xfId="8076"/>
    <cellStyle name="Currency 2 2 12 2 3 2" xfId="14270"/>
    <cellStyle name="Currency 2 2 12 2 3 2 2" xfId="34153"/>
    <cellStyle name="Currency 2 2 12 2 3 3" xfId="20422"/>
    <cellStyle name="Currency 2 2 12 2 3 3 2" xfId="40305"/>
    <cellStyle name="Currency 2 2 12 2 3 4" xfId="28000"/>
    <cellStyle name="Currency 2 2 12 2 4" xfId="11204"/>
    <cellStyle name="Currency 2 2 12 2 4 2" xfId="31087"/>
    <cellStyle name="Currency 2 2 12 2 5" xfId="17356"/>
    <cellStyle name="Currency 2 2 12 2 5 2" xfId="37239"/>
    <cellStyle name="Currency 2 2 12 2 6" xfId="24934"/>
    <cellStyle name="Currency 2 2 12 3" xfId="5741"/>
    <cellStyle name="Currency 2 2 12 3 2" xfId="8842"/>
    <cellStyle name="Currency 2 2 12 3 2 2" xfId="15035"/>
    <cellStyle name="Currency 2 2 12 3 2 2 2" xfId="34918"/>
    <cellStyle name="Currency 2 2 12 3 2 3" xfId="21187"/>
    <cellStyle name="Currency 2 2 12 3 2 3 2" xfId="41070"/>
    <cellStyle name="Currency 2 2 12 3 2 4" xfId="28765"/>
    <cellStyle name="Currency 2 2 12 3 3" xfId="11969"/>
    <cellStyle name="Currency 2 2 12 3 3 2" xfId="31852"/>
    <cellStyle name="Currency 2 2 12 3 4" xfId="18121"/>
    <cellStyle name="Currency 2 2 12 3 4 2" xfId="38004"/>
    <cellStyle name="Currency 2 2 12 3 5" xfId="25699"/>
    <cellStyle name="Currency 2 2 12 4" xfId="7307"/>
    <cellStyle name="Currency 2 2 12 4 2" xfId="13501"/>
    <cellStyle name="Currency 2 2 12 4 2 2" xfId="33384"/>
    <cellStyle name="Currency 2 2 12 4 3" xfId="19653"/>
    <cellStyle name="Currency 2 2 12 4 3 2" xfId="39536"/>
    <cellStyle name="Currency 2 2 12 4 4" xfId="27231"/>
    <cellStyle name="Currency 2 2 12 5" xfId="10435"/>
    <cellStyle name="Currency 2 2 12 5 2" xfId="30318"/>
    <cellStyle name="Currency 2 2 12 6" xfId="16587"/>
    <cellStyle name="Currency 2 2 12 6 2" xfId="36470"/>
    <cellStyle name="Currency 2 2 12 7" xfId="24165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2 2" xfId="35688"/>
    <cellStyle name="Currency 2 2 13 2 2 2 3" xfId="21957"/>
    <cellStyle name="Currency 2 2 13 2 2 2 3 2" xfId="41840"/>
    <cellStyle name="Currency 2 2 13 2 2 2 4" xfId="29535"/>
    <cellStyle name="Currency 2 2 13 2 2 3" xfId="12739"/>
    <cellStyle name="Currency 2 2 13 2 2 3 2" xfId="32622"/>
    <cellStyle name="Currency 2 2 13 2 2 4" xfId="18891"/>
    <cellStyle name="Currency 2 2 13 2 2 4 2" xfId="38774"/>
    <cellStyle name="Currency 2 2 13 2 2 5" xfId="26469"/>
    <cellStyle name="Currency 2 2 13 2 3" xfId="8077"/>
    <cellStyle name="Currency 2 2 13 2 3 2" xfId="14271"/>
    <cellStyle name="Currency 2 2 13 2 3 2 2" xfId="34154"/>
    <cellStyle name="Currency 2 2 13 2 3 3" xfId="20423"/>
    <cellStyle name="Currency 2 2 13 2 3 3 2" xfId="40306"/>
    <cellStyle name="Currency 2 2 13 2 3 4" xfId="28001"/>
    <cellStyle name="Currency 2 2 13 2 4" xfId="11205"/>
    <cellStyle name="Currency 2 2 13 2 4 2" xfId="31088"/>
    <cellStyle name="Currency 2 2 13 2 5" xfId="17357"/>
    <cellStyle name="Currency 2 2 13 2 5 2" xfId="37240"/>
    <cellStyle name="Currency 2 2 13 2 6" xfId="24935"/>
    <cellStyle name="Currency 2 2 13 3" xfId="5742"/>
    <cellStyle name="Currency 2 2 13 3 2" xfId="8843"/>
    <cellStyle name="Currency 2 2 13 3 2 2" xfId="15036"/>
    <cellStyle name="Currency 2 2 13 3 2 2 2" xfId="34919"/>
    <cellStyle name="Currency 2 2 13 3 2 3" xfId="21188"/>
    <cellStyle name="Currency 2 2 13 3 2 3 2" xfId="41071"/>
    <cellStyle name="Currency 2 2 13 3 2 4" xfId="28766"/>
    <cellStyle name="Currency 2 2 13 3 3" xfId="11970"/>
    <cellStyle name="Currency 2 2 13 3 3 2" xfId="31853"/>
    <cellStyle name="Currency 2 2 13 3 4" xfId="18122"/>
    <cellStyle name="Currency 2 2 13 3 4 2" xfId="38005"/>
    <cellStyle name="Currency 2 2 13 3 5" xfId="25700"/>
    <cellStyle name="Currency 2 2 13 4" xfId="7308"/>
    <cellStyle name="Currency 2 2 13 4 2" xfId="13502"/>
    <cellStyle name="Currency 2 2 13 4 2 2" xfId="33385"/>
    <cellStyle name="Currency 2 2 13 4 3" xfId="19654"/>
    <cellStyle name="Currency 2 2 13 4 3 2" xfId="39537"/>
    <cellStyle name="Currency 2 2 13 4 4" xfId="27232"/>
    <cellStyle name="Currency 2 2 13 5" xfId="10436"/>
    <cellStyle name="Currency 2 2 13 5 2" xfId="30319"/>
    <cellStyle name="Currency 2 2 13 6" xfId="16588"/>
    <cellStyle name="Currency 2 2 13 6 2" xfId="36471"/>
    <cellStyle name="Currency 2 2 13 7" xfId="24166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2 2" xfId="35689"/>
    <cellStyle name="Currency 2 2 14 2 2 2 3" xfId="21958"/>
    <cellStyle name="Currency 2 2 14 2 2 2 3 2" xfId="41841"/>
    <cellStyle name="Currency 2 2 14 2 2 2 4" xfId="29536"/>
    <cellStyle name="Currency 2 2 14 2 2 3" xfId="12740"/>
    <cellStyle name="Currency 2 2 14 2 2 3 2" xfId="32623"/>
    <cellStyle name="Currency 2 2 14 2 2 4" xfId="18892"/>
    <cellStyle name="Currency 2 2 14 2 2 4 2" xfId="38775"/>
    <cellStyle name="Currency 2 2 14 2 2 5" xfId="26470"/>
    <cellStyle name="Currency 2 2 14 2 3" xfId="8078"/>
    <cellStyle name="Currency 2 2 14 2 3 2" xfId="14272"/>
    <cellStyle name="Currency 2 2 14 2 3 2 2" xfId="34155"/>
    <cellStyle name="Currency 2 2 14 2 3 3" xfId="20424"/>
    <cellStyle name="Currency 2 2 14 2 3 3 2" xfId="40307"/>
    <cellStyle name="Currency 2 2 14 2 3 4" xfId="28002"/>
    <cellStyle name="Currency 2 2 14 2 4" xfId="11206"/>
    <cellStyle name="Currency 2 2 14 2 4 2" xfId="31089"/>
    <cellStyle name="Currency 2 2 14 2 5" xfId="17358"/>
    <cellStyle name="Currency 2 2 14 2 5 2" xfId="37241"/>
    <cellStyle name="Currency 2 2 14 2 6" xfId="24936"/>
    <cellStyle name="Currency 2 2 14 3" xfId="5743"/>
    <cellStyle name="Currency 2 2 14 3 2" xfId="8844"/>
    <cellStyle name="Currency 2 2 14 3 2 2" xfId="15037"/>
    <cellStyle name="Currency 2 2 14 3 2 2 2" xfId="34920"/>
    <cellStyle name="Currency 2 2 14 3 2 3" xfId="21189"/>
    <cellStyle name="Currency 2 2 14 3 2 3 2" xfId="41072"/>
    <cellStyle name="Currency 2 2 14 3 2 4" xfId="28767"/>
    <cellStyle name="Currency 2 2 14 3 3" xfId="11971"/>
    <cellStyle name="Currency 2 2 14 3 3 2" xfId="31854"/>
    <cellStyle name="Currency 2 2 14 3 4" xfId="18123"/>
    <cellStyle name="Currency 2 2 14 3 4 2" xfId="38006"/>
    <cellStyle name="Currency 2 2 14 3 5" xfId="25701"/>
    <cellStyle name="Currency 2 2 14 4" xfId="7309"/>
    <cellStyle name="Currency 2 2 14 4 2" xfId="13503"/>
    <cellStyle name="Currency 2 2 14 4 2 2" xfId="33386"/>
    <cellStyle name="Currency 2 2 14 4 3" xfId="19655"/>
    <cellStyle name="Currency 2 2 14 4 3 2" xfId="39538"/>
    <cellStyle name="Currency 2 2 14 4 4" xfId="27233"/>
    <cellStyle name="Currency 2 2 14 5" xfId="10437"/>
    <cellStyle name="Currency 2 2 14 5 2" xfId="30320"/>
    <cellStyle name="Currency 2 2 14 6" xfId="16589"/>
    <cellStyle name="Currency 2 2 14 6 2" xfId="36472"/>
    <cellStyle name="Currency 2 2 14 7" xfId="24167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2 2" xfId="35690"/>
    <cellStyle name="Currency 2 2 15 2 2 2 3" xfId="21959"/>
    <cellStyle name="Currency 2 2 15 2 2 2 3 2" xfId="41842"/>
    <cellStyle name="Currency 2 2 15 2 2 2 4" xfId="29537"/>
    <cellStyle name="Currency 2 2 15 2 2 3" xfId="12741"/>
    <cellStyle name="Currency 2 2 15 2 2 3 2" xfId="32624"/>
    <cellStyle name="Currency 2 2 15 2 2 4" xfId="18893"/>
    <cellStyle name="Currency 2 2 15 2 2 4 2" xfId="38776"/>
    <cellStyle name="Currency 2 2 15 2 2 5" xfId="26471"/>
    <cellStyle name="Currency 2 2 15 2 3" xfId="8079"/>
    <cellStyle name="Currency 2 2 15 2 3 2" xfId="14273"/>
    <cellStyle name="Currency 2 2 15 2 3 2 2" xfId="34156"/>
    <cellStyle name="Currency 2 2 15 2 3 3" xfId="20425"/>
    <cellStyle name="Currency 2 2 15 2 3 3 2" xfId="40308"/>
    <cellStyle name="Currency 2 2 15 2 3 4" xfId="28003"/>
    <cellStyle name="Currency 2 2 15 2 4" xfId="11207"/>
    <cellStyle name="Currency 2 2 15 2 4 2" xfId="31090"/>
    <cellStyle name="Currency 2 2 15 2 5" xfId="17359"/>
    <cellStyle name="Currency 2 2 15 2 5 2" xfId="37242"/>
    <cellStyle name="Currency 2 2 15 2 6" xfId="24937"/>
    <cellStyle name="Currency 2 2 15 3" xfId="5744"/>
    <cellStyle name="Currency 2 2 15 3 2" xfId="8845"/>
    <cellStyle name="Currency 2 2 15 3 2 2" xfId="15038"/>
    <cellStyle name="Currency 2 2 15 3 2 2 2" xfId="34921"/>
    <cellStyle name="Currency 2 2 15 3 2 3" xfId="21190"/>
    <cellStyle name="Currency 2 2 15 3 2 3 2" xfId="41073"/>
    <cellStyle name="Currency 2 2 15 3 2 4" xfId="28768"/>
    <cellStyle name="Currency 2 2 15 3 3" xfId="11972"/>
    <cellStyle name="Currency 2 2 15 3 3 2" xfId="31855"/>
    <cellStyle name="Currency 2 2 15 3 4" xfId="18124"/>
    <cellStyle name="Currency 2 2 15 3 4 2" xfId="38007"/>
    <cellStyle name="Currency 2 2 15 3 5" xfId="25702"/>
    <cellStyle name="Currency 2 2 15 4" xfId="7310"/>
    <cellStyle name="Currency 2 2 15 4 2" xfId="13504"/>
    <cellStyle name="Currency 2 2 15 4 2 2" xfId="33387"/>
    <cellStyle name="Currency 2 2 15 4 3" xfId="19656"/>
    <cellStyle name="Currency 2 2 15 4 3 2" xfId="39539"/>
    <cellStyle name="Currency 2 2 15 4 4" xfId="27234"/>
    <cellStyle name="Currency 2 2 15 5" xfId="10438"/>
    <cellStyle name="Currency 2 2 15 5 2" xfId="30321"/>
    <cellStyle name="Currency 2 2 15 6" xfId="16590"/>
    <cellStyle name="Currency 2 2 15 6 2" xfId="36473"/>
    <cellStyle name="Currency 2 2 15 7" xfId="24168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2 2" xfId="35691"/>
    <cellStyle name="Currency 2 2 16 2 2 2 3" xfId="21960"/>
    <cellStyle name="Currency 2 2 16 2 2 2 3 2" xfId="41843"/>
    <cellStyle name="Currency 2 2 16 2 2 2 4" xfId="29538"/>
    <cellStyle name="Currency 2 2 16 2 2 3" xfId="12742"/>
    <cellStyle name="Currency 2 2 16 2 2 3 2" xfId="32625"/>
    <cellStyle name="Currency 2 2 16 2 2 4" xfId="18894"/>
    <cellStyle name="Currency 2 2 16 2 2 4 2" xfId="38777"/>
    <cellStyle name="Currency 2 2 16 2 2 5" xfId="26472"/>
    <cellStyle name="Currency 2 2 16 2 3" xfId="8080"/>
    <cellStyle name="Currency 2 2 16 2 3 2" xfId="14274"/>
    <cellStyle name="Currency 2 2 16 2 3 2 2" xfId="34157"/>
    <cellStyle name="Currency 2 2 16 2 3 3" xfId="20426"/>
    <cellStyle name="Currency 2 2 16 2 3 3 2" xfId="40309"/>
    <cellStyle name="Currency 2 2 16 2 3 4" xfId="28004"/>
    <cellStyle name="Currency 2 2 16 2 4" xfId="11208"/>
    <cellStyle name="Currency 2 2 16 2 4 2" xfId="31091"/>
    <cellStyle name="Currency 2 2 16 2 5" xfId="17360"/>
    <cellStyle name="Currency 2 2 16 2 5 2" xfId="37243"/>
    <cellStyle name="Currency 2 2 16 2 6" xfId="24938"/>
    <cellStyle name="Currency 2 2 16 3" xfId="5745"/>
    <cellStyle name="Currency 2 2 16 3 2" xfId="8846"/>
    <cellStyle name="Currency 2 2 16 3 2 2" xfId="15039"/>
    <cellStyle name="Currency 2 2 16 3 2 2 2" xfId="34922"/>
    <cellStyle name="Currency 2 2 16 3 2 3" xfId="21191"/>
    <cellStyle name="Currency 2 2 16 3 2 3 2" xfId="41074"/>
    <cellStyle name="Currency 2 2 16 3 2 4" xfId="28769"/>
    <cellStyle name="Currency 2 2 16 3 3" xfId="11973"/>
    <cellStyle name="Currency 2 2 16 3 3 2" xfId="31856"/>
    <cellStyle name="Currency 2 2 16 3 4" xfId="18125"/>
    <cellStyle name="Currency 2 2 16 3 4 2" xfId="38008"/>
    <cellStyle name="Currency 2 2 16 3 5" xfId="25703"/>
    <cellStyle name="Currency 2 2 16 4" xfId="7311"/>
    <cellStyle name="Currency 2 2 16 4 2" xfId="13505"/>
    <cellStyle name="Currency 2 2 16 4 2 2" xfId="33388"/>
    <cellStyle name="Currency 2 2 16 4 3" xfId="19657"/>
    <cellStyle name="Currency 2 2 16 4 3 2" xfId="39540"/>
    <cellStyle name="Currency 2 2 16 4 4" xfId="27235"/>
    <cellStyle name="Currency 2 2 16 5" xfId="10439"/>
    <cellStyle name="Currency 2 2 16 5 2" xfId="30322"/>
    <cellStyle name="Currency 2 2 16 6" xfId="16591"/>
    <cellStyle name="Currency 2 2 16 6 2" xfId="36474"/>
    <cellStyle name="Currency 2 2 16 7" xfId="24169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2 2" xfId="35692"/>
    <cellStyle name="Currency 2 2 17 2 2 2 3" xfId="21961"/>
    <cellStyle name="Currency 2 2 17 2 2 2 3 2" xfId="41844"/>
    <cellStyle name="Currency 2 2 17 2 2 2 4" xfId="29539"/>
    <cellStyle name="Currency 2 2 17 2 2 3" xfId="12743"/>
    <cellStyle name="Currency 2 2 17 2 2 3 2" xfId="32626"/>
    <cellStyle name="Currency 2 2 17 2 2 4" xfId="18895"/>
    <cellStyle name="Currency 2 2 17 2 2 4 2" xfId="38778"/>
    <cellStyle name="Currency 2 2 17 2 2 5" xfId="26473"/>
    <cellStyle name="Currency 2 2 17 2 3" xfId="8081"/>
    <cellStyle name="Currency 2 2 17 2 3 2" xfId="14275"/>
    <cellStyle name="Currency 2 2 17 2 3 2 2" xfId="34158"/>
    <cellStyle name="Currency 2 2 17 2 3 3" xfId="20427"/>
    <cellStyle name="Currency 2 2 17 2 3 3 2" xfId="40310"/>
    <cellStyle name="Currency 2 2 17 2 3 4" xfId="28005"/>
    <cellStyle name="Currency 2 2 17 2 4" xfId="11209"/>
    <cellStyle name="Currency 2 2 17 2 4 2" xfId="31092"/>
    <cellStyle name="Currency 2 2 17 2 5" xfId="17361"/>
    <cellStyle name="Currency 2 2 17 2 5 2" xfId="37244"/>
    <cellStyle name="Currency 2 2 17 2 6" xfId="24939"/>
    <cellStyle name="Currency 2 2 17 3" xfId="5746"/>
    <cellStyle name="Currency 2 2 17 3 2" xfId="8847"/>
    <cellStyle name="Currency 2 2 17 3 2 2" xfId="15040"/>
    <cellStyle name="Currency 2 2 17 3 2 2 2" xfId="34923"/>
    <cellStyle name="Currency 2 2 17 3 2 3" xfId="21192"/>
    <cellStyle name="Currency 2 2 17 3 2 3 2" xfId="41075"/>
    <cellStyle name="Currency 2 2 17 3 2 4" xfId="28770"/>
    <cellStyle name="Currency 2 2 17 3 3" xfId="11974"/>
    <cellStyle name="Currency 2 2 17 3 3 2" xfId="31857"/>
    <cellStyle name="Currency 2 2 17 3 4" xfId="18126"/>
    <cellStyle name="Currency 2 2 17 3 4 2" xfId="38009"/>
    <cellStyle name="Currency 2 2 17 3 5" xfId="25704"/>
    <cellStyle name="Currency 2 2 17 4" xfId="7312"/>
    <cellStyle name="Currency 2 2 17 4 2" xfId="13506"/>
    <cellStyle name="Currency 2 2 17 4 2 2" xfId="33389"/>
    <cellStyle name="Currency 2 2 17 4 3" xfId="19658"/>
    <cellStyle name="Currency 2 2 17 4 3 2" xfId="39541"/>
    <cellStyle name="Currency 2 2 17 4 4" xfId="27236"/>
    <cellStyle name="Currency 2 2 17 5" xfId="10440"/>
    <cellStyle name="Currency 2 2 17 5 2" xfId="30323"/>
    <cellStyle name="Currency 2 2 17 6" xfId="16592"/>
    <cellStyle name="Currency 2 2 17 6 2" xfId="36475"/>
    <cellStyle name="Currency 2 2 17 7" xfId="24170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2 2" xfId="35693"/>
    <cellStyle name="Currency 2 2 18 2 2 2 3" xfId="21962"/>
    <cellStyle name="Currency 2 2 18 2 2 2 3 2" xfId="41845"/>
    <cellStyle name="Currency 2 2 18 2 2 2 4" xfId="29540"/>
    <cellStyle name="Currency 2 2 18 2 2 3" xfId="12744"/>
    <cellStyle name="Currency 2 2 18 2 2 3 2" xfId="32627"/>
    <cellStyle name="Currency 2 2 18 2 2 4" xfId="18896"/>
    <cellStyle name="Currency 2 2 18 2 2 4 2" xfId="38779"/>
    <cellStyle name="Currency 2 2 18 2 2 5" xfId="26474"/>
    <cellStyle name="Currency 2 2 18 2 3" xfId="8082"/>
    <cellStyle name="Currency 2 2 18 2 3 2" xfId="14276"/>
    <cellStyle name="Currency 2 2 18 2 3 2 2" xfId="34159"/>
    <cellStyle name="Currency 2 2 18 2 3 3" xfId="20428"/>
    <cellStyle name="Currency 2 2 18 2 3 3 2" xfId="40311"/>
    <cellStyle name="Currency 2 2 18 2 3 4" xfId="28006"/>
    <cellStyle name="Currency 2 2 18 2 4" xfId="11210"/>
    <cellStyle name="Currency 2 2 18 2 4 2" xfId="31093"/>
    <cellStyle name="Currency 2 2 18 2 5" xfId="17362"/>
    <cellStyle name="Currency 2 2 18 2 5 2" xfId="37245"/>
    <cellStyle name="Currency 2 2 18 2 6" xfId="24940"/>
    <cellStyle name="Currency 2 2 18 3" xfId="5747"/>
    <cellStyle name="Currency 2 2 18 3 2" xfId="8848"/>
    <cellStyle name="Currency 2 2 18 3 2 2" xfId="15041"/>
    <cellStyle name="Currency 2 2 18 3 2 2 2" xfId="34924"/>
    <cellStyle name="Currency 2 2 18 3 2 3" xfId="21193"/>
    <cellStyle name="Currency 2 2 18 3 2 3 2" xfId="41076"/>
    <cellStyle name="Currency 2 2 18 3 2 4" xfId="28771"/>
    <cellStyle name="Currency 2 2 18 3 3" xfId="11975"/>
    <cellStyle name="Currency 2 2 18 3 3 2" xfId="31858"/>
    <cellStyle name="Currency 2 2 18 3 4" xfId="18127"/>
    <cellStyle name="Currency 2 2 18 3 4 2" xfId="38010"/>
    <cellStyle name="Currency 2 2 18 3 5" xfId="25705"/>
    <cellStyle name="Currency 2 2 18 4" xfId="7313"/>
    <cellStyle name="Currency 2 2 18 4 2" xfId="13507"/>
    <cellStyle name="Currency 2 2 18 4 2 2" xfId="33390"/>
    <cellStyle name="Currency 2 2 18 4 3" xfId="19659"/>
    <cellStyle name="Currency 2 2 18 4 3 2" xfId="39542"/>
    <cellStyle name="Currency 2 2 18 4 4" xfId="27237"/>
    <cellStyle name="Currency 2 2 18 5" xfId="10441"/>
    <cellStyle name="Currency 2 2 18 5 2" xfId="30324"/>
    <cellStyle name="Currency 2 2 18 6" xfId="16593"/>
    <cellStyle name="Currency 2 2 18 6 2" xfId="36476"/>
    <cellStyle name="Currency 2 2 18 7" xfId="24171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2 2" xfId="35694"/>
    <cellStyle name="Currency 2 2 2 2 2 2 2 3" xfId="21963"/>
    <cellStyle name="Currency 2 2 2 2 2 2 2 3 2" xfId="41846"/>
    <cellStyle name="Currency 2 2 2 2 2 2 2 4" xfId="29541"/>
    <cellStyle name="Currency 2 2 2 2 2 2 3" xfId="12745"/>
    <cellStyle name="Currency 2 2 2 2 2 2 3 2" xfId="32628"/>
    <cellStyle name="Currency 2 2 2 2 2 2 4" xfId="18897"/>
    <cellStyle name="Currency 2 2 2 2 2 2 4 2" xfId="38780"/>
    <cellStyle name="Currency 2 2 2 2 2 2 5" xfId="26475"/>
    <cellStyle name="Currency 2 2 2 2 2 3" xfId="8083"/>
    <cellStyle name="Currency 2 2 2 2 2 3 2" xfId="14277"/>
    <cellStyle name="Currency 2 2 2 2 2 3 2 2" xfId="34160"/>
    <cellStyle name="Currency 2 2 2 2 2 3 3" xfId="20429"/>
    <cellStyle name="Currency 2 2 2 2 2 3 3 2" xfId="40312"/>
    <cellStyle name="Currency 2 2 2 2 2 3 4" xfId="28007"/>
    <cellStyle name="Currency 2 2 2 2 2 4" xfId="11211"/>
    <cellStyle name="Currency 2 2 2 2 2 4 2" xfId="31094"/>
    <cellStyle name="Currency 2 2 2 2 2 5" xfId="17363"/>
    <cellStyle name="Currency 2 2 2 2 2 5 2" xfId="37246"/>
    <cellStyle name="Currency 2 2 2 2 2 6" xfId="24941"/>
    <cellStyle name="Currency 2 2 2 2 3" xfId="5748"/>
    <cellStyle name="Currency 2 2 2 2 3 2" xfId="8849"/>
    <cellStyle name="Currency 2 2 2 2 3 2 2" xfId="15042"/>
    <cellStyle name="Currency 2 2 2 2 3 2 2 2" xfId="34925"/>
    <cellStyle name="Currency 2 2 2 2 3 2 3" xfId="21194"/>
    <cellStyle name="Currency 2 2 2 2 3 2 3 2" xfId="41077"/>
    <cellStyle name="Currency 2 2 2 2 3 2 4" xfId="28772"/>
    <cellStyle name="Currency 2 2 2 2 3 3" xfId="11976"/>
    <cellStyle name="Currency 2 2 2 2 3 3 2" xfId="31859"/>
    <cellStyle name="Currency 2 2 2 2 3 4" xfId="18128"/>
    <cellStyle name="Currency 2 2 2 2 3 4 2" xfId="38011"/>
    <cellStyle name="Currency 2 2 2 2 3 5" xfId="25706"/>
    <cellStyle name="Currency 2 2 2 2 4" xfId="7314"/>
    <cellStyle name="Currency 2 2 2 2 4 2" xfId="13508"/>
    <cellStyle name="Currency 2 2 2 2 4 2 2" xfId="33391"/>
    <cellStyle name="Currency 2 2 2 2 4 3" xfId="19660"/>
    <cellStyle name="Currency 2 2 2 2 4 3 2" xfId="39543"/>
    <cellStyle name="Currency 2 2 2 2 4 4" xfId="27238"/>
    <cellStyle name="Currency 2 2 2 2 5" xfId="10442"/>
    <cellStyle name="Currency 2 2 2 2 5 2" xfId="30325"/>
    <cellStyle name="Currency 2 2 2 2 6" xfId="16594"/>
    <cellStyle name="Currency 2 2 2 2 6 2" xfId="36477"/>
    <cellStyle name="Currency 2 2 2 2 7" xfId="24172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2 2" xfId="35695"/>
    <cellStyle name="Currency 2 2 2 3 2 2 2 3" xfId="21964"/>
    <cellStyle name="Currency 2 2 2 3 2 2 2 3 2" xfId="41847"/>
    <cellStyle name="Currency 2 2 2 3 2 2 2 4" xfId="29542"/>
    <cellStyle name="Currency 2 2 2 3 2 2 3" xfId="12746"/>
    <cellStyle name="Currency 2 2 2 3 2 2 3 2" xfId="32629"/>
    <cellStyle name="Currency 2 2 2 3 2 2 4" xfId="18898"/>
    <cellStyle name="Currency 2 2 2 3 2 2 4 2" xfId="38781"/>
    <cellStyle name="Currency 2 2 2 3 2 2 5" xfId="26476"/>
    <cellStyle name="Currency 2 2 2 3 2 3" xfId="8084"/>
    <cellStyle name="Currency 2 2 2 3 2 3 2" xfId="14278"/>
    <cellStyle name="Currency 2 2 2 3 2 3 2 2" xfId="34161"/>
    <cellStyle name="Currency 2 2 2 3 2 3 3" xfId="20430"/>
    <cellStyle name="Currency 2 2 2 3 2 3 3 2" xfId="40313"/>
    <cellStyle name="Currency 2 2 2 3 2 3 4" xfId="28008"/>
    <cellStyle name="Currency 2 2 2 3 2 4" xfId="11212"/>
    <cellStyle name="Currency 2 2 2 3 2 4 2" xfId="31095"/>
    <cellStyle name="Currency 2 2 2 3 2 5" xfId="17364"/>
    <cellStyle name="Currency 2 2 2 3 2 5 2" xfId="37247"/>
    <cellStyle name="Currency 2 2 2 3 2 6" xfId="24942"/>
    <cellStyle name="Currency 2 2 2 3 3" xfId="5749"/>
    <cellStyle name="Currency 2 2 2 3 3 2" xfId="8850"/>
    <cellStyle name="Currency 2 2 2 3 3 2 2" xfId="15043"/>
    <cellStyle name="Currency 2 2 2 3 3 2 2 2" xfId="34926"/>
    <cellStyle name="Currency 2 2 2 3 3 2 3" xfId="21195"/>
    <cellStyle name="Currency 2 2 2 3 3 2 3 2" xfId="41078"/>
    <cellStyle name="Currency 2 2 2 3 3 2 4" xfId="28773"/>
    <cellStyle name="Currency 2 2 2 3 3 3" xfId="11977"/>
    <cellStyle name="Currency 2 2 2 3 3 3 2" xfId="31860"/>
    <cellStyle name="Currency 2 2 2 3 3 4" xfId="18129"/>
    <cellStyle name="Currency 2 2 2 3 3 4 2" xfId="38012"/>
    <cellStyle name="Currency 2 2 2 3 3 5" xfId="25707"/>
    <cellStyle name="Currency 2 2 2 3 4" xfId="7315"/>
    <cellStyle name="Currency 2 2 2 3 4 2" xfId="13509"/>
    <cellStyle name="Currency 2 2 2 3 4 2 2" xfId="33392"/>
    <cellStyle name="Currency 2 2 2 3 4 3" xfId="19661"/>
    <cellStyle name="Currency 2 2 2 3 4 3 2" xfId="39544"/>
    <cellStyle name="Currency 2 2 2 3 4 4" xfId="27239"/>
    <cellStyle name="Currency 2 2 2 3 5" xfId="10443"/>
    <cellStyle name="Currency 2 2 2 3 5 2" xfId="30326"/>
    <cellStyle name="Currency 2 2 2 3 6" xfId="16595"/>
    <cellStyle name="Currency 2 2 2 3 6 2" xfId="36478"/>
    <cellStyle name="Currency 2 2 2 3 7" xfId="24173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2 2" xfId="35696"/>
    <cellStyle name="Currency 2 2 2 4 2 2 2 3" xfId="21965"/>
    <cellStyle name="Currency 2 2 2 4 2 2 2 3 2" xfId="41848"/>
    <cellStyle name="Currency 2 2 2 4 2 2 2 4" xfId="29543"/>
    <cellStyle name="Currency 2 2 2 4 2 2 3" xfId="12747"/>
    <cellStyle name="Currency 2 2 2 4 2 2 3 2" xfId="32630"/>
    <cellStyle name="Currency 2 2 2 4 2 2 4" xfId="18899"/>
    <cellStyle name="Currency 2 2 2 4 2 2 4 2" xfId="38782"/>
    <cellStyle name="Currency 2 2 2 4 2 2 5" xfId="26477"/>
    <cellStyle name="Currency 2 2 2 4 2 3" xfId="8085"/>
    <cellStyle name="Currency 2 2 2 4 2 3 2" xfId="14279"/>
    <cellStyle name="Currency 2 2 2 4 2 3 2 2" xfId="34162"/>
    <cellStyle name="Currency 2 2 2 4 2 3 3" xfId="20431"/>
    <cellStyle name="Currency 2 2 2 4 2 3 3 2" xfId="40314"/>
    <cellStyle name="Currency 2 2 2 4 2 3 4" xfId="28009"/>
    <cellStyle name="Currency 2 2 2 4 2 4" xfId="11213"/>
    <cellStyle name="Currency 2 2 2 4 2 4 2" xfId="31096"/>
    <cellStyle name="Currency 2 2 2 4 2 5" xfId="17365"/>
    <cellStyle name="Currency 2 2 2 4 2 5 2" xfId="37248"/>
    <cellStyle name="Currency 2 2 2 4 2 6" xfId="24943"/>
    <cellStyle name="Currency 2 2 2 4 3" xfId="5750"/>
    <cellStyle name="Currency 2 2 2 4 3 2" xfId="8851"/>
    <cellStyle name="Currency 2 2 2 4 3 2 2" xfId="15044"/>
    <cellStyle name="Currency 2 2 2 4 3 2 2 2" xfId="34927"/>
    <cellStyle name="Currency 2 2 2 4 3 2 3" xfId="21196"/>
    <cellStyle name="Currency 2 2 2 4 3 2 3 2" xfId="41079"/>
    <cellStyle name="Currency 2 2 2 4 3 2 4" xfId="28774"/>
    <cellStyle name="Currency 2 2 2 4 3 3" xfId="11978"/>
    <cellStyle name="Currency 2 2 2 4 3 3 2" xfId="31861"/>
    <cellStyle name="Currency 2 2 2 4 3 4" xfId="18130"/>
    <cellStyle name="Currency 2 2 2 4 3 4 2" xfId="38013"/>
    <cellStyle name="Currency 2 2 2 4 3 5" xfId="25708"/>
    <cellStyle name="Currency 2 2 2 4 4" xfId="7316"/>
    <cellStyle name="Currency 2 2 2 4 4 2" xfId="13510"/>
    <cellStyle name="Currency 2 2 2 4 4 2 2" xfId="33393"/>
    <cellStyle name="Currency 2 2 2 4 4 3" xfId="19662"/>
    <cellStyle name="Currency 2 2 2 4 4 3 2" xfId="39545"/>
    <cellStyle name="Currency 2 2 2 4 4 4" xfId="27240"/>
    <cellStyle name="Currency 2 2 2 4 5" xfId="10444"/>
    <cellStyle name="Currency 2 2 2 4 5 2" xfId="30327"/>
    <cellStyle name="Currency 2 2 2 4 6" xfId="16596"/>
    <cellStyle name="Currency 2 2 2 4 6 2" xfId="36479"/>
    <cellStyle name="Currency 2 2 2 4 7" xfId="24174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2 2" xfId="35697"/>
    <cellStyle name="Currency 2 2 2 5 2 2 2 3" xfId="21966"/>
    <cellStyle name="Currency 2 2 2 5 2 2 2 3 2" xfId="41849"/>
    <cellStyle name="Currency 2 2 2 5 2 2 2 4" xfId="29544"/>
    <cellStyle name="Currency 2 2 2 5 2 2 3" xfId="12748"/>
    <cellStyle name="Currency 2 2 2 5 2 2 3 2" xfId="32631"/>
    <cellStyle name="Currency 2 2 2 5 2 2 4" xfId="18900"/>
    <cellStyle name="Currency 2 2 2 5 2 2 4 2" xfId="38783"/>
    <cellStyle name="Currency 2 2 2 5 2 2 5" xfId="26478"/>
    <cellStyle name="Currency 2 2 2 5 2 3" xfId="8086"/>
    <cellStyle name="Currency 2 2 2 5 2 3 2" xfId="14280"/>
    <cellStyle name="Currency 2 2 2 5 2 3 2 2" xfId="34163"/>
    <cellStyle name="Currency 2 2 2 5 2 3 3" xfId="20432"/>
    <cellStyle name="Currency 2 2 2 5 2 3 3 2" xfId="40315"/>
    <cellStyle name="Currency 2 2 2 5 2 3 4" xfId="28010"/>
    <cellStyle name="Currency 2 2 2 5 2 4" xfId="11214"/>
    <cellStyle name="Currency 2 2 2 5 2 4 2" xfId="31097"/>
    <cellStyle name="Currency 2 2 2 5 2 5" xfId="17366"/>
    <cellStyle name="Currency 2 2 2 5 2 5 2" xfId="37249"/>
    <cellStyle name="Currency 2 2 2 5 2 6" xfId="24944"/>
    <cellStyle name="Currency 2 2 2 5 3" xfId="5751"/>
    <cellStyle name="Currency 2 2 2 5 3 2" xfId="8852"/>
    <cellStyle name="Currency 2 2 2 5 3 2 2" xfId="15045"/>
    <cellStyle name="Currency 2 2 2 5 3 2 2 2" xfId="34928"/>
    <cellStyle name="Currency 2 2 2 5 3 2 3" xfId="21197"/>
    <cellStyle name="Currency 2 2 2 5 3 2 3 2" xfId="41080"/>
    <cellStyle name="Currency 2 2 2 5 3 2 4" xfId="28775"/>
    <cellStyle name="Currency 2 2 2 5 3 3" xfId="11979"/>
    <cellStyle name="Currency 2 2 2 5 3 3 2" xfId="31862"/>
    <cellStyle name="Currency 2 2 2 5 3 4" xfId="18131"/>
    <cellStyle name="Currency 2 2 2 5 3 4 2" xfId="38014"/>
    <cellStyle name="Currency 2 2 2 5 3 5" xfId="25709"/>
    <cellStyle name="Currency 2 2 2 5 4" xfId="7317"/>
    <cellStyle name="Currency 2 2 2 5 4 2" xfId="13511"/>
    <cellStyle name="Currency 2 2 2 5 4 2 2" xfId="33394"/>
    <cellStyle name="Currency 2 2 2 5 4 3" xfId="19663"/>
    <cellStyle name="Currency 2 2 2 5 4 3 2" xfId="39546"/>
    <cellStyle name="Currency 2 2 2 5 4 4" xfId="27241"/>
    <cellStyle name="Currency 2 2 2 5 5" xfId="10445"/>
    <cellStyle name="Currency 2 2 2 5 5 2" xfId="30328"/>
    <cellStyle name="Currency 2 2 2 5 6" xfId="16597"/>
    <cellStyle name="Currency 2 2 2 5 6 2" xfId="36480"/>
    <cellStyle name="Currency 2 2 2 5 7" xfId="24175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2 2" xfId="35684"/>
    <cellStyle name="Currency 2 2 20 2 2 2 3" xfId="21953"/>
    <cellStyle name="Currency 2 2 20 2 2 2 3 2" xfId="41836"/>
    <cellStyle name="Currency 2 2 20 2 2 2 4" xfId="29531"/>
    <cellStyle name="Currency 2 2 20 2 2 3" xfId="12735"/>
    <cellStyle name="Currency 2 2 20 2 2 3 2" xfId="32618"/>
    <cellStyle name="Currency 2 2 20 2 2 4" xfId="18887"/>
    <cellStyle name="Currency 2 2 20 2 2 4 2" xfId="38770"/>
    <cellStyle name="Currency 2 2 20 2 2 5" xfId="26465"/>
    <cellStyle name="Currency 2 2 20 2 3" xfId="8073"/>
    <cellStyle name="Currency 2 2 20 2 3 2" xfId="14267"/>
    <cellStyle name="Currency 2 2 20 2 3 2 2" xfId="34150"/>
    <cellStyle name="Currency 2 2 20 2 3 3" xfId="20419"/>
    <cellStyle name="Currency 2 2 20 2 3 3 2" xfId="40302"/>
    <cellStyle name="Currency 2 2 20 2 3 4" xfId="27997"/>
    <cellStyle name="Currency 2 2 20 2 4" xfId="11201"/>
    <cellStyle name="Currency 2 2 20 2 4 2" xfId="31084"/>
    <cellStyle name="Currency 2 2 20 2 5" xfId="17353"/>
    <cellStyle name="Currency 2 2 20 2 5 2" xfId="37236"/>
    <cellStyle name="Currency 2 2 20 2 6" xfId="24931"/>
    <cellStyle name="Currency 2 2 20 3" xfId="5738"/>
    <cellStyle name="Currency 2 2 20 3 2" xfId="8839"/>
    <cellStyle name="Currency 2 2 20 3 2 2" xfId="15032"/>
    <cellStyle name="Currency 2 2 20 3 2 2 2" xfId="34915"/>
    <cellStyle name="Currency 2 2 20 3 2 3" xfId="21184"/>
    <cellStyle name="Currency 2 2 20 3 2 3 2" xfId="41067"/>
    <cellStyle name="Currency 2 2 20 3 2 4" xfId="28762"/>
    <cellStyle name="Currency 2 2 20 3 3" xfId="11966"/>
    <cellStyle name="Currency 2 2 20 3 3 2" xfId="31849"/>
    <cellStyle name="Currency 2 2 20 3 4" xfId="18118"/>
    <cellStyle name="Currency 2 2 20 3 4 2" xfId="38001"/>
    <cellStyle name="Currency 2 2 20 3 5" xfId="25696"/>
    <cellStyle name="Currency 2 2 20 4" xfId="7304"/>
    <cellStyle name="Currency 2 2 20 4 2" xfId="13498"/>
    <cellStyle name="Currency 2 2 20 4 2 2" xfId="33381"/>
    <cellStyle name="Currency 2 2 20 4 3" xfId="19650"/>
    <cellStyle name="Currency 2 2 20 4 3 2" xfId="39533"/>
    <cellStyle name="Currency 2 2 20 4 4" xfId="27228"/>
    <cellStyle name="Currency 2 2 20 5" xfId="10432"/>
    <cellStyle name="Currency 2 2 20 5 2" xfId="30315"/>
    <cellStyle name="Currency 2 2 20 6" xfId="16584"/>
    <cellStyle name="Currency 2 2 20 6 2" xfId="36467"/>
    <cellStyle name="Currency 2 2 20 7" xfId="24162"/>
    <cellStyle name="Currency 2 2 21" xfId="23166"/>
    <cellStyle name="Currency 2 2 21 2" xfId="43000"/>
    <cellStyle name="Currency 2 2 3" xfId="3174"/>
    <cellStyle name="Currency 2 2 3 10" xfId="16598"/>
    <cellStyle name="Currency 2 2 3 10 2" xfId="36481"/>
    <cellStyle name="Currency 2 2 3 11" xfId="24176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2 2" xfId="35699"/>
    <cellStyle name="Currency 2 2 3 2 2 2 2 3" xfId="21968"/>
    <cellStyle name="Currency 2 2 3 2 2 2 2 3 2" xfId="41851"/>
    <cellStyle name="Currency 2 2 3 2 2 2 2 4" xfId="29546"/>
    <cellStyle name="Currency 2 2 3 2 2 2 3" xfId="12750"/>
    <cellStyle name="Currency 2 2 3 2 2 2 3 2" xfId="32633"/>
    <cellStyle name="Currency 2 2 3 2 2 2 4" xfId="18902"/>
    <cellStyle name="Currency 2 2 3 2 2 2 4 2" xfId="38785"/>
    <cellStyle name="Currency 2 2 3 2 2 2 5" xfId="26480"/>
    <cellStyle name="Currency 2 2 3 2 2 3" xfId="8088"/>
    <cellStyle name="Currency 2 2 3 2 2 3 2" xfId="14282"/>
    <cellStyle name="Currency 2 2 3 2 2 3 2 2" xfId="34165"/>
    <cellStyle name="Currency 2 2 3 2 2 3 3" xfId="20434"/>
    <cellStyle name="Currency 2 2 3 2 2 3 3 2" xfId="40317"/>
    <cellStyle name="Currency 2 2 3 2 2 3 4" xfId="28012"/>
    <cellStyle name="Currency 2 2 3 2 2 4" xfId="11216"/>
    <cellStyle name="Currency 2 2 3 2 2 4 2" xfId="31099"/>
    <cellStyle name="Currency 2 2 3 2 2 5" xfId="17368"/>
    <cellStyle name="Currency 2 2 3 2 2 5 2" xfId="37251"/>
    <cellStyle name="Currency 2 2 3 2 2 6" xfId="24946"/>
    <cellStyle name="Currency 2 2 3 2 3" xfId="5753"/>
    <cellStyle name="Currency 2 2 3 2 3 2" xfId="8854"/>
    <cellStyle name="Currency 2 2 3 2 3 2 2" xfId="15047"/>
    <cellStyle name="Currency 2 2 3 2 3 2 2 2" xfId="34930"/>
    <cellStyle name="Currency 2 2 3 2 3 2 3" xfId="21199"/>
    <cellStyle name="Currency 2 2 3 2 3 2 3 2" xfId="41082"/>
    <cellStyle name="Currency 2 2 3 2 3 2 4" xfId="28777"/>
    <cellStyle name="Currency 2 2 3 2 3 3" xfId="11981"/>
    <cellStyle name="Currency 2 2 3 2 3 3 2" xfId="31864"/>
    <cellStyle name="Currency 2 2 3 2 3 4" xfId="18133"/>
    <cellStyle name="Currency 2 2 3 2 3 4 2" xfId="38016"/>
    <cellStyle name="Currency 2 2 3 2 3 5" xfId="25711"/>
    <cellStyle name="Currency 2 2 3 2 4" xfId="7319"/>
    <cellStyle name="Currency 2 2 3 2 4 2" xfId="13513"/>
    <cellStyle name="Currency 2 2 3 2 4 2 2" xfId="33396"/>
    <cellStyle name="Currency 2 2 3 2 4 3" xfId="19665"/>
    <cellStyle name="Currency 2 2 3 2 4 3 2" xfId="39548"/>
    <cellStyle name="Currency 2 2 3 2 4 4" xfId="27243"/>
    <cellStyle name="Currency 2 2 3 2 5" xfId="10447"/>
    <cellStyle name="Currency 2 2 3 2 5 2" xfId="30330"/>
    <cellStyle name="Currency 2 2 3 2 6" xfId="16599"/>
    <cellStyle name="Currency 2 2 3 2 6 2" xfId="36482"/>
    <cellStyle name="Currency 2 2 3 2 7" xfId="24177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2 2" xfId="35700"/>
    <cellStyle name="Currency 2 2 3 3 2 2 2 3" xfId="21969"/>
    <cellStyle name="Currency 2 2 3 3 2 2 2 3 2" xfId="41852"/>
    <cellStyle name="Currency 2 2 3 3 2 2 2 4" xfId="29547"/>
    <cellStyle name="Currency 2 2 3 3 2 2 3" xfId="12751"/>
    <cellStyle name="Currency 2 2 3 3 2 2 3 2" xfId="32634"/>
    <cellStyle name="Currency 2 2 3 3 2 2 4" xfId="18903"/>
    <cellStyle name="Currency 2 2 3 3 2 2 4 2" xfId="38786"/>
    <cellStyle name="Currency 2 2 3 3 2 2 5" xfId="26481"/>
    <cellStyle name="Currency 2 2 3 3 2 3" xfId="8089"/>
    <cellStyle name="Currency 2 2 3 3 2 3 2" xfId="14283"/>
    <cellStyle name="Currency 2 2 3 3 2 3 2 2" xfId="34166"/>
    <cellStyle name="Currency 2 2 3 3 2 3 3" xfId="20435"/>
    <cellStyle name="Currency 2 2 3 3 2 3 3 2" xfId="40318"/>
    <cellStyle name="Currency 2 2 3 3 2 3 4" xfId="28013"/>
    <cellStyle name="Currency 2 2 3 3 2 4" xfId="11217"/>
    <cellStyle name="Currency 2 2 3 3 2 4 2" xfId="31100"/>
    <cellStyle name="Currency 2 2 3 3 2 5" xfId="17369"/>
    <cellStyle name="Currency 2 2 3 3 2 5 2" xfId="37252"/>
    <cellStyle name="Currency 2 2 3 3 2 6" xfId="24947"/>
    <cellStyle name="Currency 2 2 3 3 3" xfId="5754"/>
    <cellStyle name="Currency 2 2 3 3 3 2" xfId="8855"/>
    <cellStyle name="Currency 2 2 3 3 3 2 2" xfId="15048"/>
    <cellStyle name="Currency 2 2 3 3 3 2 2 2" xfId="34931"/>
    <cellStyle name="Currency 2 2 3 3 3 2 3" xfId="21200"/>
    <cellStyle name="Currency 2 2 3 3 3 2 3 2" xfId="41083"/>
    <cellStyle name="Currency 2 2 3 3 3 2 4" xfId="28778"/>
    <cellStyle name="Currency 2 2 3 3 3 3" xfId="11982"/>
    <cellStyle name="Currency 2 2 3 3 3 3 2" xfId="31865"/>
    <cellStyle name="Currency 2 2 3 3 3 4" xfId="18134"/>
    <cellStyle name="Currency 2 2 3 3 3 4 2" xfId="38017"/>
    <cellStyle name="Currency 2 2 3 3 3 5" xfId="25712"/>
    <cellStyle name="Currency 2 2 3 3 4" xfId="7320"/>
    <cellStyle name="Currency 2 2 3 3 4 2" xfId="13514"/>
    <cellStyle name="Currency 2 2 3 3 4 2 2" xfId="33397"/>
    <cellStyle name="Currency 2 2 3 3 4 3" xfId="19666"/>
    <cellStyle name="Currency 2 2 3 3 4 3 2" xfId="39549"/>
    <cellStyle name="Currency 2 2 3 3 4 4" xfId="27244"/>
    <cellStyle name="Currency 2 2 3 3 5" xfId="10448"/>
    <cellStyle name="Currency 2 2 3 3 5 2" xfId="30331"/>
    <cellStyle name="Currency 2 2 3 3 6" xfId="16600"/>
    <cellStyle name="Currency 2 2 3 3 6 2" xfId="36483"/>
    <cellStyle name="Currency 2 2 3 3 7" xfId="24178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2 2" xfId="35701"/>
    <cellStyle name="Currency 2 2 3 4 2 2 2 3" xfId="21970"/>
    <cellStyle name="Currency 2 2 3 4 2 2 2 3 2" xfId="41853"/>
    <cellStyle name="Currency 2 2 3 4 2 2 2 4" xfId="29548"/>
    <cellStyle name="Currency 2 2 3 4 2 2 3" xfId="12752"/>
    <cellStyle name="Currency 2 2 3 4 2 2 3 2" xfId="32635"/>
    <cellStyle name="Currency 2 2 3 4 2 2 4" xfId="18904"/>
    <cellStyle name="Currency 2 2 3 4 2 2 4 2" xfId="38787"/>
    <cellStyle name="Currency 2 2 3 4 2 2 5" xfId="26482"/>
    <cellStyle name="Currency 2 2 3 4 2 3" xfId="8090"/>
    <cellStyle name="Currency 2 2 3 4 2 3 2" xfId="14284"/>
    <cellStyle name="Currency 2 2 3 4 2 3 2 2" xfId="34167"/>
    <cellStyle name="Currency 2 2 3 4 2 3 3" xfId="20436"/>
    <cellStyle name="Currency 2 2 3 4 2 3 3 2" xfId="40319"/>
    <cellStyle name="Currency 2 2 3 4 2 3 4" xfId="28014"/>
    <cellStyle name="Currency 2 2 3 4 2 4" xfId="11218"/>
    <cellStyle name="Currency 2 2 3 4 2 4 2" xfId="31101"/>
    <cellStyle name="Currency 2 2 3 4 2 5" xfId="17370"/>
    <cellStyle name="Currency 2 2 3 4 2 5 2" xfId="37253"/>
    <cellStyle name="Currency 2 2 3 4 2 6" xfId="24948"/>
    <cellStyle name="Currency 2 2 3 4 3" xfId="5755"/>
    <cellStyle name="Currency 2 2 3 4 3 2" xfId="8856"/>
    <cellStyle name="Currency 2 2 3 4 3 2 2" xfId="15049"/>
    <cellStyle name="Currency 2 2 3 4 3 2 2 2" xfId="34932"/>
    <cellStyle name="Currency 2 2 3 4 3 2 3" xfId="21201"/>
    <cellStyle name="Currency 2 2 3 4 3 2 3 2" xfId="41084"/>
    <cellStyle name="Currency 2 2 3 4 3 2 4" xfId="28779"/>
    <cellStyle name="Currency 2 2 3 4 3 3" xfId="11983"/>
    <cellStyle name="Currency 2 2 3 4 3 3 2" xfId="31866"/>
    <cellStyle name="Currency 2 2 3 4 3 4" xfId="18135"/>
    <cellStyle name="Currency 2 2 3 4 3 4 2" xfId="38018"/>
    <cellStyle name="Currency 2 2 3 4 3 5" xfId="25713"/>
    <cellStyle name="Currency 2 2 3 4 4" xfId="7321"/>
    <cellStyle name="Currency 2 2 3 4 4 2" xfId="13515"/>
    <cellStyle name="Currency 2 2 3 4 4 2 2" xfId="33398"/>
    <cellStyle name="Currency 2 2 3 4 4 3" xfId="19667"/>
    <cellStyle name="Currency 2 2 3 4 4 3 2" xfId="39550"/>
    <cellStyle name="Currency 2 2 3 4 4 4" xfId="27245"/>
    <cellStyle name="Currency 2 2 3 4 5" xfId="10449"/>
    <cellStyle name="Currency 2 2 3 4 5 2" xfId="30332"/>
    <cellStyle name="Currency 2 2 3 4 6" xfId="16601"/>
    <cellStyle name="Currency 2 2 3 4 6 2" xfId="36484"/>
    <cellStyle name="Currency 2 2 3 4 7" xfId="24179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2 2" xfId="35702"/>
    <cellStyle name="Currency 2 2 3 5 2 2 2 3" xfId="21971"/>
    <cellStyle name="Currency 2 2 3 5 2 2 2 3 2" xfId="41854"/>
    <cellStyle name="Currency 2 2 3 5 2 2 2 4" xfId="29549"/>
    <cellStyle name="Currency 2 2 3 5 2 2 3" xfId="12753"/>
    <cellStyle name="Currency 2 2 3 5 2 2 3 2" xfId="32636"/>
    <cellStyle name="Currency 2 2 3 5 2 2 4" xfId="18905"/>
    <cellStyle name="Currency 2 2 3 5 2 2 4 2" xfId="38788"/>
    <cellStyle name="Currency 2 2 3 5 2 2 5" xfId="26483"/>
    <cellStyle name="Currency 2 2 3 5 2 3" xfId="8091"/>
    <cellStyle name="Currency 2 2 3 5 2 3 2" xfId="14285"/>
    <cellStyle name="Currency 2 2 3 5 2 3 2 2" xfId="34168"/>
    <cellStyle name="Currency 2 2 3 5 2 3 3" xfId="20437"/>
    <cellStyle name="Currency 2 2 3 5 2 3 3 2" xfId="40320"/>
    <cellStyle name="Currency 2 2 3 5 2 3 4" xfId="28015"/>
    <cellStyle name="Currency 2 2 3 5 2 4" xfId="11219"/>
    <cellStyle name="Currency 2 2 3 5 2 4 2" xfId="31102"/>
    <cellStyle name="Currency 2 2 3 5 2 5" xfId="17371"/>
    <cellStyle name="Currency 2 2 3 5 2 5 2" xfId="37254"/>
    <cellStyle name="Currency 2 2 3 5 2 6" xfId="24949"/>
    <cellStyle name="Currency 2 2 3 5 3" xfId="5756"/>
    <cellStyle name="Currency 2 2 3 5 3 2" xfId="8857"/>
    <cellStyle name="Currency 2 2 3 5 3 2 2" xfId="15050"/>
    <cellStyle name="Currency 2 2 3 5 3 2 2 2" xfId="34933"/>
    <cellStyle name="Currency 2 2 3 5 3 2 3" xfId="21202"/>
    <cellStyle name="Currency 2 2 3 5 3 2 3 2" xfId="41085"/>
    <cellStyle name="Currency 2 2 3 5 3 2 4" xfId="28780"/>
    <cellStyle name="Currency 2 2 3 5 3 3" xfId="11984"/>
    <cellStyle name="Currency 2 2 3 5 3 3 2" xfId="31867"/>
    <cellStyle name="Currency 2 2 3 5 3 4" xfId="18136"/>
    <cellStyle name="Currency 2 2 3 5 3 4 2" xfId="38019"/>
    <cellStyle name="Currency 2 2 3 5 3 5" xfId="25714"/>
    <cellStyle name="Currency 2 2 3 5 4" xfId="7322"/>
    <cellStyle name="Currency 2 2 3 5 4 2" xfId="13516"/>
    <cellStyle name="Currency 2 2 3 5 4 2 2" xfId="33399"/>
    <cellStyle name="Currency 2 2 3 5 4 3" xfId="19668"/>
    <cellStyle name="Currency 2 2 3 5 4 3 2" xfId="39551"/>
    <cellStyle name="Currency 2 2 3 5 4 4" xfId="27246"/>
    <cellStyle name="Currency 2 2 3 5 5" xfId="10450"/>
    <cellStyle name="Currency 2 2 3 5 5 2" xfId="30333"/>
    <cellStyle name="Currency 2 2 3 5 6" xfId="16602"/>
    <cellStyle name="Currency 2 2 3 5 6 2" xfId="36485"/>
    <cellStyle name="Currency 2 2 3 5 7" xfId="24180"/>
    <cellStyle name="Currency 2 2 3 6" xfId="4911"/>
    <cellStyle name="Currency 2 2 3 6 2" xfId="6536"/>
    <cellStyle name="Currency 2 2 3 6 2 2" xfId="9622"/>
    <cellStyle name="Currency 2 2 3 6 2 2 2" xfId="15815"/>
    <cellStyle name="Currency 2 2 3 6 2 2 2 2" xfId="35698"/>
    <cellStyle name="Currency 2 2 3 6 2 2 3" xfId="21967"/>
    <cellStyle name="Currency 2 2 3 6 2 2 3 2" xfId="41850"/>
    <cellStyle name="Currency 2 2 3 6 2 2 4" xfId="29545"/>
    <cellStyle name="Currency 2 2 3 6 2 3" xfId="12749"/>
    <cellStyle name="Currency 2 2 3 6 2 3 2" xfId="32632"/>
    <cellStyle name="Currency 2 2 3 6 2 4" xfId="18901"/>
    <cellStyle name="Currency 2 2 3 6 2 4 2" xfId="38784"/>
    <cellStyle name="Currency 2 2 3 6 2 5" xfId="26479"/>
    <cellStyle name="Currency 2 2 3 6 3" xfId="8087"/>
    <cellStyle name="Currency 2 2 3 6 3 2" xfId="14281"/>
    <cellStyle name="Currency 2 2 3 6 3 2 2" xfId="34164"/>
    <cellStyle name="Currency 2 2 3 6 3 3" xfId="20433"/>
    <cellStyle name="Currency 2 2 3 6 3 3 2" xfId="40316"/>
    <cellStyle name="Currency 2 2 3 6 3 4" xfId="28011"/>
    <cellStyle name="Currency 2 2 3 6 4" xfId="11215"/>
    <cellStyle name="Currency 2 2 3 6 4 2" xfId="31098"/>
    <cellStyle name="Currency 2 2 3 6 5" xfId="17367"/>
    <cellStyle name="Currency 2 2 3 6 5 2" xfId="37250"/>
    <cellStyle name="Currency 2 2 3 6 6" xfId="24945"/>
    <cellStyle name="Currency 2 2 3 7" xfId="5752"/>
    <cellStyle name="Currency 2 2 3 7 2" xfId="8853"/>
    <cellStyle name="Currency 2 2 3 7 2 2" xfId="15046"/>
    <cellStyle name="Currency 2 2 3 7 2 2 2" xfId="34929"/>
    <cellStyle name="Currency 2 2 3 7 2 3" xfId="21198"/>
    <cellStyle name="Currency 2 2 3 7 2 3 2" xfId="41081"/>
    <cellStyle name="Currency 2 2 3 7 2 4" xfId="28776"/>
    <cellStyle name="Currency 2 2 3 7 3" xfId="11980"/>
    <cellStyle name="Currency 2 2 3 7 3 2" xfId="31863"/>
    <cellStyle name="Currency 2 2 3 7 4" xfId="18132"/>
    <cellStyle name="Currency 2 2 3 7 4 2" xfId="38015"/>
    <cellStyle name="Currency 2 2 3 7 5" xfId="25710"/>
    <cellStyle name="Currency 2 2 3 8" xfId="7318"/>
    <cellStyle name="Currency 2 2 3 8 2" xfId="13512"/>
    <cellStyle name="Currency 2 2 3 8 2 2" xfId="33395"/>
    <cellStyle name="Currency 2 2 3 8 3" xfId="19664"/>
    <cellStyle name="Currency 2 2 3 8 3 2" xfId="39547"/>
    <cellStyle name="Currency 2 2 3 8 4" xfId="27242"/>
    <cellStyle name="Currency 2 2 3 9" xfId="10446"/>
    <cellStyle name="Currency 2 2 3 9 2" xfId="30329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2 2" xfId="35703"/>
    <cellStyle name="Currency 2 2 4 2 2 2 3" xfId="21972"/>
    <cellStyle name="Currency 2 2 4 2 2 2 3 2" xfId="41855"/>
    <cellStyle name="Currency 2 2 4 2 2 2 4" xfId="29550"/>
    <cellStyle name="Currency 2 2 4 2 2 3" xfId="12754"/>
    <cellStyle name="Currency 2 2 4 2 2 3 2" xfId="32637"/>
    <cellStyle name="Currency 2 2 4 2 2 4" xfId="18906"/>
    <cellStyle name="Currency 2 2 4 2 2 4 2" xfId="38789"/>
    <cellStyle name="Currency 2 2 4 2 2 5" xfId="26484"/>
    <cellStyle name="Currency 2 2 4 2 3" xfId="8092"/>
    <cellStyle name="Currency 2 2 4 2 3 2" xfId="14286"/>
    <cellStyle name="Currency 2 2 4 2 3 2 2" xfId="34169"/>
    <cellStyle name="Currency 2 2 4 2 3 3" xfId="20438"/>
    <cellStyle name="Currency 2 2 4 2 3 3 2" xfId="40321"/>
    <cellStyle name="Currency 2 2 4 2 3 4" xfId="28016"/>
    <cellStyle name="Currency 2 2 4 2 4" xfId="11220"/>
    <cellStyle name="Currency 2 2 4 2 4 2" xfId="31103"/>
    <cellStyle name="Currency 2 2 4 2 5" xfId="17372"/>
    <cellStyle name="Currency 2 2 4 2 5 2" xfId="37255"/>
    <cellStyle name="Currency 2 2 4 2 6" xfId="24950"/>
    <cellStyle name="Currency 2 2 4 3" xfId="5757"/>
    <cellStyle name="Currency 2 2 4 3 2" xfId="8858"/>
    <cellStyle name="Currency 2 2 4 3 2 2" xfId="15051"/>
    <cellStyle name="Currency 2 2 4 3 2 2 2" xfId="34934"/>
    <cellStyle name="Currency 2 2 4 3 2 3" xfId="21203"/>
    <cellStyle name="Currency 2 2 4 3 2 3 2" xfId="41086"/>
    <cellStyle name="Currency 2 2 4 3 2 4" xfId="28781"/>
    <cellStyle name="Currency 2 2 4 3 3" xfId="11985"/>
    <cellStyle name="Currency 2 2 4 3 3 2" xfId="31868"/>
    <cellStyle name="Currency 2 2 4 3 4" xfId="18137"/>
    <cellStyle name="Currency 2 2 4 3 4 2" xfId="38020"/>
    <cellStyle name="Currency 2 2 4 3 5" xfId="25715"/>
    <cellStyle name="Currency 2 2 4 4" xfId="7323"/>
    <cellStyle name="Currency 2 2 4 4 2" xfId="13517"/>
    <cellStyle name="Currency 2 2 4 4 2 2" xfId="33400"/>
    <cellStyle name="Currency 2 2 4 4 3" xfId="19669"/>
    <cellStyle name="Currency 2 2 4 4 3 2" xfId="39552"/>
    <cellStyle name="Currency 2 2 4 4 4" xfId="27247"/>
    <cellStyle name="Currency 2 2 4 5" xfId="10451"/>
    <cellStyle name="Currency 2 2 4 5 2" xfId="30334"/>
    <cellStyle name="Currency 2 2 4 6" xfId="16603"/>
    <cellStyle name="Currency 2 2 4 6 2" xfId="36486"/>
    <cellStyle name="Currency 2 2 4 7" xfId="24181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2 2" xfId="35704"/>
    <cellStyle name="Currency 2 2 5 2 2 2 3" xfId="21973"/>
    <cellStyle name="Currency 2 2 5 2 2 2 3 2" xfId="41856"/>
    <cellStyle name="Currency 2 2 5 2 2 2 4" xfId="29551"/>
    <cellStyle name="Currency 2 2 5 2 2 3" xfId="12755"/>
    <cellStyle name="Currency 2 2 5 2 2 3 2" xfId="32638"/>
    <cellStyle name="Currency 2 2 5 2 2 4" xfId="18907"/>
    <cellStyle name="Currency 2 2 5 2 2 4 2" xfId="38790"/>
    <cellStyle name="Currency 2 2 5 2 2 5" xfId="26485"/>
    <cellStyle name="Currency 2 2 5 2 3" xfId="8093"/>
    <cellStyle name="Currency 2 2 5 2 3 2" xfId="14287"/>
    <cellStyle name="Currency 2 2 5 2 3 2 2" xfId="34170"/>
    <cellStyle name="Currency 2 2 5 2 3 3" xfId="20439"/>
    <cellStyle name="Currency 2 2 5 2 3 3 2" xfId="40322"/>
    <cellStyle name="Currency 2 2 5 2 3 4" xfId="28017"/>
    <cellStyle name="Currency 2 2 5 2 4" xfId="11221"/>
    <cellStyle name="Currency 2 2 5 2 4 2" xfId="31104"/>
    <cellStyle name="Currency 2 2 5 2 5" xfId="17373"/>
    <cellStyle name="Currency 2 2 5 2 5 2" xfId="37256"/>
    <cellStyle name="Currency 2 2 5 2 6" xfId="24951"/>
    <cellStyle name="Currency 2 2 5 3" xfId="5758"/>
    <cellStyle name="Currency 2 2 5 3 2" xfId="8859"/>
    <cellStyle name="Currency 2 2 5 3 2 2" xfId="15052"/>
    <cellStyle name="Currency 2 2 5 3 2 2 2" xfId="34935"/>
    <cellStyle name="Currency 2 2 5 3 2 3" xfId="21204"/>
    <cellStyle name="Currency 2 2 5 3 2 3 2" xfId="41087"/>
    <cellStyle name="Currency 2 2 5 3 2 4" xfId="28782"/>
    <cellStyle name="Currency 2 2 5 3 3" xfId="11986"/>
    <cellStyle name="Currency 2 2 5 3 3 2" xfId="31869"/>
    <cellStyle name="Currency 2 2 5 3 4" xfId="18138"/>
    <cellStyle name="Currency 2 2 5 3 4 2" xfId="38021"/>
    <cellStyle name="Currency 2 2 5 3 5" xfId="25716"/>
    <cellStyle name="Currency 2 2 5 4" xfId="7324"/>
    <cellStyle name="Currency 2 2 5 4 2" xfId="13518"/>
    <cellStyle name="Currency 2 2 5 4 2 2" xfId="33401"/>
    <cellStyle name="Currency 2 2 5 4 3" xfId="19670"/>
    <cellStyle name="Currency 2 2 5 4 3 2" xfId="39553"/>
    <cellStyle name="Currency 2 2 5 4 4" xfId="27248"/>
    <cellStyle name="Currency 2 2 5 5" xfId="10452"/>
    <cellStyle name="Currency 2 2 5 5 2" xfId="30335"/>
    <cellStyle name="Currency 2 2 5 6" xfId="16604"/>
    <cellStyle name="Currency 2 2 5 6 2" xfId="36487"/>
    <cellStyle name="Currency 2 2 5 7" xfId="24182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2 2" xfId="35705"/>
    <cellStyle name="Currency 2 2 6 2 2 2 3" xfId="21974"/>
    <cellStyle name="Currency 2 2 6 2 2 2 3 2" xfId="41857"/>
    <cellStyle name="Currency 2 2 6 2 2 2 4" xfId="29552"/>
    <cellStyle name="Currency 2 2 6 2 2 3" xfId="12756"/>
    <cellStyle name="Currency 2 2 6 2 2 3 2" xfId="32639"/>
    <cellStyle name="Currency 2 2 6 2 2 4" xfId="18908"/>
    <cellStyle name="Currency 2 2 6 2 2 4 2" xfId="38791"/>
    <cellStyle name="Currency 2 2 6 2 2 5" xfId="26486"/>
    <cellStyle name="Currency 2 2 6 2 3" xfId="8094"/>
    <cellStyle name="Currency 2 2 6 2 3 2" xfId="14288"/>
    <cellStyle name="Currency 2 2 6 2 3 2 2" xfId="34171"/>
    <cellStyle name="Currency 2 2 6 2 3 3" xfId="20440"/>
    <cellStyle name="Currency 2 2 6 2 3 3 2" xfId="40323"/>
    <cellStyle name="Currency 2 2 6 2 3 4" xfId="28018"/>
    <cellStyle name="Currency 2 2 6 2 4" xfId="11222"/>
    <cellStyle name="Currency 2 2 6 2 4 2" xfId="31105"/>
    <cellStyle name="Currency 2 2 6 2 5" xfId="17374"/>
    <cellStyle name="Currency 2 2 6 2 5 2" xfId="37257"/>
    <cellStyle name="Currency 2 2 6 2 6" xfId="24952"/>
    <cellStyle name="Currency 2 2 6 3" xfId="5759"/>
    <cellStyle name="Currency 2 2 6 3 2" xfId="8860"/>
    <cellStyle name="Currency 2 2 6 3 2 2" xfId="15053"/>
    <cellStyle name="Currency 2 2 6 3 2 2 2" xfId="34936"/>
    <cellStyle name="Currency 2 2 6 3 2 3" xfId="21205"/>
    <cellStyle name="Currency 2 2 6 3 2 3 2" xfId="41088"/>
    <cellStyle name="Currency 2 2 6 3 2 4" xfId="28783"/>
    <cellStyle name="Currency 2 2 6 3 3" xfId="11987"/>
    <cellStyle name="Currency 2 2 6 3 3 2" xfId="31870"/>
    <cellStyle name="Currency 2 2 6 3 4" xfId="18139"/>
    <cellStyle name="Currency 2 2 6 3 4 2" xfId="38022"/>
    <cellStyle name="Currency 2 2 6 3 5" xfId="25717"/>
    <cellStyle name="Currency 2 2 6 4" xfId="7325"/>
    <cellStyle name="Currency 2 2 6 4 2" xfId="13519"/>
    <cellStyle name="Currency 2 2 6 4 2 2" xfId="33402"/>
    <cellStyle name="Currency 2 2 6 4 3" xfId="19671"/>
    <cellStyle name="Currency 2 2 6 4 3 2" xfId="39554"/>
    <cellStyle name="Currency 2 2 6 4 4" xfId="27249"/>
    <cellStyle name="Currency 2 2 6 5" xfId="10453"/>
    <cellStyle name="Currency 2 2 6 5 2" xfId="30336"/>
    <cellStyle name="Currency 2 2 6 6" xfId="16605"/>
    <cellStyle name="Currency 2 2 6 6 2" xfId="36488"/>
    <cellStyle name="Currency 2 2 6 7" xfId="24183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2 2" xfId="35706"/>
    <cellStyle name="Currency 2 2 7 2 2 2 3" xfId="21975"/>
    <cellStyle name="Currency 2 2 7 2 2 2 3 2" xfId="41858"/>
    <cellStyle name="Currency 2 2 7 2 2 2 4" xfId="29553"/>
    <cellStyle name="Currency 2 2 7 2 2 3" xfId="12757"/>
    <cellStyle name="Currency 2 2 7 2 2 3 2" xfId="32640"/>
    <cellStyle name="Currency 2 2 7 2 2 4" xfId="18909"/>
    <cellStyle name="Currency 2 2 7 2 2 4 2" xfId="38792"/>
    <cellStyle name="Currency 2 2 7 2 2 5" xfId="26487"/>
    <cellStyle name="Currency 2 2 7 2 3" xfId="8095"/>
    <cellStyle name="Currency 2 2 7 2 3 2" xfId="14289"/>
    <cellStyle name="Currency 2 2 7 2 3 2 2" xfId="34172"/>
    <cellStyle name="Currency 2 2 7 2 3 3" xfId="20441"/>
    <cellStyle name="Currency 2 2 7 2 3 3 2" xfId="40324"/>
    <cellStyle name="Currency 2 2 7 2 3 4" xfId="28019"/>
    <cellStyle name="Currency 2 2 7 2 4" xfId="11223"/>
    <cellStyle name="Currency 2 2 7 2 4 2" xfId="31106"/>
    <cellStyle name="Currency 2 2 7 2 5" xfId="17375"/>
    <cellStyle name="Currency 2 2 7 2 5 2" xfId="37258"/>
    <cellStyle name="Currency 2 2 7 2 6" xfId="24953"/>
    <cellStyle name="Currency 2 2 7 3" xfId="5760"/>
    <cellStyle name="Currency 2 2 7 3 2" xfId="8861"/>
    <cellStyle name="Currency 2 2 7 3 2 2" xfId="15054"/>
    <cellStyle name="Currency 2 2 7 3 2 2 2" xfId="34937"/>
    <cellStyle name="Currency 2 2 7 3 2 3" xfId="21206"/>
    <cellStyle name="Currency 2 2 7 3 2 3 2" xfId="41089"/>
    <cellStyle name="Currency 2 2 7 3 2 4" xfId="28784"/>
    <cellStyle name="Currency 2 2 7 3 3" xfId="11988"/>
    <cellStyle name="Currency 2 2 7 3 3 2" xfId="31871"/>
    <cellStyle name="Currency 2 2 7 3 4" xfId="18140"/>
    <cellStyle name="Currency 2 2 7 3 4 2" xfId="38023"/>
    <cellStyle name="Currency 2 2 7 3 5" xfId="25718"/>
    <cellStyle name="Currency 2 2 7 4" xfId="7326"/>
    <cellStyle name="Currency 2 2 7 4 2" xfId="13520"/>
    <cellStyle name="Currency 2 2 7 4 2 2" xfId="33403"/>
    <cellStyle name="Currency 2 2 7 4 3" xfId="19672"/>
    <cellStyle name="Currency 2 2 7 4 3 2" xfId="39555"/>
    <cellStyle name="Currency 2 2 7 4 4" xfId="27250"/>
    <cellStyle name="Currency 2 2 7 5" xfId="10454"/>
    <cellStyle name="Currency 2 2 7 5 2" xfId="30337"/>
    <cellStyle name="Currency 2 2 7 6" xfId="16606"/>
    <cellStyle name="Currency 2 2 7 6 2" xfId="36489"/>
    <cellStyle name="Currency 2 2 7 7" xfId="24184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2 2" xfId="35707"/>
    <cellStyle name="Currency 2 2 8 2 2 2 3" xfId="21976"/>
    <cellStyle name="Currency 2 2 8 2 2 2 3 2" xfId="41859"/>
    <cellStyle name="Currency 2 2 8 2 2 2 4" xfId="29554"/>
    <cellStyle name="Currency 2 2 8 2 2 3" xfId="12758"/>
    <cellStyle name="Currency 2 2 8 2 2 3 2" xfId="32641"/>
    <cellStyle name="Currency 2 2 8 2 2 4" xfId="18910"/>
    <cellStyle name="Currency 2 2 8 2 2 4 2" xfId="38793"/>
    <cellStyle name="Currency 2 2 8 2 2 5" xfId="26488"/>
    <cellStyle name="Currency 2 2 8 2 3" xfId="8096"/>
    <cellStyle name="Currency 2 2 8 2 3 2" xfId="14290"/>
    <cellStyle name="Currency 2 2 8 2 3 2 2" xfId="34173"/>
    <cellStyle name="Currency 2 2 8 2 3 3" xfId="20442"/>
    <cellStyle name="Currency 2 2 8 2 3 3 2" xfId="40325"/>
    <cellStyle name="Currency 2 2 8 2 3 4" xfId="28020"/>
    <cellStyle name="Currency 2 2 8 2 4" xfId="11224"/>
    <cellStyle name="Currency 2 2 8 2 4 2" xfId="31107"/>
    <cellStyle name="Currency 2 2 8 2 5" xfId="17376"/>
    <cellStyle name="Currency 2 2 8 2 5 2" xfId="37259"/>
    <cellStyle name="Currency 2 2 8 2 6" xfId="24954"/>
    <cellStyle name="Currency 2 2 8 3" xfId="5761"/>
    <cellStyle name="Currency 2 2 8 3 2" xfId="8862"/>
    <cellStyle name="Currency 2 2 8 3 2 2" xfId="15055"/>
    <cellStyle name="Currency 2 2 8 3 2 2 2" xfId="34938"/>
    <cellStyle name="Currency 2 2 8 3 2 3" xfId="21207"/>
    <cellStyle name="Currency 2 2 8 3 2 3 2" xfId="41090"/>
    <cellStyle name="Currency 2 2 8 3 2 4" xfId="28785"/>
    <cellStyle name="Currency 2 2 8 3 3" xfId="11989"/>
    <cellStyle name="Currency 2 2 8 3 3 2" xfId="31872"/>
    <cellStyle name="Currency 2 2 8 3 4" xfId="18141"/>
    <cellStyle name="Currency 2 2 8 3 4 2" xfId="38024"/>
    <cellStyle name="Currency 2 2 8 3 5" xfId="25719"/>
    <cellStyle name="Currency 2 2 8 4" xfId="7327"/>
    <cellStyle name="Currency 2 2 8 4 2" xfId="13521"/>
    <cellStyle name="Currency 2 2 8 4 2 2" xfId="33404"/>
    <cellStyle name="Currency 2 2 8 4 3" xfId="19673"/>
    <cellStyle name="Currency 2 2 8 4 3 2" xfId="39556"/>
    <cellStyle name="Currency 2 2 8 4 4" xfId="27251"/>
    <cellStyle name="Currency 2 2 8 5" xfId="10455"/>
    <cellStyle name="Currency 2 2 8 5 2" xfId="30338"/>
    <cellStyle name="Currency 2 2 8 6" xfId="16607"/>
    <cellStyle name="Currency 2 2 8 6 2" xfId="36490"/>
    <cellStyle name="Currency 2 2 8 7" xfId="24185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2 2" xfId="35708"/>
    <cellStyle name="Currency 2 2 9 2 2 2 3" xfId="21977"/>
    <cellStyle name="Currency 2 2 9 2 2 2 3 2" xfId="41860"/>
    <cellStyle name="Currency 2 2 9 2 2 2 4" xfId="29555"/>
    <cellStyle name="Currency 2 2 9 2 2 3" xfId="12759"/>
    <cellStyle name="Currency 2 2 9 2 2 3 2" xfId="32642"/>
    <cellStyle name="Currency 2 2 9 2 2 4" xfId="18911"/>
    <cellStyle name="Currency 2 2 9 2 2 4 2" xfId="38794"/>
    <cellStyle name="Currency 2 2 9 2 2 5" xfId="26489"/>
    <cellStyle name="Currency 2 2 9 2 3" xfId="8097"/>
    <cellStyle name="Currency 2 2 9 2 3 2" xfId="14291"/>
    <cellStyle name="Currency 2 2 9 2 3 2 2" xfId="34174"/>
    <cellStyle name="Currency 2 2 9 2 3 3" xfId="20443"/>
    <cellStyle name="Currency 2 2 9 2 3 3 2" xfId="40326"/>
    <cellStyle name="Currency 2 2 9 2 3 4" xfId="28021"/>
    <cellStyle name="Currency 2 2 9 2 4" xfId="11225"/>
    <cellStyle name="Currency 2 2 9 2 4 2" xfId="31108"/>
    <cellStyle name="Currency 2 2 9 2 5" xfId="17377"/>
    <cellStyle name="Currency 2 2 9 2 5 2" xfId="37260"/>
    <cellStyle name="Currency 2 2 9 2 6" xfId="24955"/>
    <cellStyle name="Currency 2 2 9 3" xfId="5762"/>
    <cellStyle name="Currency 2 2 9 3 2" xfId="8863"/>
    <cellStyle name="Currency 2 2 9 3 2 2" xfId="15056"/>
    <cellStyle name="Currency 2 2 9 3 2 2 2" xfId="34939"/>
    <cellStyle name="Currency 2 2 9 3 2 3" xfId="21208"/>
    <cellStyle name="Currency 2 2 9 3 2 3 2" xfId="41091"/>
    <cellStyle name="Currency 2 2 9 3 2 4" xfId="28786"/>
    <cellStyle name="Currency 2 2 9 3 3" xfId="11990"/>
    <cellStyle name="Currency 2 2 9 3 3 2" xfId="31873"/>
    <cellStyle name="Currency 2 2 9 3 4" xfId="18142"/>
    <cellStyle name="Currency 2 2 9 3 4 2" xfId="38025"/>
    <cellStyle name="Currency 2 2 9 3 5" xfId="25720"/>
    <cellStyle name="Currency 2 2 9 4" xfId="7328"/>
    <cellStyle name="Currency 2 2 9 4 2" xfId="13522"/>
    <cellStyle name="Currency 2 2 9 4 2 2" xfId="33405"/>
    <cellStyle name="Currency 2 2 9 4 3" xfId="19674"/>
    <cellStyle name="Currency 2 2 9 4 3 2" xfId="39557"/>
    <cellStyle name="Currency 2 2 9 4 4" xfId="27252"/>
    <cellStyle name="Currency 2 2 9 5" xfId="10456"/>
    <cellStyle name="Currency 2 2 9 5 2" xfId="30339"/>
    <cellStyle name="Currency 2 2 9 6" xfId="16608"/>
    <cellStyle name="Currency 2 2 9 6 2" xfId="36491"/>
    <cellStyle name="Currency 2 2 9 7" xfId="24186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2 2" xfId="35683"/>
    <cellStyle name="Currency 2 27 2 2 2 3" xfId="21952"/>
    <cellStyle name="Currency 2 27 2 2 2 3 2" xfId="41835"/>
    <cellStyle name="Currency 2 27 2 2 2 4" xfId="29530"/>
    <cellStyle name="Currency 2 27 2 2 3" xfId="12734"/>
    <cellStyle name="Currency 2 27 2 2 3 2" xfId="32617"/>
    <cellStyle name="Currency 2 27 2 2 4" xfId="18886"/>
    <cellStyle name="Currency 2 27 2 2 4 2" xfId="38769"/>
    <cellStyle name="Currency 2 27 2 2 5" xfId="26464"/>
    <cellStyle name="Currency 2 27 2 3" xfId="8072"/>
    <cellStyle name="Currency 2 27 2 3 2" xfId="14266"/>
    <cellStyle name="Currency 2 27 2 3 2 2" xfId="34149"/>
    <cellStyle name="Currency 2 27 2 3 3" xfId="20418"/>
    <cellStyle name="Currency 2 27 2 3 3 2" xfId="40301"/>
    <cellStyle name="Currency 2 27 2 3 4" xfId="27996"/>
    <cellStyle name="Currency 2 27 2 4" xfId="11200"/>
    <cellStyle name="Currency 2 27 2 4 2" xfId="31083"/>
    <cellStyle name="Currency 2 27 2 5" xfId="17352"/>
    <cellStyle name="Currency 2 27 2 5 2" xfId="37235"/>
    <cellStyle name="Currency 2 27 2 6" xfId="24930"/>
    <cellStyle name="Currency 2 27 3" xfId="5737"/>
    <cellStyle name="Currency 2 27 3 2" xfId="8838"/>
    <cellStyle name="Currency 2 27 3 2 2" xfId="15031"/>
    <cellStyle name="Currency 2 27 3 2 2 2" xfId="34914"/>
    <cellStyle name="Currency 2 27 3 2 3" xfId="21183"/>
    <cellStyle name="Currency 2 27 3 2 3 2" xfId="41066"/>
    <cellStyle name="Currency 2 27 3 2 4" xfId="28761"/>
    <cellStyle name="Currency 2 27 3 3" xfId="11965"/>
    <cellStyle name="Currency 2 27 3 3 2" xfId="31848"/>
    <cellStyle name="Currency 2 27 3 4" xfId="18117"/>
    <cellStyle name="Currency 2 27 3 4 2" xfId="38000"/>
    <cellStyle name="Currency 2 27 3 5" xfId="25695"/>
    <cellStyle name="Currency 2 27 4" xfId="7303"/>
    <cellStyle name="Currency 2 27 4 2" xfId="13497"/>
    <cellStyle name="Currency 2 27 4 2 2" xfId="33380"/>
    <cellStyle name="Currency 2 27 4 3" xfId="19649"/>
    <cellStyle name="Currency 2 27 4 3 2" xfId="39532"/>
    <cellStyle name="Currency 2 27 4 4" xfId="27227"/>
    <cellStyle name="Currency 2 27 5" xfId="10431"/>
    <cellStyle name="Currency 2 27 5 2" xfId="30314"/>
    <cellStyle name="Currency 2 27 6" xfId="16583"/>
    <cellStyle name="Currency 2 27 6 2" xfId="36466"/>
    <cellStyle name="Currency 2 27 7" xfId="3147"/>
    <cellStyle name="Currency 2 27 7 2" xfId="24161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 6 2" xfId="43001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00" xfId="23329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2 2" xfId="35709"/>
    <cellStyle name="Currency 3 10 2 2 2 3" xfId="21978"/>
    <cellStyle name="Currency 3 10 2 2 2 3 2" xfId="41861"/>
    <cellStyle name="Currency 3 10 2 2 2 4" xfId="29556"/>
    <cellStyle name="Currency 3 10 2 2 3" xfId="12760"/>
    <cellStyle name="Currency 3 10 2 2 3 2" xfId="32643"/>
    <cellStyle name="Currency 3 10 2 2 4" xfId="18912"/>
    <cellStyle name="Currency 3 10 2 2 4 2" xfId="38795"/>
    <cellStyle name="Currency 3 10 2 2 5" xfId="26490"/>
    <cellStyle name="Currency 3 10 2 3" xfId="8098"/>
    <cellStyle name="Currency 3 10 2 3 2" xfId="14292"/>
    <cellStyle name="Currency 3 10 2 3 2 2" xfId="34175"/>
    <cellStyle name="Currency 3 10 2 3 3" xfId="20444"/>
    <cellStyle name="Currency 3 10 2 3 3 2" xfId="40327"/>
    <cellStyle name="Currency 3 10 2 3 4" xfId="28022"/>
    <cellStyle name="Currency 3 10 2 4" xfId="11226"/>
    <cellStyle name="Currency 3 10 2 4 2" xfId="31109"/>
    <cellStyle name="Currency 3 10 2 5" xfId="17378"/>
    <cellStyle name="Currency 3 10 2 5 2" xfId="37261"/>
    <cellStyle name="Currency 3 10 2 6" xfId="24956"/>
    <cellStyle name="Currency 3 10 3" xfId="5763"/>
    <cellStyle name="Currency 3 10 3 2" xfId="8864"/>
    <cellStyle name="Currency 3 10 3 2 2" xfId="15057"/>
    <cellStyle name="Currency 3 10 3 2 2 2" xfId="34940"/>
    <cellStyle name="Currency 3 10 3 2 3" xfId="21209"/>
    <cellStyle name="Currency 3 10 3 2 3 2" xfId="41092"/>
    <cellStyle name="Currency 3 10 3 2 4" xfId="28787"/>
    <cellStyle name="Currency 3 10 3 3" xfId="11991"/>
    <cellStyle name="Currency 3 10 3 3 2" xfId="31874"/>
    <cellStyle name="Currency 3 10 3 4" xfId="18143"/>
    <cellStyle name="Currency 3 10 3 4 2" xfId="38026"/>
    <cellStyle name="Currency 3 10 3 5" xfId="25721"/>
    <cellStyle name="Currency 3 10 4" xfId="7329"/>
    <cellStyle name="Currency 3 10 4 2" xfId="13523"/>
    <cellStyle name="Currency 3 10 4 2 2" xfId="33406"/>
    <cellStyle name="Currency 3 10 4 3" xfId="19675"/>
    <cellStyle name="Currency 3 10 4 3 2" xfId="39558"/>
    <cellStyle name="Currency 3 10 4 4" xfId="27253"/>
    <cellStyle name="Currency 3 10 5" xfId="10457"/>
    <cellStyle name="Currency 3 10 5 2" xfId="30340"/>
    <cellStyle name="Currency 3 10 6" xfId="16609"/>
    <cellStyle name="Currency 3 10 6 2" xfId="36492"/>
    <cellStyle name="Currency 3 10 7" xfId="3214"/>
    <cellStyle name="Currency 3 10 7 2" xfId="24187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2 2" xfId="35710"/>
    <cellStyle name="Currency 3 11 2 2 2 3" xfId="21979"/>
    <cellStyle name="Currency 3 11 2 2 2 3 2" xfId="41862"/>
    <cellStyle name="Currency 3 11 2 2 2 4" xfId="29557"/>
    <cellStyle name="Currency 3 11 2 2 3" xfId="12761"/>
    <cellStyle name="Currency 3 11 2 2 3 2" xfId="32644"/>
    <cellStyle name="Currency 3 11 2 2 4" xfId="18913"/>
    <cellStyle name="Currency 3 11 2 2 4 2" xfId="38796"/>
    <cellStyle name="Currency 3 11 2 2 5" xfId="26491"/>
    <cellStyle name="Currency 3 11 2 3" xfId="8099"/>
    <cellStyle name="Currency 3 11 2 3 2" xfId="14293"/>
    <cellStyle name="Currency 3 11 2 3 2 2" xfId="34176"/>
    <cellStyle name="Currency 3 11 2 3 3" xfId="20445"/>
    <cellStyle name="Currency 3 11 2 3 3 2" xfId="40328"/>
    <cellStyle name="Currency 3 11 2 3 4" xfId="28023"/>
    <cellStyle name="Currency 3 11 2 4" xfId="11227"/>
    <cellStyle name="Currency 3 11 2 4 2" xfId="31110"/>
    <cellStyle name="Currency 3 11 2 5" xfId="17379"/>
    <cellStyle name="Currency 3 11 2 5 2" xfId="37262"/>
    <cellStyle name="Currency 3 11 2 6" xfId="24957"/>
    <cellStyle name="Currency 3 11 3" xfId="5764"/>
    <cellStyle name="Currency 3 11 3 2" xfId="8865"/>
    <cellStyle name="Currency 3 11 3 2 2" xfId="15058"/>
    <cellStyle name="Currency 3 11 3 2 2 2" xfId="34941"/>
    <cellStyle name="Currency 3 11 3 2 3" xfId="21210"/>
    <cellStyle name="Currency 3 11 3 2 3 2" xfId="41093"/>
    <cellStyle name="Currency 3 11 3 2 4" xfId="28788"/>
    <cellStyle name="Currency 3 11 3 3" xfId="11992"/>
    <cellStyle name="Currency 3 11 3 3 2" xfId="31875"/>
    <cellStyle name="Currency 3 11 3 4" xfId="18144"/>
    <cellStyle name="Currency 3 11 3 4 2" xfId="38027"/>
    <cellStyle name="Currency 3 11 3 5" xfId="25722"/>
    <cellStyle name="Currency 3 11 4" xfId="7330"/>
    <cellStyle name="Currency 3 11 4 2" xfId="13524"/>
    <cellStyle name="Currency 3 11 4 2 2" xfId="33407"/>
    <cellStyle name="Currency 3 11 4 3" xfId="19676"/>
    <cellStyle name="Currency 3 11 4 3 2" xfId="39559"/>
    <cellStyle name="Currency 3 11 4 4" xfId="27254"/>
    <cellStyle name="Currency 3 11 5" xfId="10458"/>
    <cellStyle name="Currency 3 11 5 2" xfId="30341"/>
    <cellStyle name="Currency 3 11 6" xfId="16610"/>
    <cellStyle name="Currency 3 11 6 2" xfId="36493"/>
    <cellStyle name="Currency 3 11 7" xfId="3215"/>
    <cellStyle name="Currency 3 11 7 2" xfId="24188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2 2" xfId="35711"/>
    <cellStyle name="Currency 3 12 2 2 2 3" xfId="21980"/>
    <cellStyle name="Currency 3 12 2 2 2 3 2" xfId="41863"/>
    <cellStyle name="Currency 3 12 2 2 2 4" xfId="29558"/>
    <cellStyle name="Currency 3 12 2 2 3" xfId="12762"/>
    <cellStyle name="Currency 3 12 2 2 3 2" xfId="32645"/>
    <cellStyle name="Currency 3 12 2 2 4" xfId="18914"/>
    <cellStyle name="Currency 3 12 2 2 4 2" xfId="38797"/>
    <cellStyle name="Currency 3 12 2 2 5" xfId="26492"/>
    <cellStyle name="Currency 3 12 2 3" xfId="8100"/>
    <cellStyle name="Currency 3 12 2 3 2" xfId="14294"/>
    <cellStyle name="Currency 3 12 2 3 2 2" xfId="34177"/>
    <cellStyle name="Currency 3 12 2 3 3" xfId="20446"/>
    <cellStyle name="Currency 3 12 2 3 3 2" xfId="40329"/>
    <cellStyle name="Currency 3 12 2 3 4" xfId="28024"/>
    <cellStyle name="Currency 3 12 2 4" xfId="11228"/>
    <cellStyle name="Currency 3 12 2 4 2" xfId="31111"/>
    <cellStyle name="Currency 3 12 2 5" xfId="17380"/>
    <cellStyle name="Currency 3 12 2 5 2" xfId="37263"/>
    <cellStyle name="Currency 3 12 2 6" xfId="24958"/>
    <cellStyle name="Currency 3 12 3" xfId="5765"/>
    <cellStyle name="Currency 3 12 3 2" xfId="8866"/>
    <cellStyle name="Currency 3 12 3 2 2" xfId="15059"/>
    <cellStyle name="Currency 3 12 3 2 2 2" xfId="34942"/>
    <cellStyle name="Currency 3 12 3 2 3" xfId="21211"/>
    <cellStyle name="Currency 3 12 3 2 3 2" xfId="41094"/>
    <cellStyle name="Currency 3 12 3 2 4" xfId="28789"/>
    <cellStyle name="Currency 3 12 3 3" xfId="11993"/>
    <cellStyle name="Currency 3 12 3 3 2" xfId="31876"/>
    <cellStyle name="Currency 3 12 3 4" xfId="18145"/>
    <cellStyle name="Currency 3 12 3 4 2" xfId="38028"/>
    <cellStyle name="Currency 3 12 3 5" xfId="25723"/>
    <cellStyle name="Currency 3 12 4" xfId="7331"/>
    <cellStyle name="Currency 3 12 4 2" xfId="13525"/>
    <cellStyle name="Currency 3 12 4 2 2" xfId="33408"/>
    <cellStyle name="Currency 3 12 4 3" xfId="19677"/>
    <cellStyle name="Currency 3 12 4 3 2" xfId="39560"/>
    <cellStyle name="Currency 3 12 4 4" xfId="27255"/>
    <cellStyle name="Currency 3 12 5" xfId="10459"/>
    <cellStyle name="Currency 3 12 5 2" xfId="30342"/>
    <cellStyle name="Currency 3 12 6" xfId="16611"/>
    <cellStyle name="Currency 3 12 6 2" xfId="36494"/>
    <cellStyle name="Currency 3 12 7" xfId="3216"/>
    <cellStyle name="Currency 3 12 7 2" xfId="24189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2 2" xfId="35712"/>
    <cellStyle name="Currency 3 13 2 2 2 3" xfId="21981"/>
    <cellStyle name="Currency 3 13 2 2 2 3 2" xfId="41864"/>
    <cellStyle name="Currency 3 13 2 2 2 4" xfId="29559"/>
    <cellStyle name="Currency 3 13 2 2 3" xfId="12763"/>
    <cellStyle name="Currency 3 13 2 2 3 2" xfId="32646"/>
    <cellStyle name="Currency 3 13 2 2 4" xfId="18915"/>
    <cellStyle name="Currency 3 13 2 2 4 2" xfId="38798"/>
    <cellStyle name="Currency 3 13 2 2 5" xfId="26493"/>
    <cellStyle name="Currency 3 13 2 3" xfId="8101"/>
    <cellStyle name="Currency 3 13 2 3 2" xfId="14295"/>
    <cellStyle name="Currency 3 13 2 3 2 2" xfId="34178"/>
    <cellStyle name="Currency 3 13 2 3 3" xfId="20447"/>
    <cellStyle name="Currency 3 13 2 3 3 2" xfId="40330"/>
    <cellStyle name="Currency 3 13 2 3 4" xfId="28025"/>
    <cellStyle name="Currency 3 13 2 4" xfId="11229"/>
    <cellStyle name="Currency 3 13 2 4 2" xfId="31112"/>
    <cellStyle name="Currency 3 13 2 5" xfId="17381"/>
    <cellStyle name="Currency 3 13 2 5 2" xfId="37264"/>
    <cellStyle name="Currency 3 13 2 6" xfId="24959"/>
    <cellStyle name="Currency 3 13 3" xfId="5766"/>
    <cellStyle name="Currency 3 13 3 2" xfId="8867"/>
    <cellStyle name="Currency 3 13 3 2 2" xfId="15060"/>
    <cellStyle name="Currency 3 13 3 2 2 2" xfId="34943"/>
    <cellStyle name="Currency 3 13 3 2 3" xfId="21212"/>
    <cellStyle name="Currency 3 13 3 2 3 2" xfId="41095"/>
    <cellStyle name="Currency 3 13 3 2 4" xfId="28790"/>
    <cellStyle name="Currency 3 13 3 3" xfId="11994"/>
    <cellStyle name="Currency 3 13 3 3 2" xfId="31877"/>
    <cellStyle name="Currency 3 13 3 4" xfId="18146"/>
    <cellStyle name="Currency 3 13 3 4 2" xfId="38029"/>
    <cellStyle name="Currency 3 13 3 5" xfId="25724"/>
    <cellStyle name="Currency 3 13 4" xfId="7332"/>
    <cellStyle name="Currency 3 13 4 2" xfId="13526"/>
    <cellStyle name="Currency 3 13 4 2 2" xfId="33409"/>
    <cellStyle name="Currency 3 13 4 3" xfId="19678"/>
    <cellStyle name="Currency 3 13 4 3 2" xfId="39561"/>
    <cellStyle name="Currency 3 13 4 4" xfId="27256"/>
    <cellStyle name="Currency 3 13 5" xfId="10460"/>
    <cellStyle name="Currency 3 13 5 2" xfId="30343"/>
    <cellStyle name="Currency 3 13 6" xfId="16612"/>
    <cellStyle name="Currency 3 13 6 2" xfId="36495"/>
    <cellStyle name="Currency 3 13 7" xfId="3217"/>
    <cellStyle name="Currency 3 13 7 2" xfId="24190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2 2" xfId="35713"/>
    <cellStyle name="Currency 3 14 2 2 2 3" xfId="21982"/>
    <cellStyle name="Currency 3 14 2 2 2 3 2" xfId="41865"/>
    <cellStyle name="Currency 3 14 2 2 2 4" xfId="29560"/>
    <cellStyle name="Currency 3 14 2 2 3" xfId="12764"/>
    <cellStyle name="Currency 3 14 2 2 3 2" xfId="32647"/>
    <cellStyle name="Currency 3 14 2 2 4" xfId="18916"/>
    <cellStyle name="Currency 3 14 2 2 4 2" xfId="38799"/>
    <cellStyle name="Currency 3 14 2 2 5" xfId="26494"/>
    <cellStyle name="Currency 3 14 2 3" xfId="8102"/>
    <cellStyle name="Currency 3 14 2 3 2" xfId="14296"/>
    <cellStyle name="Currency 3 14 2 3 2 2" xfId="34179"/>
    <cellStyle name="Currency 3 14 2 3 3" xfId="20448"/>
    <cellStyle name="Currency 3 14 2 3 3 2" xfId="40331"/>
    <cellStyle name="Currency 3 14 2 3 4" xfId="28026"/>
    <cellStyle name="Currency 3 14 2 4" xfId="11230"/>
    <cellStyle name="Currency 3 14 2 4 2" xfId="31113"/>
    <cellStyle name="Currency 3 14 2 5" xfId="17382"/>
    <cellStyle name="Currency 3 14 2 5 2" xfId="37265"/>
    <cellStyle name="Currency 3 14 2 6" xfId="24960"/>
    <cellStyle name="Currency 3 14 3" xfId="5767"/>
    <cellStyle name="Currency 3 14 3 2" xfId="8868"/>
    <cellStyle name="Currency 3 14 3 2 2" xfId="15061"/>
    <cellStyle name="Currency 3 14 3 2 2 2" xfId="34944"/>
    <cellStyle name="Currency 3 14 3 2 3" xfId="21213"/>
    <cellStyle name="Currency 3 14 3 2 3 2" xfId="41096"/>
    <cellStyle name="Currency 3 14 3 2 4" xfId="28791"/>
    <cellStyle name="Currency 3 14 3 3" xfId="11995"/>
    <cellStyle name="Currency 3 14 3 3 2" xfId="31878"/>
    <cellStyle name="Currency 3 14 3 4" xfId="18147"/>
    <cellStyle name="Currency 3 14 3 4 2" xfId="38030"/>
    <cellStyle name="Currency 3 14 3 5" xfId="25725"/>
    <cellStyle name="Currency 3 14 4" xfId="7333"/>
    <cellStyle name="Currency 3 14 4 2" xfId="13527"/>
    <cellStyle name="Currency 3 14 4 2 2" xfId="33410"/>
    <cellStyle name="Currency 3 14 4 3" xfId="19679"/>
    <cellStyle name="Currency 3 14 4 3 2" xfId="39562"/>
    <cellStyle name="Currency 3 14 4 4" xfId="27257"/>
    <cellStyle name="Currency 3 14 5" xfId="10461"/>
    <cellStyle name="Currency 3 14 5 2" xfId="30344"/>
    <cellStyle name="Currency 3 14 6" xfId="16613"/>
    <cellStyle name="Currency 3 14 6 2" xfId="36496"/>
    <cellStyle name="Currency 3 14 7" xfId="3218"/>
    <cellStyle name="Currency 3 14 7 2" xfId="24191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2 2" xfId="35714"/>
    <cellStyle name="Currency 3 15 2 2 2 3" xfId="21983"/>
    <cellStyle name="Currency 3 15 2 2 2 3 2" xfId="41866"/>
    <cellStyle name="Currency 3 15 2 2 2 4" xfId="29561"/>
    <cellStyle name="Currency 3 15 2 2 3" xfId="12765"/>
    <cellStyle name="Currency 3 15 2 2 3 2" xfId="32648"/>
    <cellStyle name="Currency 3 15 2 2 4" xfId="18917"/>
    <cellStyle name="Currency 3 15 2 2 4 2" xfId="38800"/>
    <cellStyle name="Currency 3 15 2 2 5" xfId="26495"/>
    <cellStyle name="Currency 3 15 2 3" xfId="8103"/>
    <cellStyle name="Currency 3 15 2 3 2" xfId="14297"/>
    <cellStyle name="Currency 3 15 2 3 2 2" xfId="34180"/>
    <cellStyle name="Currency 3 15 2 3 3" xfId="20449"/>
    <cellStyle name="Currency 3 15 2 3 3 2" xfId="40332"/>
    <cellStyle name="Currency 3 15 2 3 4" xfId="28027"/>
    <cellStyle name="Currency 3 15 2 4" xfId="11231"/>
    <cellStyle name="Currency 3 15 2 4 2" xfId="31114"/>
    <cellStyle name="Currency 3 15 2 5" xfId="17383"/>
    <cellStyle name="Currency 3 15 2 5 2" xfId="37266"/>
    <cellStyle name="Currency 3 15 2 6" xfId="24961"/>
    <cellStyle name="Currency 3 15 3" xfId="5768"/>
    <cellStyle name="Currency 3 15 3 2" xfId="8869"/>
    <cellStyle name="Currency 3 15 3 2 2" xfId="15062"/>
    <cellStyle name="Currency 3 15 3 2 2 2" xfId="34945"/>
    <cellStyle name="Currency 3 15 3 2 3" xfId="21214"/>
    <cellStyle name="Currency 3 15 3 2 3 2" xfId="41097"/>
    <cellStyle name="Currency 3 15 3 2 4" xfId="28792"/>
    <cellStyle name="Currency 3 15 3 3" xfId="11996"/>
    <cellStyle name="Currency 3 15 3 3 2" xfId="31879"/>
    <cellStyle name="Currency 3 15 3 4" xfId="18148"/>
    <cellStyle name="Currency 3 15 3 4 2" xfId="38031"/>
    <cellStyle name="Currency 3 15 3 5" xfId="25726"/>
    <cellStyle name="Currency 3 15 4" xfId="7334"/>
    <cellStyle name="Currency 3 15 4 2" xfId="13528"/>
    <cellStyle name="Currency 3 15 4 2 2" xfId="33411"/>
    <cellStyle name="Currency 3 15 4 3" xfId="19680"/>
    <cellStyle name="Currency 3 15 4 3 2" xfId="39563"/>
    <cellStyle name="Currency 3 15 4 4" xfId="27258"/>
    <cellStyle name="Currency 3 15 5" xfId="10462"/>
    <cellStyle name="Currency 3 15 5 2" xfId="30345"/>
    <cellStyle name="Currency 3 15 6" xfId="16614"/>
    <cellStyle name="Currency 3 15 6 2" xfId="36497"/>
    <cellStyle name="Currency 3 15 7" xfId="3219"/>
    <cellStyle name="Currency 3 15 7 2" xfId="24192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2 2" xfId="35715"/>
    <cellStyle name="Currency 3 16 2 2 2 3" xfId="21984"/>
    <cellStyle name="Currency 3 16 2 2 2 3 2" xfId="41867"/>
    <cellStyle name="Currency 3 16 2 2 2 4" xfId="29562"/>
    <cellStyle name="Currency 3 16 2 2 3" xfId="12766"/>
    <cellStyle name="Currency 3 16 2 2 3 2" xfId="32649"/>
    <cellStyle name="Currency 3 16 2 2 4" xfId="18918"/>
    <cellStyle name="Currency 3 16 2 2 4 2" xfId="38801"/>
    <cellStyle name="Currency 3 16 2 2 5" xfId="26496"/>
    <cellStyle name="Currency 3 16 2 3" xfId="8104"/>
    <cellStyle name="Currency 3 16 2 3 2" xfId="14298"/>
    <cellStyle name="Currency 3 16 2 3 2 2" xfId="34181"/>
    <cellStyle name="Currency 3 16 2 3 3" xfId="20450"/>
    <cellStyle name="Currency 3 16 2 3 3 2" xfId="40333"/>
    <cellStyle name="Currency 3 16 2 3 4" xfId="28028"/>
    <cellStyle name="Currency 3 16 2 4" xfId="11232"/>
    <cellStyle name="Currency 3 16 2 4 2" xfId="31115"/>
    <cellStyle name="Currency 3 16 2 5" xfId="17384"/>
    <cellStyle name="Currency 3 16 2 5 2" xfId="37267"/>
    <cellStyle name="Currency 3 16 2 6" xfId="24962"/>
    <cellStyle name="Currency 3 16 3" xfId="5769"/>
    <cellStyle name="Currency 3 16 3 2" xfId="8870"/>
    <cellStyle name="Currency 3 16 3 2 2" xfId="15063"/>
    <cellStyle name="Currency 3 16 3 2 2 2" xfId="34946"/>
    <cellStyle name="Currency 3 16 3 2 3" xfId="21215"/>
    <cellStyle name="Currency 3 16 3 2 3 2" xfId="41098"/>
    <cellStyle name="Currency 3 16 3 2 4" xfId="28793"/>
    <cellStyle name="Currency 3 16 3 3" xfId="11997"/>
    <cellStyle name="Currency 3 16 3 3 2" xfId="31880"/>
    <cellStyle name="Currency 3 16 3 4" xfId="18149"/>
    <cellStyle name="Currency 3 16 3 4 2" xfId="38032"/>
    <cellStyle name="Currency 3 16 3 5" xfId="25727"/>
    <cellStyle name="Currency 3 16 4" xfId="7335"/>
    <cellStyle name="Currency 3 16 4 2" xfId="13529"/>
    <cellStyle name="Currency 3 16 4 2 2" xfId="33412"/>
    <cellStyle name="Currency 3 16 4 3" xfId="19681"/>
    <cellStyle name="Currency 3 16 4 3 2" xfId="39564"/>
    <cellStyle name="Currency 3 16 4 4" xfId="27259"/>
    <cellStyle name="Currency 3 16 5" xfId="10463"/>
    <cellStyle name="Currency 3 16 5 2" xfId="30346"/>
    <cellStyle name="Currency 3 16 6" xfId="16615"/>
    <cellStyle name="Currency 3 16 6 2" xfId="36498"/>
    <cellStyle name="Currency 3 16 7" xfId="3220"/>
    <cellStyle name="Currency 3 16 7 2" xfId="24193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2 2" xfId="35716"/>
    <cellStyle name="Currency 3 17 2 2 2 3" xfId="21985"/>
    <cellStyle name="Currency 3 17 2 2 2 3 2" xfId="41868"/>
    <cellStyle name="Currency 3 17 2 2 2 4" xfId="29563"/>
    <cellStyle name="Currency 3 17 2 2 3" xfId="12767"/>
    <cellStyle name="Currency 3 17 2 2 3 2" xfId="32650"/>
    <cellStyle name="Currency 3 17 2 2 4" xfId="18919"/>
    <cellStyle name="Currency 3 17 2 2 4 2" xfId="38802"/>
    <cellStyle name="Currency 3 17 2 2 5" xfId="26497"/>
    <cellStyle name="Currency 3 17 2 3" xfId="8105"/>
    <cellStyle name="Currency 3 17 2 3 2" xfId="14299"/>
    <cellStyle name="Currency 3 17 2 3 2 2" xfId="34182"/>
    <cellStyle name="Currency 3 17 2 3 3" xfId="20451"/>
    <cellStyle name="Currency 3 17 2 3 3 2" xfId="40334"/>
    <cellStyle name="Currency 3 17 2 3 4" xfId="28029"/>
    <cellStyle name="Currency 3 17 2 4" xfId="11233"/>
    <cellStyle name="Currency 3 17 2 4 2" xfId="31116"/>
    <cellStyle name="Currency 3 17 2 5" xfId="17385"/>
    <cellStyle name="Currency 3 17 2 5 2" xfId="37268"/>
    <cellStyle name="Currency 3 17 2 6" xfId="24963"/>
    <cellStyle name="Currency 3 17 3" xfId="5770"/>
    <cellStyle name="Currency 3 17 3 2" xfId="8871"/>
    <cellStyle name="Currency 3 17 3 2 2" xfId="15064"/>
    <cellStyle name="Currency 3 17 3 2 2 2" xfId="34947"/>
    <cellStyle name="Currency 3 17 3 2 3" xfId="21216"/>
    <cellStyle name="Currency 3 17 3 2 3 2" xfId="41099"/>
    <cellStyle name="Currency 3 17 3 2 4" xfId="28794"/>
    <cellStyle name="Currency 3 17 3 3" xfId="11998"/>
    <cellStyle name="Currency 3 17 3 3 2" xfId="31881"/>
    <cellStyle name="Currency 3 17 3 4" xfId="18150"/>
    <cellStyle name="Currency 3 17 3 4 2" xfId="38033"/>
    <cellStyle name="Currency 3 17 3 5" xfId="25728"/>
    <cellStyle name="Currency 3 17 4" xfId="7336"/>
    <cellStyle name="Currency 3 17 4 2" xfId="13530"/>
    <cellStyle name="Currency 3 17 4 2 2" xfId="33413"/>
    <cellStyle name="Currency 3 17 4 3" xfId="19682"/>
    <cellStyle name="Currency 3 17 4 3 2" xfId="39565"/>
    <cellStyle name="Currency 3 17 4 4" xfId="27260"/>
    <cellStyle name="Currency 3 17 5" xfId="10464"/>
    <cellStyle name="Currency 3 17 5 2" xfId="30347"/>
    <cellStyle name="Currency 3 17 6" xfId="16616"/>
    <cellStyle name="Currency 3 17 6 2" xfId="36499"/>
    <cellStyle name="Currency 3 17 7" xfId="3221"/>
    <cellStyle name="Currency 3 17 7 2" xfId="24194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2 2" xfId="35717"/>
    <cellStyle name="Currency 3 18 2 2 2 3" xfId="21986"/>
    <cellStyle name="Currency 3 18 2 2 2 3 2" xfId="41869"/>
    <cellStyle name="Currency 3 18 2 2 2 4" xfId="29564"/>
    <cellStyle name="Currency 3 18 2 2 3" xfId="12768"/>
    <cellStyle name="Currency 3 18 2 2 3 2" xfId="32651"/>
    <cellStyle name="Currency 3 18 2 2 4" xfId="18920"/>
    <cellStyle name="Currency 3 18 2 2 4 2" xfId="38803"/>
    <cellStyle name="Currency 3 18 2 2 5" xfId="26498"/>
    <cellStyle name="Currency 3 18 2 3" xfId="8106"/>
    <cellStyle name="Currency 3 18 2 3 2" xfId="14300"/>
    <cellStyle name="Currency 3 18 2 3 2 2" xfId="34183"/>
    <cellStyle name="Currency 3 18 2 3 3" xfId="20452"/>
    <cellStyle name="Currency 3 18 2 3 3 2" xfId="40335"/>
    <cellStyle name="Currency 3 18 2 3 4" xfId="28030"/>
    <cellStyle name="Currency 3 18 2 4" xfId="11234"/>
    <cellStyle name="Currency 3 18 2 4 2" xfId="31117"/>
    <cellStyle name="Currency 3 18 2 5" xfId="17386"/>
    <cellStyle name="Currency 3 18 2 5 2" xfId="37269"/>
    <cellStyle name="Currency 3 18 2 6" xfId="24964"/>
    <cellStyle name="Currency 3 18 3" xfId="5771"/>
    <cellStyle name="Currency 3 18 3 2" xfId="8872"/>
    <cellStyle name="Currency 3 18 3 2 2" xfId="15065"/>
    <cellStyle name="Currency 3 18 3 2 2 2" xfId="34948"/>
    <cellStyle name="Currency 3 18 3 2 3" xfId="21217"/>
    <cellStyle name="Currency 3 18 3 2 3 2" xfId="41100"/>
    <cellStyle name="Currency 3 18 3 2 4" xfId="28795"/>
    <cellStyle name="Currency 3 18 3 3" xfId="11999"/>
    <cellStyle name="Currency 3 18 3 3 2" xfId="31882"/>
    <cellStyle name="Currency 3 18 3 4" xfId="18151"/>
    <cellStyle name="Currency 3 18 3 4 2" xfId="38034"/>
    <cellStyle name="Currency 3 18 3 5" xfId="25729"/>
    <cellStyle name="Currency 3 18 4" xfId="7337"/>
    <cellStyle name="Currency 3 18 4 2" xfId="13531"/>
    <cellStyle name="Currency 3 18 4 2 2" xfId="33414"/>
    <cellStyle name="Currency 3 18 4 3" xfId="19683"/>
    <cellStyle name="Currency 3 18 4 3 2" xfId="39566"/>
    <cellStyle name="Currency 3 18 4 4" xfId="27261"/>
    <cellStyle name="Currency 3 18 5" xfId="10465"/>
    <cellStyle name="Currency 3 18 5 2" xfId="30348"/>
    <cellStyle name="Currency 3 18 6" xfId="16617"/>
    <cellStyle name="Currency 3 18 6 2" xfId="36500"/>
    <cellStyle name="Currency 3 18 7" xfId="3222"/>
    <cellStyle name="Currency 3 18 7 2" xfId="24195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2 2" xfId="35718"/>
    <cellStyle name="Currency 3 19 2 2 2 3" xfId="21987"/>
    <cellStyle name="Currency 3 19 2 2 2 3 2" xfId="41870"/>
    <cellStyle name="Currency 3 19 2 2 2 4" xfId="29565"/>
    <cellStyle name="Currency 3 19 2 2 3" xfId="12769"/>
    <cellStyle name="Currency 3 19 2 2 3 2" xfId="32652"/>
    <cellStyle name="Currency 3 19 2 2 4" xfId="18921"/>
    <cellStyle name="Currency 3 19 2 2 4 2" xfId="38804"/>
    <cellStyle name="Currency 3 19 2 2 5" xfId="26499"/>
    <cellStyle name="Currency 3 19 2 3" xfId="8107"/>
    <cellStyle name="Currency 3 19 2 3 2" xfId="14301"/>
    <cellStyle name="Currency 3 19 2 3 2 2" xfId="34184"/>
    <cellStyle name="Currency 3 19 2 3 3" xfId="20453"/>
    <cellStyle name="Currency 3 19 2 3 3 2" xfId="40336"/>
    <cellStyle name="Currency 3 19 2 3 4" xfId="28031"/>
    <cellStyle name="Currency 3 19 2 4" xfId="11235"/>
    <cellStyle name="Currency 3 19 2 4 2" xfId="31118"/>
    <cellStyle name="Currency 3 19 2 5" xfId="17387"/>
    <cellStyle name="Currency 3 19 2 5 2" xfId="37270"/>
    <cellStyle name="Currency 3 19 2 6" xfId="24965"/>
    <cellStyle name="Currency 3 19 3" xfId="5772"/>
    <cellStyle name="Currency 3 19 3 2" xfId="8873"/>
    <cellStyle name="Currency 3 19 3 2 2" xfId="15066"/>
    <cellStyle name="Currency 3 19 3 2 2 2" xfId="34949"/>
    <cellStyle name="Currency 3 19 3 2 3" xfId="21218"/>
    <cellStyle name="Currency 3 19 3 2 3 2" xfId="41101"/>
    <cellStyle name="Currency 3 19 3 2 4" xfId="28796"/>
    <cellStyle name="Currency 3 19 3 3" xfId="12000"/>
    <cellStyle name="Currency 3 19 3 3 2" xfId="31883"/>
    <cellStyle name="Currency 3 19 3 4" xfId="18152"/>
    <cellStyle name="Currency 3 19 3 4 2" xfId="38035"/>
    <cellStyle name="Currency 3 19 3 5" xfId="25730"/>
    <cellStyle name="Currency 3 19 4" xfId="7338"/>
    <cellStyle name="Currency 3 19 4 2" xfId="13532"/>
    <cellStyle name="Currency 3 19 4 2 2" xfId="33415"/>
    <cellStyle name="Currency 3 19 4 3" xfId="19684"/>
    <cellStyle name="Currency 3 19 4 3 2" xfId="39567"/>
    <cellStyle name="Currency 3 19 4 4" xfId="27262"/>
    <cellStyle name="Currency 3 19 5" xfId="10466"/>
    <cellStyle name="Currency 3 19 5 2" xfId="30349"/>
    <cellStyle name="Currency 3 19 6" xfId="16618"/>
    <cellStyle name="Currency 3 19 6 2" xfId="36501"/>
    <cellStyle name="Currency 3 19 7" xfId="3223"/>
    <cellStyle name="Currency 3 19 7 2" xfId="24196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2 2" xfId="35719"/>
    <cellStyle name="Currency 3 2 2 2 2 2 3" xfId="21988"/>
    <cellStyle name="Currency 3 2 2 2 2 2 3 2" xfId="41871"/>
    <cellStyle name="Currency 3 2 2 2 2 2 4" xfId="29566"/>
    <cellStyle name="Currency 3 2 2 2 2 3" xfId="12770"/>
    <cellStyle name="Currency 3 2 2 2 2 3 2" xfId="32653"/>
    <cellStyle name="Currency 3 2 2 2 2 4" xfId="18922"/>
    <cellStyle name="Currency 3 2 2 2 2 4 2" xfId="38805"/>
    <cellStyle name="Currency 3 2 2 2 2 5" xfId="26500"/>
    <cellStyle name="Currency 3 2 2 2 3" xfId="8108"/>
    <cellStyle name="Currency 3 2 2 2 3 2" xfId="14302"/>
    <cellStyle name="Currency 3 2 2 2 3 2 2" xfId="34185"/>
    <cellStyle name="Currency 3 2 2 2 3 3" xfId="20454"/>
    <cellStyle name="Currency 3 2 2 2 3 3 2" xfId="40337"/>
    <cellStyle name="Currency 3 2 2 2 3 4" xfId="28032"/>
    <cellStyle name="Currency 3 2 2 2 4" xfId="11236"/>
    <cellStyle name="Currency 3 2 2 2 4 2" xfId="31119"/>
    <cellStyle name="Currency 3 2 2 2 5" xfId="17388"/>
    <cellStyle name="Currency 3 2 2 2 5 2" xfId="37271"/>
    <cellStyle name="Currency 3 2 2 2 6" xfId="24966"/>
    <cellStyle name="Currency 3 2 2 3" xfId="5773"/>
    <cellStyle name="Currency 3 2 2 3 2" xfId="8874"/>
    <cellStyle name="Currency 3 2 2 3 2 2" xfId="15067"/>
    <cellStyle name="Currency 3 2 2 3 2 2 2" xfId="34950"/>
    <cellStyle name="Currency 3 2 2 3 2 3" xfId="21219"/>
    <cellStyle name="Currency 3 2 2 3 2 3 2" xfId="41102"/>
    <cellStyle name="Currency 3 2 2 3 2 4" xfId="28797"/>
    <cellStyle name="Currency 3 2 2 3 3" xfId="12001"/>
    <cellStyle name="Currency 3 2 2 3 3 2" xfId="31884"/>
    <cellStyle name="Currency 3 2 2 3 4" xfId="18153"/>
    <cellStyle name="Currency 3 2 2 3 4 2" xfId="38036"/>
    <cellStyle name="Currency 3 2 2 3 5" xfId="25731"/>
    <cellStyle name="Currency 3 2 2 4" xfId="7339"/>
    <cellStyle name="Currency 3 2 2 4 2" xfId="13533"/>
    <cellStyle name="Currency 3 2 2 4 2 2" xfId="33416"/>
    <cellStyle name="Currency 3 2 2 4 3" xfId="19685"/>
    <cellStyle name="Currency 3 2 2 4 3 2" xfId="39568"/>
    <cellStyle name="Currency 3 2 2 4 4" xfId="27263"/>
    <cellStyle name="Currency 3 2 2 5" xfId="10467"/>
    <cellStyle name="Currency 3 2 2 5 2" xfId="30350"/>
    <cellStyle name="Currency 3 2 2 6" xfId="16619"/>
    <cellStyle name="Currency 3 2 2 6 2" xfId="36502"/>
    <cellStyle name="Currency 3 2 2 7" xfId="3225"/>
    <cellStyle name="Currency 3 2 2 7 2" xfId="24197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2 2" xfId="35720"/>
    <cellStyle name="Currency 3 2 3 2 2 2 3" xfId="21989"/>
    <cellStyle name="Currency 3 2 3 2 2 2 3 2" xfId="41872"/>
    <cellStyle name="Currency 3 2 3 2 2 2 4" xfId="29567"/>
    <cellStyle name="Currency 3 2 3 2 2 3" xfId="12771"/>
    <cellStyle name="Currency 3 2 3 2 2 3 2" xfId="32654"/>
    <cellStyle name="Currency 3 2 3 2 2 4" xfId="18923"/>
    <cellStyle name="Currency 3 2 3 2 2 4 2" xfId="38806"/>
    <cellStyle name="Currency 3 2 3 2 2 5" xfId="26501"/>
    <cellStyle name="Currency 3 2 3 2 3" xfId="8109"/>
    <cellStyle name="Currency 3 2 3 2 3 2" xfId="14303"/>
    <cellStyle name="Currency 3 2 3 2 3 2 2" xfId="34186"/>
    <cellStyle name="Currency 3 2 3 2 3 3" xfId="20455"/>
    <cellStyle name="Currency 3 2 3 2 3 3 2" xfId="40338"/>
    <cellStyle name="Currency 3 2 3 2 3 4" xfId="28033"/>
    <cellStyle name="Currency 3 2 3 2 4" xfId="11237"/>
    <cellStyle name="Currency 3 2 3 2 4 2" xfId="31120"/>
    <cellStyle name="Currency 3 2 3 2 5" xfId="17389"/>
    <cellStyle name="Currency 3 2 3 2 5 2" xfId="37272"/>
    <cellStyle name="Currency 3 2 3 2 6" xfId="24967"/>
    <cellStyle name="Currency 3 2 3 3" xfId="5774"/>
    <cellStyle name="Currency 3 2 3 3 2" xfId="8875"/>
    <cellStyle name="Currency 3 2 3 3 2 2" xfId="15068"/>
    <cellStyle name="Currency 3 2 3 3 2 2 2" xfId="34951"/>
    <cellStyle name="Currency 3 2 3 3 2 3" xfId="21220"/>
    <cellStyle name="Currency 3 2 3 3 2 3 2" xfId="41103"/>
    <cellStyle name="Currency 3 2 3 3 2 4" xfId="28798"/>
    <cellStyle name="Currency 3 2 3 3 3" xfId="12002"/>
    <cellStyle name="Currency 3 2 3 3 3 2" xfId="31885"/>
    <cellStyle name="Currency 3 2 3 3 4" xfId="18154"/>
    <cellStyle name="Currency 3 2 3 3 4 2" xfId="38037"/>
    <cellStyle name="Currency 3 2 3 3 5" xfId="25732"/>
    <cellStyle name="Currency 3 2 3 4" xfId="7340"/>
    <cellStyle name="Currency 3 2 3 4 2" xfId="13534"/>
    <cellStyle name="Currency 3 2 3 4 2 2" xfId="33417"/>
    <cellStyle name="Currency 3 2 3 4 3" xfId="19686"/>
    <cellStyle name="Currency 3 2 3 4 3 2" xfId="39569"/>
    <cellStyle name="Currency 3 2 3 4 4" xfId="27264"/>
    <cellStyle name="Currency 3 2 3 5" xfId="10468"/>
    <cellStyle name="Currency 3 2 3 5 2" xfId="30351"/>
    <cellStyle name="Currency 3 2 3 6" xfId="16620"/>
    <cellStyle name="Currency 3 2 3 6 2" xfId="36503"/>
    <cellStyle name="Currency 3 2 3 7" xfId="24198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2 2" xfId="35721"/>
    <cellStyle name="Currency 3 2 4 2 2 2 3" xfId="21990"/>
    <cellStyle name="Currency 3 2 4 2 2 2 3 2" xfId="41873"/>
    <cellStyle name="Currency 3 2 4 2 2 2 4" xfId="29568"/>
    <cellStyle name="Currency 3 2 4 2 2 3" xfId="12772"/>
    <cellStyle name="Currency 3 2 4 2 2 3 2" xfId="32655"/>
    <cellStyle name="Currency 3 2 4 2 2 4" xfId="18924"/>
    <cellStyle name="Currency 3 2 4 2 2 4 2" xfId="38807"/>
    <cellStyle name="Currency 3 2 4 2 2 5" xfId="26502"/>
    <cellStyle name="Currency 3 2 4 2 3" xfId="8110"/>
    <cellStyle name="Currency 3 2 4 2 3 2" xfId="14304"/>
    <cellStyle name="Currency 3 2 4 2 3 2 2" xfId="34187"/>
    <cellStyle name="Currency 3 2 4 2 3 3" xfId="20456"/>
    <cellStyle name="Currency 3 2 4 2 3 3 2" xfId="40339"/>
    <cellStyle name="Currency 3 2 4 2 3 4" xfId="28034"/>
    <cellStyle name="Currency 3 2 4 2 4" xfId="11238"/>
    <cellStyle name="Currency 3 2 4 2 4 2" xfId="31121"/>
    <cellStyle name="Currency 3 2 4 2 5" xfId="17390"/>
    <cellStyle name="Currency 3 2 4 2 5 2" xfId="37273"/>
    <cellStyle name="Currency 3 2 4 2 6" xfId="24968"/>
    <cellStyle name="Currency 3 2 4 3" xfId="5775"/>
    <cellStyle name="Currency 3 2 4 3 2" xfId="8876"/>
    <cellStyle name="Currency 3 2 4 3 2 2" xfId="15069"/>
    <cellStyle name="Currency 3 2 4 3 2 2 2" xfId="34952"/>
    <cellStyle name="Currency 3 2 4 3 2 3" xfId="21221"/>
    <cellStyle name="Currency 3 2 4 3 2 3 2" xfId="41104"/>
    <cellStyle name="Currency 3 2 4 3 2 4" xfId="28799"/>
    <cellStyle name="Currency 3 2 4 3 3" xfId="12003"/>
    <cellStyle name="Currency 3 2 4 3 3 2" xfId="31886"/>
    <cellStyle name="Currency 3 2 4 3 4" xfId="18155"/>
    <cellStyle name="Currency 3 2 4 3 4 2" xfId="38038"/>
    <cellStyle name="Currency 3 2 4 3 5" xfId="25733"/>
    <cellStyle name="Currency 3 2 4 4" xfId="7341"/>
    <cellStyle name="Currency 3 2 4 4 2" xfId="13535"/>
    <cellStyle name="Currency 3 2 4 4 2 2" xfId="33418"/>
    <cellStyle name="Currency 3 2 4 4 3" xfId="19687"/>
    <cellStyle name="Currency 3 2 4 4 3 2" xfId="39570"/>
    <cellStyle name="Currency 3 2 4 4 4" xfId="27265"/>
    <cellStyle name="Currency 3 2 4 5" xfId="10469"/>
    <cellStyle name="Currency 3 2 4 5 2" xfId="30352"/>
    <cellStyle name="Currency 3 2 4 6" xfId="16621"/>
    <cellStyle name="Currency 3 2 4 6 2" xfId="36504"/>
    <cellStyle name="Currency 3 2 4 7" xfId="24199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2 2" xfId="35722"/>
    <cellStyle name="Currency 3 2 5 2 2 2 3" xfId="21991"/>
    <cellStyle name="Currency 3 2 5 2 2 2 3 2" xfId="41874"/>
    <cellStyle name="Currency 3 2 5 2 2 2 4" xfId="29569"/>
    <cellStyle name="Currency 3 2 5 2 2 3" xfId="12773"/>
    <cellStyle name="Currency 3 2 5 2 2 3 2" xfId="32656"/>
    <cellStyle name="Currency 3 2 5 2 2 4" xfId="18925"/>
    <cellStyle name="Currency 3 2 5 2 2 4 2" xfId="38808"/>
    <cellStyle name="Currency 3 2 5 2 2 5" xfId="26503"/>
    <cellStyle name="Currency 3 2 5 2 3" xfId="8111"/>
    <cellStyle name="Currency 3 2 5 2 3 2" xfId="14305"/>
    <cellStyle name="Currency 3 2 5 2 3 2 2" xfId="34188"/>
    <cellStyle name="Currency 3 2 5 2 3 3" xfId="20457"/>
    <cellStyle name="Currency 3 2 5 2 3 3 2" xfId="40340"/>
    <cellStyle name="Currency 3 2 5 2 3 4" xfId="28035"/>
    <cellStyle name="Currency 3 2 5 2 4" xfId="11239"/>
    <cellStyle name="Currency 3 2 5 2 4 2" xfId="31122"/>
    <cellStyle name="Currency 3 2 5 2 5" xfId="17391"/>
    <cellStyle name="Currency 3 2 5 2 5 2" xfId="37274"/>
    <cellStyle name="Currency 3 2 5 2 6" xfId="24969"/>
    <cellStyle name="Currency 3 2 5 3" xfId="5776"/>
    <cellStyle name="Currency 3 2 5 3 2" xfId="8877"/>
    <cellStyle name="Currency 3 2 5 3 2 2" xfId="15070"/>
    <cellStyle name="Currency 3 2 5 3 2 2 2" xfId="34953"/>
    <cellStyle name="Currency 3 2 5 3 2 3" xfId="21222"/>
    <cellStyle name="Currency 3 2 5 3 2 3 2" xfId="41105"/>
    <cellStyle name="Currency 3 2 5 3 2 4" xfId="28800"/>
    <cellStyle name="Currency 3 2 5 3 3" xfId="12004"/>
    <cellStyle name="Currency 3 2 5 3 3 2" xfId="31887"/>
    <cellStyle name="Currency 3 2 5 3 4" xfId="18156"/>
    <cellStyle name="Currency 3 2 5 3 4 2" xfId="38039"/>
    <cellStyle name="Currency 3 2 5 3 5" xfId="25734"/>
    <cellStyle name="Currency 3 2 5 4" xfId="7342"/>
    <cellStyle name="Currency 3 2 5 4 2" xfId="13536"/>
    <cellStyle name="Currency 3 2 5 4 2 2" xfId="33419"/>
    <cellStyle name="Currency 3 2 5 4 3" xfId="19688"/>
    <cellStyle name="Currency 3 2 5 4 3 2" xfId="39571"/>
    <cellStyle name="Currency 3 2 5 4 4" xfId="27266"/>
    <cellStyle name="Currency 3 2 5 5" xfId="10470"/>
    <cellStyle name="Currency 3 2 5 5 2" xfId="30353"/>
    <cellStyle name="Currency 3 2 5 6" xfId="16622"/>
    <cellStyle name="Currency 3 2 5 6 2" xfId="36505"/>
    <cellStyle name="Currency 3 2 5 7" xfId="24200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2 2" xfId="35723"/>
    <cellStyle name="Currency 3 20 2 2 2 3" xfId="21992"/>
    <cellStyle name="Currency 3 20 2 2 2 3 2" xfId="41875"/>
    <cellStyle name="Currency 3 20 2 2 2 4" xfId="29570"/>
    <cellStyle name="Currency 3 20 2 2 3" xfId="12774"/>
    <cellStyle name="Currency 3 20 2 2 3 2" xfId="32657"/>
    <cellStyle name="Currency 3 20 2 2 4" xfId="18926"/>
    <cellStyle name="Currency 3 20 2 2 4 2" xfId="38809"/>
    <cellStyle name="Currency 3 20 2 2 5" xfId="26504"/>
    <cellStyle name="Currency 3 20 2 3" xfId="8112"/>
    <cellStyle name="Currency 3 20 2 3 2" xfId="14306"/>
    <cellStyle name="Currency 3 20 2 3 2 2" xfId="34189"/>
    <cellStyle name="Currency 3 20 2 3 3" xfId="20458"/>
    <cellStyle name="Currency 3 20 2 3 3 2" xfId="40341"/>
    <cellStyle name="Currency 3 20 2 3 4" xfId="28036"/>
    <cellStyle name="Currency 3 20 2 4" xfId="11240"/>
    <cellStyle name="Currency 3 20 2 4 2" xfId="31123"/>
    <cellStyle name="Currency 3 20 2 5" xfId="17392"/>
    <cellStyle name="Currency 3 20 2 5 2" xfId="37275"/>
    <cellStyle name="Currency 3 20 2 6" xfId="24970"/>
    <cellStyle name="Currency 3 20 3" xfId="5777"/>
    <cellStyle name="Currency 3 20 3 2" xfId="8878"/>
    <cellStyle name="Currency 3 20 3 2 2" xfId="15071"/>
    <cellStyle name="Currency 3 20 3 2 2 2" xfId="34954"/>
    <cellStyle name="Currency 3 20 3 2 3" xfId="21223"/>
    <cellStyle name="Currency 3 20 3 2 3 2" xfId="41106"/>
    <cellStyle name="Currency 3 20 3 2 4" xfId="28801"/>
    <cellStyle name="Currency 3 20 3 3" xfId="12005"/>
    <cellStyle name="Currency 3 20 3 3 2" xfId="31888"/>
    <cellStyle name="Currency 3 20 3 4" xfId="18157"/>
    <cellStyle name="Currency 3 20 3 4 2" xfId="38040"/>
    <cellStyle name="Currency 3 20 3 5" xfId="25735"/>
    <cellStyle name="Currency 3 20 4" xfId="7343"/>
    <cellStyle name="Currency 3 20 4 2" xfId="13537"/>
    <cellStyle name="Currency 3 20 4 2 2" xfId="33420"/>
    <cellStyle name="Currency 3 20 4 3" xfId="19689"/>
    <cellStyle name="Currency 3 20 4 3 2" xfId="39572"/>
    <cellStyle name="Currency 3 20 4 4" xfId="27267"/>
    <cellStyle name="Currency 3 20 5" xfId="10471"/>
    <cellStyle name="Currency 3 20 5 2" xfId="30354"/>
    <cellStyle name="Currency 3 20 6" xfId="16623"/>
    <cellStyle name="Currency 3 20 6 2" xfId="36506"/>
    <cellStyle name="Currency 3 20 7" xfId="3231"/>
    <cellStyle name="Currency 3 20 7 2" xfId="2420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2 2" xfId="35724"/>
    <cellStyle name="Currency 3 21 2 2 2 3" xfId="21993"/>
    <cellStyle name="Currency 3 21 2 2 2 3 2" xfId="41876"/>
    <cellStyle name="Currency 3 21 2 2 2 4" xfId="29571"/>
    <cellStyle name="Currency 3 21 2 2 3" xfId="12775"/>
    <cellStyle name="Currency 3 21 2 2 3 2" xfId="32658"/>
    <cellStyle name="Currency 3 21 2 2 4" xfId="18927"/>
    <cellStyle name="Currency 3 21 2 2 4 2" xfId="38810"/>
    <cellStyle name="Currency 3 21 2 2 5" xfId="26505"/>
    <cellStyle name="Currency 3 21 2 3" xfId="8113"/>
    <cellStyle name="Currency 3 21 2 3 2" xfId="14307"/>
    <cellStyle name="Currency 3 21 2 3 2 2" xfId="34190"/>
    <cellStyle name="Currency 3 21 2 3 3" xfId="20459"/>
    <cellStyle name="Currency 3 21 2 3 3 2" xfId="40342"/>
    <cellStyle name="Currency 3 21 2 3 4" xfId="28037"/>
    <cellStyle name="Currency 3 21 2 4" xfId="11241"/>
    <cellStyle name="Currency 3 21 2 4 2" xfId="31124"/>
    <cellStyle name="Currency 3 21 2 5" xfId="17393"/>
    <cellStyle name="Currency 3 21 2 5 2" xfId="37276"/>
    <cellStyle name="Currency 3 21 2 6" xfId="24971"/>
    <cellStyle name="Currency 3 21 3" xfId="5778"/>
    <cellStyle name="Currency 3 21 3 2" xfId="8879"/>
    <cellStyle name="Currency 3 21 3 2 2" xfId="15072"/>
    <cellStyle name="Currency 3 21 3 2 2 2" xfId="34955"/>
    <cellStyle name="Currency 3 21 3 2 3" xfId="21224"/>
    <cellStyle name="Currency 3 21 3 2 3 2" xfId="41107"/>
    <cellStyle name="Currency 3 21 3 2 4" xfId="28802"/>
    <cellStyle name="Currency 3 21 3 3" xfId="12006"/>
    <cellStyle name="Currency 3 21 3 3 2" xfId="31889"/>
    <cellStyle name="Currency 3 21 3 4" xfId="18158"/>
    <cellStyle name="Currency 3 21 3 4 2" xfId="38041"/>
    <cellStyle name="Currency 3 21 3 5" xfId="25736"/>
    <cellStyle name="Currency 3 21 4" xfId="7344"/>
    <cellStyle name="Currency 3 21 4 2" xfId="13538"/>
    <cellStyle name="Currency 3 21 4 2 2" xfId="33421"/>
    <cellStyle name="Currency 3 21 4 3" xfId="19690"/>
    <cellStyle name="Currency 3 21 4 3 2" xfId="39573"/>
    <cellStyle name="Currency 3 21 4 4" xfId="27268"/>
    <cellStyle name="Currency 3 21 5" xfId="10472"/>
    <cellStyle name="Currency 3 21 5 2" xfId="30355"/>
    <cellStyle name="Currency 3 21 6" xfId="16624"/>
    <cellStyle name="Currency 3 21 6 2" xfId="36507"/>
    <cellStyle name="Currency 3 21 7" xfId="3232"/>
    <cellStyle name="Currency 3 21 7 2" xfId="2420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2 2" xfId="33422"/>
    <cellStyle name="Currency 3 3 10 3" xfId="19691"/>
    <cellStyle name="Currency 3 3 10 3 2" xfId="39574"/>
    <cellStyle name="Currency 3 3 10 4" xfId="27269"/>
    <cellStyle name="Currency 3 3 11" xfId="10257"/>
    <cellStyle name="Currency 3 3 12" xfId="10473"/>
    <cellStyle name="Currency 3 3 12 2" xfId="30356"/>
    <cellStyle name="Currency 3 3 13" xfId="16625"/>
    <cellStyle name="Currency 3 3 13 2" xfId="36508"/>
    <cellStyle name="Currency 3 3 14" xfId="3236"/>
    <cellStyle name="Currency 3 3 14 2" xfId="24203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2 2" xfId="35726"/>
    <cellStyle name="Currency 3 3 2 2 2 2 3" xfId="21995"/>
    <cellStyle name="Currency 3 3 2 2 2 2 3 2" xfId="41878"/>
    <cellStyle name="Currency 3 3 2 2 2 2 4" xfId="29573"/>
    <cellStyle name="Currency 3 3 2 2 2 3" xfId="12777"/>
    <cellStyle name="Currency 3 3 2 2 2 3 2" xfId="32660"/>
    <cellStyle name="Currency 3 3 2 2 2 4" xfId="18929"/>
    <cellStyle name="Currency 3 3 2 2 2 4 2" xfId="38812"/>
    <cellStyle name="Currency 3 3 2 2 2 5" xfId="26507"/>
    <cellStyle name="Currency 3 3 2 2 3" xfId="8115"/>
    <cellStyle name="Currency 3 3 2 2 3 2" xfId="14309"/>
    <cellStyle name="Currency 3 3 2 2 3 2 2" xfId="34192"/>
    <cellStyle name="Currency 3 3 2 2 3 3" xfId="20461"/>
    <cellStyle name="Currency 3 3 2 2 3 3 2" xfId="40344"/>
    <cellStyle name="Currency 3 3 2 2 3 4" xfId="28039"/>
    <cellStyle name="Currency 3 3 2 2 4" xfId="11243"/>
    <cellStyle name="Currency 3 3 2 2 4 2" xfId="31126"/>
    <cellStyle name="Currency 3 3 2 2 5" xfId="17395"/>
    <cellStyle name="Currency 3 3 2 2 5 2" xfId="37278"/>
    <cellStyle name="Currency 3 3 2 2 6" xfId="24973"/>
    <cellStyle name="Currency 3 3 2 3" xfId="5780"/>
    <cellStyle name="Currency 3 3 2 3 2" xfId="8881"/>
    <cellStyle name="Currency 3 3 2 3 2 2" xfId="15074"/>
    <cellStyle name="Currency 3 3 2 3 2 2 2" xfId="34957"/>
    <cellStyle name="Currency 3 3 2 3 2 3" xfId="21226"/>
    <cellStyle name="Currency 3 3 2 3 2 3 2" xfId="41109"/>
    <cellStyle name="Currency 3 3 2 3 2 4" xfId="28804"/>
    <cellStyle name="Currency 3 3 2 3 3" xfId="12008"/>
    <cellStyle name="Currency 3 3 2 3 3 2" xfId="31891"/>
    <cellStyle name="Currency 3 3 2 3 4" xfId="18160"/>
    <cellStyle name="Currency 3 3 2 3 4 2" xfId="38043"/>
    <cellStyle name="Currency 3 3 2 3 5" xfId="25738"/>
    <cellStyle name="Currency 3 3 2 4" xfId="7346"/>
    <cellStyle name="Currency 3 3 2 4 2" xfId="13540"/>
    <cellStyle name="Currency 3 3 2 4 2 2" xfId="33423"/>
    <cellStyle name="Currency 3 3 2 4 3" xfId="19692"/>
    <cellStyle name="Currency 3 3 2 4 3 2" xfId="39575"/>
    <cellStyle name="Currency 3 3 2 4 4" xfId="27270"/>
    <cellStyle name="Currency 3 3 2 5" xfId="10474"/>
    <cellStyle name="Currency 3 3 2 5 2" xfId="30357"/>
    <cellStyle name="Currency 3 3 2 6" xfId="16626"/>
    <cellStyle name="Currency 3 3 2 6 2" xfId="36509"/>
    <cellStyle name="Currency 3 3 2 7" xfId="3237"/>
    <cellStyle name="Currency 3 3 2 7 2" xfId="24204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2 2" xfId="35727"/>
    <cellStyle name="Currency 3 3 3 2 2 2 3" xfId="21996"/>
    <cellStyle name="Currency 3 3 3 2 2 2 3 2" xfId="41879"/>
    <cellStyle name="Currency 3 3 3 2 2 2 4" xfId="29574"/>
    <cellStyle name="Currency 3 3 3 2 2 3" xfId="12778"/>
    <cellStyle name="Currency 3 3 3 2 2 3 2" xfId="32661"/>
    <cellStyle name="Currency 3 3 3 2 2 4" xfId="18930"/>
    <cellStyle name="Currency 3 3 3 2 2 4 2" xfId="38813"/>
    <cellStyle name="Currency 3 3 3 2 2 5" xfId="26508"/>
    <cellStyle name="Currency 3 3 3 2 3" xfId="8116"/>
    <cellStyle name="Currency 3 3 3 2 3 2" xfId="14310"/>
    <cellStyle name="Currency 3 3 3 2 3 2 2" xfId="34193"/>
    <cellStyle name="Currency 3 3 3 2 3 3" xfId="20462"/>
    <cellStyle name="Currency 3 3 3 2 3 3 2" xfId="40345"/>
    <cellStyle name="Currency 3 3 3 2 3 4" xfId="28040"/>
    <cellStyle name="Currency 3 3 3 2 4" xfId="11244"/>
    <cellStyle name="Currency 3 3 3 2 4 2" xfId="31127"/>
    <cellStyle name="Currency 3 3 3 2 5" xfId="17396"/>
    <cellStyle name="Currency 3 3 3 2 5 2" xfId="37279"/>
    <cellStyle name="Currency 3 3 3 2 6" xfId="24974"/>
    <cellStyle name="Currency 3 3 3 3" xfId="5781"/>
    <cellStyle name="Currency 3 3 3 3 2" xfId="8882"/>
    <cellStyle name="Currency 3 3 3 3 2 2" xfId="15075"/>
    <cellStyle name="Currency 3 3 3 3 2 2 2" xfId="34958"/>
    <cellStyle name="Currency 3 3 3 3 2 3" xfId="21227"/>
    <cellStyle name="Currency 3 3 3 3 2 3 2" xfId="41110"/>
    <cellStyle name="Currency 3 3 3 3 2 4" xfId="28805"/>
    <cellStyle name="Currency 3 3 3 3 3" xfId="12009"/>
    <cellStyle name="Currency 3 3 3 3 3 2" xfId="31892"/>
    <cellStyle name="Currency 3 3 3 3 4" xfId="18161"/>
    <cellStyle name="Currency 3 3 3 3 4 2" xfId="38044"/>
    <cellStyle name="Currency 3 3 3 3 5" xfId="25739"/>
    <cellStyle name="Currency 3 3 3 4" xfId="7347"/>
    <cellStyle name="Currency 3 3 3 4 2" xfId="13541"/>
    <cellStyle name="Currency 3 3 3 4 2 2" xfId="33424"/>
    <cellStyle name="Currency 3 3 3 4 3" xfId="19693"/>
    <cellStyle name="Currency 3 3 3 4 3 2" xfId="39576"/>
    <cellStyle name="Currency 3 3 3 4 4" xfId="27271"/>
    <cellStyle name="Currency 3 3 3 5" xfId="10475"/>
    <cellStyle name="Currency 3 3 3 5 2" xfId="30358"/>
    <cellStyle name="Currency 3 3 3 6" xfId="16627"/>
    <cellStyle name="Currency 3 3 3 6 2" xfId="36510"/>
    <cellStyle name="Currency 3 3 3 7" xfId="24205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2 2" xfId="35728"/>
    <cellStyle name="Currency 3 3 4 2 2 2 3" xfId="21997"/>
    <cellStyle name="Currency 3 3 4 2 2 2 3 2" xfId="41880"/>
    <cellStyle name="Currency 3 3 4 2 2 2 4" xfId="29575"/>
    <cellStyle name="Currency 3 3 4 2 2 3" xfId="12779"/>
    <cellStyle name="Currency 3 3 4 2 2 3 2" xfId="32662"/>
    <cellStyle name="Currency 3 3 4 2 2 4" xfId="18931"/>
    <cellStyle name="Currency 3 3 4 2 2 4 2" xfId="38814"/>
    <cellStyle name="Currency 3 3 4 2 2 5" xfId="26509"/>
    <cellStyle name="Currency 3 3 4 2 3" xfId="8117"/>
    <cellStyle name="Currency 3 3 4 2 3 2" xfId="14311"/>
    <cellStyle name="Currency 3 3 4 2 3 2 2" xfId="34194"/>
    <cellStyle name="Currency 3 3 4 2 3 3" xfId="20463"/>
    <cellStyle name="Currency 3 3 4 2 3 3 2" xfId="40346"/>
    <cellStyle name="Currency 3 3 4 2 3 4" xfId="28041"/>
    <cellStyle name="Currency 3 3 4 2 4" xfId="11245"/>
    <cellStyle name="Currency 3 3 4 2 4 2" xfId="31128"/>
    <cellStyle name="Currency 3 3 4 2 5" xfId="17397"/>
    <cellStyle name="Currency 3 3 4 2 5 2" xfId="37280"/>
    <cellStyle name="Currency 3 3 4 2 6" xfId="24975"/>
    <cellStyle name="Currency 3 3 4 3" xfId="5782"/>
    <cellStyle name="Currency 3 3 4 3 2" xfId="8883"/>
    <cellStyle name="Currency 3 3 4 3 2 2" xfId="15076"/>
    <cellStyle name="Currency 3 3 4 3 2 2 2" xfId="34959"/>
    <cellStyle name="Currency 3 3 4 3 2 3" xfId="21228"/>
    <cellStyle name="Currency 3 3 4 3 2 3 2" xfId="41111"/>
    <cellStyle name="Currency 3 3 4 3 2 4" xfId="28806"/>
    <cellStyle name="Currency 3 3 4 3 3" xfId="12010"/>
    <cellStyle name="Currency 3 3 4 3 3 2" xfId="31893"/>
    <cellStyle name="Currency 3 3 4 3 4" xfId="18162"/>
    <cellStyle name="Currency 3 3 4 3 4 2" xfId="38045"/>
    <cellStyle name="Currency 3 3 4 3 5" xfId="25740"/>
    <cellStyle name="Currency 3 3 4 4" xfId="7348"/>
    <cellStyle name="Currency 3 3 4 4 2" xfId="13542"/>
    <cellStyle name="Currency 3 3 4 4 2 2" xfId="33425"/>
    <cellStyle name="Currency 3 3 4 4 3" xfId="19694"/>
    <cellStyle name="Currency 3 3 4 4 3 2" xfId="39577"/>
    <cellStyle name="Currency 3 3 4 4 4" xfId="27272"/>
    <cellStyle name="Currency 3 3 4 5" xfId="10476"/>
    <cellStyle name="Currency 3 3 4 5 2" xfId="30359"/>
    <cellStyle name="Currency 3 3 4 6" xfId="16628"/>
    <cellStyle name="Currency 3 3 4 6 2" xfId="36511"/>
    <cellStyle name="Currency 3 3 4 7" xfId="24206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2 2" xfId="35729"/>
    <cellStyle name="Currency 3 3 5 2 2 2 3" xfId="21998"/>
    <cellStyle name="Currency 3 3 5 2 2 2 3 2" xfId="41881"/>
    <cellStyle name="Currency 3 3 5 2 2 2 4" xfId="29576"/>
    <cellStyle name="Currency 3 3 5 2 2 3" xfId="12780"/>
    <cellStyle name="Currency 3 3 5 2 2 3 2" xfId="32663"/>
    <cellStyle name="Currency 3 3 5 2 2 4" xfId="18932"/>
    <cellStyle name="Currency 3 3 5 2 2 4 2" xfId="38815"/>
    <cellStyle name="Currency 3 3 5 2 2 5" xfId="26510"/>
    <cellStyle name="Currency 3 3 5 2 3" xfId="8118"/>
    <cellStyle name="Currency 3 3 5 2 3 2" xfId="14312"/>
    <cellStyle name="Currency 3 3 5 2 3 2 2" xfId="34195"/>
    <cellStyle name="Currency 3 3 5 2 3 3" xfId="20464"/>
    <cellStyle name="Currency 3 3 5 2 3 3 2" xfId="40347"/>
    <cellStyle name="Currency 3 3 5 2 3 4" xfId="28042"/>
    <cellStyle name="Currency 3 3 5 2 4" xfId="11246"/>
    <cellStyle name="Currency 3 3 5 2 4 2" xfId="31129"/>
    <cellStyle name="Currency 3 3 5 2 5" xfId="17398"/>
    <cellStyle name="Currency 3 3 5 2 5 2" xfId="37281"/>
    <cellStyle name="Currency 3 3 5 2 6" xfId="24976"/>
    <cellStyle name="Currency 3 3 5 3" xfId="5783"/>
    <cellStyle name="Currency 3 3 5 3 2" xfId="8884"/>
    <cellStyle name="Currency 3 3 5 3 2 2" xfId="15077"/>
    <cellStyle name="Currency 3 3 5 3 2 2 2" xfId="34960"/>
    <cellStyle name="Currency 3 3 5 3 2 3" xfId="21229"/>
    <cellStyle name="Currency 3 3 5 3 2 3 2" xfId="41112"/>
    <cellStyle name="Currency 3 3 5 3 2 4" xfId="28807"/>
    <cellStyle name="Currency 3 3 5 3 3" xfId="12011"/>
    <cellStyle name="Currency 3 3 5 3 3 2" xfId="31894"/>
    <cellStyle name="Currency 3 3 5 3 4" xfId="18163"/>
    <cellStyle name="Currency 3 3 5 3 4 2" xfId="38046"/>
    <cellStyle name="Currency 3 3 5 3 5" xfId="25741"/>
    <cellStyle name="Currency 3 3 5 4" xfId="7349"/>
    <cellStyle name="Currency 3 3 5 4 2" xfId="13543"/>
    <cellStyle name="Currency 3 3 5 4 2 2" xfId="33426"/>
    <cellStyle name="Currency 3 3 5 4 3" xfId="19695"/>
    <cellStyle name="Currency 3 3 5 4 3 2" xfId="39578"/>
    <cellStyle name="Currency 3 3 5 4 4" xfId="27273"/>
    <cellStyle name="Currency 3 3 5 5" xfId="10477"/>
    <cellStyle name="Currency 3 3 5 5 2" xfId="30360"/>
    <cellStyle name="Currency 3 3 5 6" xfId="16629"/>
    <cellStyle name="Currency 3 3 5 6 2" xfId="36512"/>
    <cellStyle name="Currency 3 3 5 7" xfId="24207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2 2" xfId="35730"/>
    <cellStyle name="Currency 3 3 6 2 2 2 3" xfId="21999"/>
    <cellStyle name="Currency 3 3 6 2 2 2 3 2" xfId="41882"/>
    <cellStyle name="Currency 3 3 6 2 2 2 4" xfId="29577"/>
    <cellStyle name="Currency 3 3 6 2 2 3" xfId="12781"/>
    <cellStyle name="Currency 3 3 6 2 2 3 2" xfId="32664"/>
    <cellStyle name="Currency 3 3 6 2 2 4" xfId="18933"/>
    <cellStyle name="Currency 3 3 6 2 2 4 2" xfId="38816"/>
    <cellStyle name="Currency 3 3 6 2 2 5" xfId="26511"/>
    <cellStyle name="Currency 3 3 6 2 3" xfId="8119"/>
    <cellStyle name="Currency 3 3 6 2 3 2" xfId="14313"/>
    <cellStyle name="Currency 3 3 6 2 3 2 2" xfId="34196"/>
    <cellStyle name="Currency 3 3 6 2 3 3" xfId="20465"/>
    <cellStyle name="Currency 3 3 6 2 3 3 2" xfId="40348"/>
    <cellStyle name="Currency 3 3 6 2 3 4" xfId="28043"/>
    <cellStyle name="Currency 3 3 6 2 4" xfId="11247"/>
    <cellStyle name="Currency 3 3 6 2 4 2" xfId="31130"/>
    <cellStyle name="Currency 3 3 6 2 5" xfId="17399"/>
    <cellStyle name="Currency 3 3 6 2 5 2" xfId="37282"/>
    <cellStyle name="Currency 3 3 6 2 6" xfId="24977"/>
    <cellStyle name="Currency 3 3 6 3" xfId="5784"/>
    <cellStyle name="Currency 3 3 6 3 2" xfId="8885"/>
    <cellStyle name="Currency 3 3 6 3 2 2" xfId="15078"/>
    <cellStyle name="Currency 3 3 6 3 2 2 2" xfId="34961"/>
    <cellStyle name="Currency 3 3 6 3 2 3" xfId="21230"/>
    <cellStyle name="Currency 3 3 6 3 2 3 2" xfId="41113"/>
    <cellStyle name="Currency 3 3 6 3 2 4" xfId="28808"/>
    <cellStyle name="Currency 3 3 6 3 3" xfId="12012"/>
    <cellStyle name="Currency 3 3 6 3 3 2" xfId="31895"/>
    <cellStyle name="Currency 3 3 6 3 4" xfId="18164"/>
    <cellStyle name="Currency 3 3 6 3 4 2" xfId="38047"/>
    <cellStyle name="Currency 3 3 6 3 5" xfId="25742"/>
    <cellStyle name="Currency 3 3 6 4" xfId="7350"/>
    <cellStyle name="Currency 3 3 6 4 2" xfId="13544"/>
    <cellStyle name="Currency 3 3 6 4 2 2" xfId="33427"/>
    <cellStyle name="Currency 3 3 6 4 3" xfId="19696"/>
    <cellStyle name="Currency 3 3 6 4 3 2" xfId="39579"/>
    <cellStyle name="Currency 3 3 6 4 4" xfId="27274"/>
    <cellStyle name="Currency 3 3 6 5" xfId="10478"/>
    <cellStyle name="Currency 3 3 6 5 2" xfId="30361"/>
    <cellStyle name="Currency 3 3 6 6" xfId="16630"/>
    <cellStyle name="Currency 3 3 6 6 2" xfId="36513"/>
    <cellStyle name="Currency 3 3 6 7" xfId="24208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2 2" xfId="35725"/>
    <cellStyle name="Currency 3 3 8 2 2 3" xfId="21994"/>
    <cellStyle name="Currency 3 3 8 2 2 3 2" xfId="41877"/>
    <cellStyle name="Currency 3 3 8 2 2 4" xfId="29572"/>
    <cellStyle name="Currency 3 3 8 2 3" xfId="12776"/>
    <cellStyle name="Currency 3 3 8 2 3 2" xfId="32659"/>
    <cellStyle name="Currency 3 3 8 2 4" xfId="18928"/>
    <cellStyle name="Currency 3 3 8 2 4 2" xfId="38811"/>
    <cellStyle name="Currency 3 3 8 2 5" xfId="26506"/>
    <cellStyle name="Currency 3 3 8 3" xfId="8114"/>
    <cellStyle name="Currency 3 3 8 3 2" xfId="14308"/>
    <cellStyle name="Currency 3 3 8 3 2 2" xfId="34191"/>
    <cellStyle name="Currency 3 3 8 3 3" xfId="20460"/>
    <cellStyle name="Currency 3 3 8 3 3 2" xfId="40343"/>
    <cellStyle name="Currency 3 3 8 3 4" xfId="28038"/>
    <cellStyle name="Currency 3 3 8 4" xfId="11242"/>
    <cellStyle name="Currency 3 3 8 4 2" xfId="31125"/>
    <cellStyle name="Currency 3 3 8 5" xfId="17394"/>
    <cellStyle name="Currency 3 3 8 5 2" xfId="37277"/>
    <cellStyle name="Currency 3 3 8 6" xfId="24972"/>
    <cellStyle name="Currency 3 3 9" xfId="5779"/>
    <cellStyle name="Currency 3 3 9 2" xfId="8880"/>
    <cellStyle name="Currency 3 3 9 2 2" xfId="15073"/>
    <cellStyle name="Currency 3 3 9 2 2 2" xfId="34956"/>
    <cellStyle name="Currency 3 3 9 2 3" xfId="21225"/>
    <cellStyle name="Currency 3 3 9 2 3 2" xfId="41108"/>
    <cellStyle name="Currency 3 3 9 2 4" xfId="28803"/>
    <cellStyle name="Currency 3 3 9 3" xfId="12007"/>
    <cellStyle name="Currency 3 3 9 3 2" xfId="31890"/>
    <cellStyle name="Currency 3 3 9 4" xfId="18159"/>
    <cellStyle name="Currency 3 3 9 4 2" xfId="38042"/>
    <cellStyle name="Currency 3 3 9 5" xfId="25737"/>
    <cellStyle name="Currency 3 30" xfId="855"/>
    <cellStyle name="Currency 3 30 2" xfId="23698"/>
    <cellStyle name="Currency 3 31" xfId="1162"/>
    <cellStyle name="Currency 3 32" xfId="22818"/>
    <cellStyle name="Currency 3 32 2" xfId="42692"/>
    <cellStyle name="Currency 3 33" xfId="197"/>
    <cellStyle name="Currency 3 33 2" xfId="2340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2 2" xfId="35732"/>
    <cellStyle name="Currency 3 4 2 2 2 2 3" xfId="22001"/>
    <cellStyle name="Currency 3 4 2 2 2 2 3 2" xfId="41884"/>
    <cellStyle name="Currency 3 4 2 2 2 2 4" xfId="29579"/>
    <cellStyle name="Currency 3 4 2 2 2 3" xfId="12783"/>
    <cellStyle name="Currency 3 4 2 2 2 3 2" xfId="32666"/>
    <cellStyle name="Currency 3 4 2 2 2 4" xfId="18935"/>
    <cellStyle name="Currency 3 4 2 2 2 4 2" xfId="38818"/>
    <cellStyle name="Currency 3 4 2 2 2 5" xfId="26513"/>
    <cellStyle name="Currency 3 4 2 2 3" xfId="8121"/>
    <cellStyle name="Currency 3 4 2 2 3 2" xfId="14315"/>
    <cellStyle name="Currency 3 4 2 2 3 2 2" xfId="34198"/>
    <cellStyle name="Currency 3 4 2 2 3 3" xfId="20467"/>
    <cellStyle name="Currency 3 4 2 2 3 3 2" xfId="40350"/>
    <cellStyle name="Currency 3 4 2 2 3 4" xfId="28045"/>
    <cellStyle name="Currency 3 4 2 2 4" xfId="11249"/>
    <cellStyle name="Currency 3 4 2 2 4 2" xfId="31132"/>
    <cellStyle name="Currency 3 4 2 2 5" xfId="17401"/>
    <cellStyle name="Currency 3 4 2 2 5 2" xfId="37284"/>
    <cellStyle name="Currency 3 4 2 2 6" xfId="24979"/>
    <cellStyle name="Currency 3 4 2 3" xfId="5786"/>
    <cellStyle name="Currency 3 4 2 3 2" xfId="8887"/>
    <cellStyle name="Currency 3 4 2 3 2 2" xfId="15080"/>
    <cellStyle name="Currency 3 4 2 3 2 2 2" xfId="34963"/>
    <cellStyle name="Currency 3 4 2 3 2 3" xfId="21232"/>
    <cellStyle name="Currency 3 4 2 3 2 3 2" xfId="41115"/>
    <cellStyle name="Currency 3 4 2 3 2 4" xfId="28810"/>
    <cellStyle name="Currency 3 4 2 3 3" xfId="12014"/>
    <cellStyle name="Currency 3 4 2 3 3 2" xfId="31897"/>
    <cellStyle name="Currency 3 4 2 3 4" xfId="18166"/>
    <cellStyle name="Currency 3 4 2 3 4 2" xfId="38049"/>
    <cellStyle name="Currency 3 4 2 3 5" xfId="25744"/>
    <cellStyle name="Currency 3 4 2 4" xfId="7352"/>
    <cellStyle name="Currency 3 4 2 4 2" xfId="13546"/>
    <cellStyle name="Currency 3 4 2 4 2 2" xfId="33429"/>
    <cellStyle name="Currency 3 4 2 4 3" xfId="19698"/>
    <cellStyle name="Currency 3 4 2 4 3 2" xfId="39581"/>
    <cellStyle name="Currency 3 4 2 4 4" xfId="27276"/>
    <cellStyle name="Currency 3 4 2 5" xfId="10480"/>
    <cellStyle name="Currency 3 4 2 5 2" xfId="30363"/>
    <cellStyle name="Currency 3 4 2 6" xfId="16632"/>
    <cellStyle name="Currency 3 4 2 6 2" xfId="36515"/>
    <cellStyle name="Currency 3 4 2 7" xfId="24210"/>
    <cellStyle name="Currency 3 4 3" xfId="4944"/>
    <cellStyle name="Currency 3 4 3 2" xfId="6569"/>
    <cellStyle name="Currency 3 4 3 2 2" xfId="9655"/>
    <cellStyle name="Currency 3 4 3 2 2 2" xfId="15848"/>
    <cellStyle name="Currency 3 4 3 2 2 2 2" xfId="35731"/>
    <cellStyle name="Currency 3 4 3 2 2 3" xfId="22000"/>
    <cellStyle name="Currency 3 4 3 2 2 3 2" xfId="41883"/>
    <cellStyle name="Currency 3 4 3 2 2 4" xfId="29578"/>
    <cellStyle name="Currency 3 4 3 2 3" xfId="12782"/>
    <cellStyle name="Currency 3 4 3 2 3 2" xfId="32665"/>
    <cellStyle name="Currency 3 4 3 2 4" xfId="18934"/>
    <cellStyle name="Currency 3 4 3 2 4 2" xfId="38817"/>
    <cellStyle name="Currency 3 4 3 2 5" xfId="26512"/>
    <cellStyle name="Currency 3 4 3 3" xfId="8120"/>
    <cellStyle name="Currency 3 4 3 3 2" xfId="14314"/>
    <cellStyle name="Currency 3 4 3 3 2 2" xfId="34197"/>
    <cellStyle name="Currency 3 4 3 3 3" xfId="20466"/>
    <cellStyle name="Currency 3 4 3 3 3 2" xfId="40349"/>
    <cellStyle name="Currency 3 4 3 3 4" xfId="28044"/>
    <cellStyle name="Currency 3 4 3 4" xfId="11248"/>
    <cellStyle name="Currency 3 4 3 4 2" xfId="31131"/>
    <cellStyle name="Currency 3 4 3 5" xfId="17400"/>
    <cellStyle name="Currency 3 4 3 5 2" xfId="37283"/>
    <cellStyle name="Currency 3 4 3 6" xfId="24978"/>
    <cellStyle name="Currency 3 4 4" xfId="5785"/>
    <cellStyle name="Currency 3 4 4 2" xfId="8886"/>
    <cellStyle name="Currency 3 4 4 2 2" xfId="15079"/>
    <cellStyle name="Currency 3 4 4 2 2 2" xfId="34962"/>
    <cellStyle name="Currency 3 4 4 2 3" xfId="21231"/>
    <cellStyle name="Currency 3 4 4 2 3 2" xfId="41114"/>
    <cellStyle name="Currency 3 4 4 2 4" xfId="28809"/>
    <cellStyle name="Currency 3 4 4 3" xfId="12013"/>
    <cellStyle name="Currency 3 4 4 3 2" xfId="31896"/>
    <cellStyle name="Currency 3 4 4 4" xfId="18165"/>
    <cellStyle name="Currency 3 4 4 4 2" xfId="38048"/>
    <cellStyle name="Currency 3 4 4 5" xfId="25743"/>
    <cellStyle name="Currency 3 4 5" xfId="7351"/>
    <cellStyle name="Currency 3 4 5 2" xfId="13545"/>
    <cellStyle name="Currency 3 4 5 2 2" xfId="33428"/>
    <cellStyle name="Currency 3 4 5 3" xfId="19697"/>
    <cellStyle name="Currency 3 4 5 3 2" xfId="39580"/>
    <cellStyle name="Currency 3 4 5 4" xfId="27275"/>
    <cellStyle name="Currency 3 4 6" xfId="10479"/>
    <cellStyle name="Currency 3 4 6 2" xfId="30362"/>
    <cellStyle name="Currency 3 4 7" xfId="16631"/>
    <cellStyle name="Currency 3 4 7 2" xfId="36514"/>
    <cellStyle name="Currency 3 4 8" xfId="3243"/>
    <cellStyle name="Currency 3 4 8 2" xfId="24209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2 2" xfId="35734"/>
    <cellStyle name="Currency 3 5 2 2 2 2 3" xfId="22003"/>
    <cellStyle name="Currency 3 5 2 2 2 2 3 2" xfId="41886"/>
    <cellStyle name="Currency 3 5 2 2 2 2 4" xfId="29581"/>
    <cellStyle name="Currency 3 5 2 2 2 3" xfId="12785"/>
    <cellStyle name="Currency 3 5 2 2 2 3 2" xfId="32668"/>
    <cellStyle name="Currency 3 5 2 2 2 4" xfId="18937"/>
    <cellStyle name="Currency 3 5 2 2 2 4 2" xfId="38820"/>
    <cellStyle name="Currency 3 5 2 2 2 5" xfId="26515"/>
    <cellStyle name="Currency 3 5 2 2 3" xfId="8123"/>
    <cellStyle name="Currency 3 5 2 2 3 2" xfId="14317"/>
    <cellStyle name="Currency 3 5 2 2 3 2 2" xfId="34200"/>
    <cellStyle name="Currency 3 5 2 2 3 3" xfId="20469"/>
    <cellStyle name="Currency 3 5 2 2 3 3 2" xfId="40352"/>
    <cellStyle name="Currency 3 5 2 2 3 4" xfId="28047"/>
    <cellStyle name="Currency 3 5 2 2 4" xfId="11251"/>
    <cellStyle name="Currency 3 5 2 2 4 2" xfId="31134"/>
    <cellStyle name="Currency 3 5 2 2 5" xfId="17403"/>
    <cellStyle name="Currency 3 5 2 2 5 2" xfId="37286"/>
    <cellStyle name="Currency 3 5 2 2 6" xfId="24981"/>
    <cellStyle name="Currency 3 5 2 3" xfId="5788"/>
    <cellStyle name="Currency 3 5 2 3 2" xfId="8889"/>
    <cellStyle name="Currency 3 5 2 3 2 2" xfId="15082"/>
    <cellStyle name="Currency 3 5 2 3 2 2 2" xfId="34965"/>
    <cellStyle name="Currency 3 5 2 3 2 3" xfId="21234"/>
    <cellStyle name="Currency 3 5 2 3 2 3 2" xfId="41117"/>
    <cellStyle name="Currency 3 5 2 3 2 4" xfId="28812"/>
    <cellStyle name="Currency 3 5 2 3 3" xfId="12016"/>
    <cellStyle name="Currency 3 5 2 3 3 2" xfId="31899"/>
    <cellStyle name="Currency 3 5 2 3 4" xfId="18168"/>
    <cellStyle name="Currency 3 5 2 3 4 2" xfId="38051"/>
    <cellStyle name="Currency 3 5 2 3 5" xfId="25746"/>
    <cellStyle name="Currency 3 5 2 4" xfId="7354"/>
    <cellStyle name="Currency 3 5 2 4 2" xfId="13548"/>
    <cellStyle name="Currency 3 5 2 4 2 2" xfId="33431"/>
    <cellStyle name="Currency 3 5 2 4 3" xfId="19700"/>
    <cellStyle name="Currency 3 5 2 4 3 2" xfId="39583"/>
    <cellStyle name="Currency 3 5 2 4 4" xfId="27278"/>
    <cellStyle name="Currency 3 5 2 5" xfId="10482"/>
    <cellStyle name="Currency 3 5 2 5 2" xfId="30365"/>
    <cellStyle name="Currency 3 5 2 6" xfId="16634"/>
    <cellStyle name="Currency 3 5 2 6 2" xfId="36517"/>
    <cellStyle name="Currency 3 5 2 7" xfId="24212"/>
    <cellStyle name="Currency 3 5 3" xfId="4946"/>
    <cellStyle name="Currency 3 5 3 2" xfId="6571"/>
    <cellStyle name="Currency 3 5 3 2 2" xfId="9657"/>
    <cellStyle name="Currency 3 5 3 2 2 2" xfId="15850"/>
    <cellStyle name="Currency 3 5 3 2 2 2 2" xfId="35733"/>
    <cellStyle name="Currency 3 5 3 2 2 3" xfId="22002"/>
    <cellStyle name="Currency 3 5 3 2 2 3 2" xfId="41885"/>
    <cellStyle name="Currency 3 5 3 2 2 4" xfId="29580"/>
    <cellStyle name="Currency 3 5 3 2 3" xfId="12784"/>
    <cellStyle name="Currency 3 5 3 2 3 2" xfId="32667"/>
    <cellStyle name="Currency 3 5 3 2 4" xfId="18936"/>
    <cellStyle name="Currency 3 5 3 2 4 2" xfId="38819"/>
    <cellStyle name="Currency 3 5 3 2 5" xfId="26514"/>
    <cellStyle name="Currency 3 5 3 3" xfId="8122"/>
    <cellStyle name="Currency 3 5 3 3 2" xfId="14316"/>
    <cellStyle name="Currency 3 5 3 3 2 2" xfId="34199"/>
    <cellStyle name="Currency 3 5 3 3 3" xfId="20468"/>
    <cellStyle name="Currency 3 5 3 3 3 2" xfId="40351"/>
    <cellStyle name="Currency 3 5 3 3 4" xfId="28046"/>
    <cellStyle name="Currency 3 5 3 4" xfId="11250"/>
    <cellStyle name="Currency 3 5 3 4 2" xfId="31133"/>
    <cellStyle name="Currency 3 5 3 5" xfId="17402"/>
    <cellStyle name="Currency 3 5 3 5 2" xfId="37285"/>
    <cellStyle name="Currency 3 5 3 6" xfId="24980"/>
    <cellStyle name="Currency 3 5 4" xfId="5787"/>
    <cellStyle name="Currency 3 5 4 2" xfId="8888"/>
    <cellStyle name="Currency 3 5 4 2 2" xfId="15081"/>
    <cellStyle name="Currency 3 5 4 2 2 2" xfId="34964"/>
    <cellStyle name="Currency 3 5 4 2 3" xfId="21233"/>
    <cellStyle name="Currency 3 5 4 2 3 2" xfId="41116"/>
    <cellStyle name="Currency 3 5 4 2 4" xfId="28811"/>
    <cellStyle name="Currency 3 5 4 3" xfId="12015"/>
    <cellStyle name="Currency 3 5 4 3 2" xfId="31898"/>
    <cellStyle name="Currency 3 5 4 4" xfId="18167"/>
    <cellStyle name="Currency 3 5 4 4 2" xfId="38050"/>
    <cellStyle name="Currency 3 5 4 5" xfId="25745"/>
    <cellStyle name="Currency 3 5 5" xfId="7353"/>
    <cellStyle name="Currency 3 5 5 2" xfId="13547"/>
    <cellStyle name="Currency 3 5 5 2 2" xfId="33430"/>
    <cellStyle name="Currency 3 5 5 3" xfId="19699"/>
    <cellStyle name="Currency 3 5 5 3 2" xfId="39582"/>
    <cellStyle name="Currency 3 5 5 4" xfId="27277"/>
    <cellStyle name="Currency 3 5 6" xfId="10481"/>
    <cellStyle name="Currency 3 5 6 2" xfId="30364"/>
    <cellStyle name="Currency 3 5 7" xfId="16633"/>
    <cellStyle name="Currency 3 5 7 2" xfId="36516"/>
    <cellStyle name="Currency 3 5 8" xfId="3245"/>
    <cellStyle name="Currency 3 5 8 2" xfId="24211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2 2" xfId="35736"/>
    <cellStyle name="Currency 3 6 2 2 2 2 3" xfId="22005"/>
    <cellStyle name="Currency 3 6 2 2 2 2 3 2" xfId="41888"/>
    <cellStyle name="Currency 3 6 2 2 2 2 4" xfId="29583"/>
    <cellStyle name="Currency 3 6 2 2 2 3" xfId="12787"/>
    <cellStyle name="Currency 3 6 2 2 2 3 2" xfId="32670"/>
    <cellStyle name="Currency 3 6 2 2 2 4" xfId="18939"/>
    <cellStyle name="Currency 3 6 2 2 2 4 2" xfId="38822"/>
    <cellStyle name="Currency 3 6 2 2 2 5" xfId="26517"/>
    <cellStyle name="Currency 3 6 2 2 3" xfId="8125"/>
    <cellStyle name="Currency 3 6 2 2 3 2" xfId="14319"/>
    <cellStyle name="Currency 3 6 2 2 3 2 2" xfId="34202"/>
    <cellStyle name="Currency 3 6 2 2 3 3" xfId="20471"/>
    <cellStyle name="Currency 3 6 2 2 3 3 2" xfId="40354"/>
    <cellStyle name="Currency 3 6 2 2 3 4" xfId="28049"/>
    <cellStyle name="Currency 3 6 2 2 4" xfId="11253"/>
    <cellStyle name="Currency 3 6 2 2 4 2" xfId="31136"/>
    <cellStyle name="Currency 3 6 2 2 5" xfId="17405"/>
    <cellStyle name="Currency 3 6 2 2 5 2" xfId="37288"/>
    <cellStyle name="Currency 3 6 2 2 6" xfId="24983"/>
    <cellStyle name="Currency 3 6 2 3" xfId="5790"/>
    <cellStyle name="Currency 3 6 2 3 2" xfId="8891"/>
    <cellStyle name="Currency 3 6 2 3 2 2" xfId="15084"/>
    <cellStyle name="Currency 3 6 2 3 2 2 2" xfId="34967"/>
    <cellStyle name="Currency 3 6 2 3 2 3" xfId="21236"/>
    <cellStyle name="Currency 3 6 2 3 2 3 2" xfId="41119"/>
    <cellStyle name="Currency 3 6 2 3 2 4" xfId="28814"/>
    <cellStyle name="Currency 3 6 2 3 3" xfId="12018"/>
    <cellStyle name="Currency 3 6 2 3 3 2" xfId="31901"/>
    <cellStyle name="Currency 3 6 2 3 4" xfId="18170"/>
    <cellStyle name="Currency 3 6 2 3 4 2" xfId="38053"/>
    <cellStyle name="Currency 3 6 2 3 5" xfId="25748"/>
    <cellStyle name="Currency 3 6 2 4" xfId="7356"/>
    <cellStyle name="Currency 3 6 2 4 2" xfId="13550"/>
    <cellStyle name="Currency 3 6 2 4 2 2" xfId="33433"/>
    <cellStyle name="Currency 3 6 2 4 3" xfId="19702"/>
    <cellStyle name="Currency 3 6 2 4 3 2" xfId="39585"/>
    <cellStyle name="Currency 3 6 2 4 4" xfId="27280"/>
    <cellStyle name="Currency 3 6 2 5" xfId="10484"/>
    <cellStyle name="Currency 3 6 2 5 2" xfId="30367"/>
    <cellStyle name="Currency 3 6 2 6" xfId="16636"/>
    <cellStyle name="Currency 3 6 2 6 2" xfId="36519"/>
    <cellStyle name="Currency 3 6 2 7" xfId="24214"/>
    <cellStyle name="Currency 3 6 3" xfId="4948"/>
    <cellStyle name="Currency 3 6 3 2" xfId="6573"/>
    <cellStyle name="Currency 3 6 3 2 2" xfId="9659"/>
    <cellStyle name="Currency 3 6 3 2 2 2" xfId="15852"/>
    <cellStyle name="Currency 3 6 3 2 2 2 2" xfId="35735"/>
    <cellStyle name="Currency 3 6 3 2 2 3" xfId="22004"/>
    <cellStyle name="Currency 3 6 3 2 2 3 2" xfId="41887"/>
    <cellStyle name="Currency 3 6 3 2 2 4" xfId="29582"/>
    <cellStyle name="Currency 3 6 3 2 3" xfId="12786"/>
    <cellStyle name="Currency 3 6 3 2 3 2" xfId="32669"/>
    <cellStyle name="Currency 3 6 3 2 4" xfId="18938"/>
    <cellStyle name="Currency 3 6 3 2 4 2" xfId="38821"/>
    <cellStyle name="Currency 3 6 3 2 5" xfId="26516"/>
    <cellStyle name="Currency 3 6 3 3" xfId="8124"/>
    <cellStyle name="Currency 3 6 3 3 2" xfId="14318"/>
    <cellStyle name="Currency 3 6 3 3 2 2" xfId="34201"/>
    <cellStyle name="Currency 3 6 3 3 3" xfId="20470"/>
    <cellStyle name="Currency 3 6 3 3 3 2" xfId="40353"/>
    <cellStyle name="Currency 3 6 3 3 4" xfId="28048"/>
    <cellStyle name="Currency 3 6 3 4" xfId="11252"/>
    <cellStyle name="Currency 3 6 3 4 2" xfId="31135"/>
    <cellStyle name="Currency 3 6 3 5" xfId="17404"/>
    <cellStyle name="Currency 3 6 3 5 2" xfId="37287"/>
    <cellStyle name="Currency 3 6 3 6" xfId="24982"/>
    <cellStyle name="Currency 3 6 4" xfId="5789"/>
    <cellStyle name="Currency 3 6 4 2" xfId="8890"/>
    <cellStyle name="Currency 3 6 4 2 2" xfId="15083"/>
    <cellStyle name="Currency 3 6 4 2 2 2" xfId="34966"/>
    <cellStyle name="Currency 3 6 4 2 3" xfId="21235"/>
    <cellStyle name="Currency 3 6 4 2 3 2" xfId="41118"/>
    <cellStyle name="Currency 3 6 4 2 4" xfId="28813"/>
    <cellStyle name="Currency 3 6 4 3" xfId="12017"/>
    <cellStyle name="Currency 3 6 4 3 2" xfId="31900"/>
    <cellStyle name="Currency 3 6 4 4" xfId="18169"/>
    <cellStyle name="Currency 3 6 4 4 2" xfId="38052"/>
    <cellStyle name="Currency 3 6 4 5" xfId="25747"/>
    <cellStyle name="Currency 3 6 5" xfId="7355"/>
    <cellStyle name="Currency 3 6 5 2" xfId="13549"/>
    <cellStyle name="Currency 3 6 5 2 2" xfId="33432"/>
    <cellStyle name="Currency 3 6 5 3" xfId="19701"/>
    <cellStyle name="Currency 3 6 5 3 2" xfId="39584"/>
    <cellStyle name="Currency 3 6 5 4" xfId="27279"/>
    <cellStyle name="Currency 3 6 6" xfId="10483"/>
    <cellStyle name="Currency 3 6 6 2" xfId="30366"/>
    <cellStyle name="Currency 3 6 7" xfId="16635"/>
    <cellStyle name="Currency 3 6 7 2" xfId="36518"/>
    <cellStyle name="Currency 3 6 8" xfId="3247"/>
    <cellStyle name="Currency 3 6 8 2" xfId="24213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2 2" xfId="35737"/>
    <cellStyle name="Currency 3 7 2 2 2 3" xfId="22006"/>
    <cellStyle name="Currency 3 7 2 2 2 3 2" xfId="41889"/>
    <cellStyle name="Currency 3 7 2 2 2 4" xfId="29584"/>
    <cellStyle name="Currency 3 7 2 2 3" xfId="12788"/>
    <cellStyle name="Currency 3 7 2 2 3 2" xfId="32671"/>
    <cellStyle name="Currency 3 7 2 2 4" xfId="18940"/>
    <cellStyle name="Currency 3 7 2 2 4 2" xfId="38823"/>
    <cellStyle name="Currency 3 7 2 2 5" xfId="26518"/>
    <cellStyle name="Currency 3 7 2 3" xfId="8126"/>
    <cellStyle name="Currency 3 7 2 3 2" xfId="14320"/>
    <cellStyle name="Currency 3 7 2 3 2 2" xfId="34203"/>
    <cellStyle name="Currency 3 7 2 3 3" xfId="20472"/>
    <cellStyle name="Currency 3 7 2 3 3 2" xfId="40355"/>
    <cellStyle name="Currency 3 7 2 3 4" xfId="28050"/>
    <cellStyle name="Currency 3 7 2 4" xfId="11254"/>
    <cellStyle name="Currency 3 7 2 4 2" xfId="31137"/>
    <cellStyle name="Currency 3 7 2 5" xfId="17406"/>
    <cellStyle name="Currency 3 7 2 5 2" xfId="37289"/>
    <cellStyle name="Currency 3 7 2 6" xfId="24984"/>
    <cellStyle name="Currency 3 7 3" xfId="5791"/>
    <cellStyle name="Currency 3 7 3 2" xfId="8892"/>
    <cellStyle name="Currency 3 7 3 2 2" xfId="15085"/>
    <cellStyle name="Currency 3 7 3 2 2 2" xfId="34968"/>
    <cellStyle name="Currency 3 7 3 2 3" xfId="21237"/>
    <cellStyle name="Currency 3 7 3 2 3 2" xfId="41120"/>
    <cellStyle name="Currency 3 7 3 2 4" xfId="28815"/>
    <cellStyle name="Currency 3 7 3 3" xfId="12019"/>
    <cellStyle name="Currency 3 7 3 3 2" xfId="31902"/>
    <cellStyle name="Currency 3 7 3 4" xfId="18171"/>
    <cellStyle name="Currency 3 7 3 4 2" xfId="38054"/>
    <cellStyle name="Currency 3 7 3 5" xfId="25749"/>
    <cellStyle name="Currency 3 7 4" xfId="7357"/>
    <cellStyle name="Currency 3 7 4 2" xfId="13551"/>
    <cellStyle name="Currency 3 7 4 2 2" xfId="33434"/>
    <cellStyle name="Currency 3 7 4 3" xfId="19703"/>
    <cellStyle name="Currency 3 7 4 3 2" xfId="39586"/>
    <cellStyle name="Currency 3 7 4 4" xfId="27281"/>
    <cellStyle name="Currency 3 7 5" xfId="10485"/>
    <cellStyle name="Currency 3 7 5 2" xfId="30368"/>
    <cellStyle name="Currency 3 7 6" xfId="16637"/>
    <cellStyle name="Currency 3 7 6 2" xfId="36520"/>
    <cellStyle name="Currency 3 7 7" xfId="3249"/>
    <cellStyle name="Currency 3 7 7 2" xfId="24215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2 2" xfId="35738"/>
    <cellStyle name="Currency 3 8 2 2 2 3" xfId="22007"/>
    <cellStyle name="Currency 3 8 2 2 2 3 2" xfId="41890"/>
    <cellStyle name="Currency 3 8 2 2 2 4" xfId="29585"/>
    <cellStyle name="Currency 3 8 2 2 3" xfId="12789"/>
    <cellStyle name="Currency 3 8 2 2 3 2" xfId="32672"/>
    <cellStyle name="Currency 3 8 2 2 4" xfId="18941"/>
    <cellStyle name="Currency 3 8 2 2 4 2" xfId="38824"/>
    <cellStyle name="Currency 3 8 2 2 5" xfId="26519"/>
    <cellStyle name="Currency 3 8 2 3" xfId="8127"/>
    <cellStyle name="Currency 3 8 2 3 2" xfId="14321"/>
    <cellStyle name="Currency 3 8 2 3 2 2" xfId="34204"/>
    <cellStyle name="Currency 3 8 2 3 3" xfId="20473"/>
    <cellStyle name="Currency 3 8 2 3 3 2" xfId="40356"/>
    <cellStyle name="Currency 3 8 2 3 4" xfId="28051"/>
    <cellStyle name="Currency 3 8 2 4" xfId="11255"/>
    <cellStyle name="Currency 3 8 2 4 2" xfId="31138"/>
    <cellStyle name="Currency 3 8 2 5" xfId="17407"/>
    <cellStyle name="Currency 3 8 2 5 2" xfId="37290"/>
    <cellStyle name="Currency 3 8 2 6" xfId="24985"/>
    <cellStyle name="Currency 3 8 3" xfId="5792"/>
    <cellStyle name="Currency 3 8 3 2" xfId="8893"/>
    <cellStyle name="Currency 3 8 3 2 2" xfId="15086"/>
    <cellStyle name="Currency 3 8 3 2 2 2" xfId="34969"/>
    <cellStyle name="Currency 3 8 3 2 3" xfId="21238"/>
    <cellStyle name="Currency 3 8 3 2 3 2" xfId="41121"/>
    <cellStyle name="Currency 3 8 3 2 4" xfId="28816"/>
    <cellStyle name="Currency 3 8 3 3" xfId="12020"/>
    <cellStyle name="Currency 3 8 3 3 2" xfId="31903"/>
    <cellStyle name="Currency 3 8 3 4" xfId="18172"/>
    <cellStyle name="Currency 3 8 3 4 2" xfId="38055"/>
    <cellStyle name="Currency 3 8 3 5" xfId="25750"/>
    <cellStyle name="Currency 3 8 4" xfId="7358"/>
    <cellStyle name="Currency 3 8 4 2" xfId="13552"/>
    <cellStyle name="Currency 3 8 4 2 2" xfId="33435"/>
    <cellStyle name="Currency 3 8 4 3" xfId="19704"/>
    <cellStyle name="Currency 3 8 4 3 2" xfId="39587"/>
    <cellStyle name="Currency 3 8 4 4" xfId="27282"/>
    <cellStyle name="Currency 3 8 5" xfId="10486"/>
    <cellStyle name="Currency 3 8 5 2" xfId="30369"/>
    <cellStyle name="Currency 3 8 6" xfId="16638"/>
    <cellStyle name="Currency 3 8 6 2" xfId="36521"/>
    <cellStyle name="Currency 3 8 7" xfId="3250"/>
    <cellStyle name="Currency 3 8 7 2" xfId="24216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2 2" xfId="35739"/>
    <cellStyle name="Currency 3 9 2 2 2 3" xfId="22008"/>
    <cellStyle name="Currency 3 9 2 2 2 3 2" xfId="41891"/>
    <cellStyle name="Currency 3 9 2 2 2 4" xfId="29586"/>
    <cellStyle name="Currency 3 9 2 2 3" xfId="12790"/>
    <cellStyle name="Currency 3 9 2 2 3 2" xfId="32673"/>
    <cellStyle name="Currency 3 9 2 2 4" xfId="18942"/>
    <cellStyle name="Currency 3 9 2 2 4 2" xfId="38825"/>
    <cellStyle name="Currency 3 9 2 2 5" xfId="26520"/>
    <cellStyle name="Currency 3 9 2 3" xfId="8128"/>
    <cellStyle name="Currency 3 9 2 3 2" xfId="14322"/>
    <cellStyle name="Currency 3 9 2 3 2 2" xfId="34205"/>
    <cellStyle name="Currency 3 9 2 3 3" xfId="20474"/>
    <cellStyle name="Currency 3 9 2 3 3 2" xfId="40357"/>
    <cellStyle name="Currency 3 9 2 3 4" xfId="28052"/>
    <cellStyle name="Currency 3 9 2 4" xfId="11256"/>
    <cellStyle name="Currency 3 9 2 4 2" xfId="31139"/>
    <cellStyle name="Currency 3 9 2 5" xfId="17408"/>
    <cellStyle name="Currency 3 9 2 5 2" xfId="37291"/>
    <cellStyle name="Currency 3 9 2 6" xfId="24986"/>
    <cellStyle name="Currency 3 9 3" xfId="5793"/>
    <cellStyle name="Currency 3 9 3 2" xfId="8894"/>
    <cellStyle name="Currency 3 9 3 2 2" xfId="15087"/>
    <cellStyle name="Currency 3 9 3 2 2 2" xfId="34970"/>
    <cellStyle name="Currency 3 9 3 2 3" xfId="21239"/>
    <cellStyle name="Currency 3 9 3 2 3 2" xfId="41122"/>
    <cellStyle name="Currency 3 9 3 2 4" xfId="28817"/>
    <cellStyle name="Currency 3 9 3 3" xfId="12021"/>
    <cellStyle name="Currency 3 9 3 3 2" xfId="31904"/>
    <cellStyle name="Currency 3 9 3 4" xfId="18173"/>
    <cellStyle name="Currency 3 9 3 4 2" xfId="38056"/>
    <cellStyle name="Currency 3 9 3 5" xfId="25751"/>
    <cellStyle name="Currency 3 9 4" xfId="7359"/>
    <cellStyle name="Currency 3 9 4 2" xfId="13553"/>
    <cellStyle name="Currency 3 9 4 2 2" xfId="33436"/>
    <cellStyle name="Currency 3 9 4 3" xfId="19705"/>
    <cellStyle name="Currency 3 9 4 3 2" xfId="39588"/>
    <cellStyle name="Currency 3 9 4 4" xfId="27283"/>
    <cellStyle name="Currency 3 9 5" xfId="10487"/>
    <cellStyle name="Currency 3 9 5 2" xfId="30370"/>
    <cellStyle name="Currency 3 9 6" xfId="16639"/>
    <cellStyle name="Currency 3 9 6 2" xfId="36522"/>
    <cellStyle name="Currency 3 9 7" xfId="3251"/>
    <cellStyle name="Currency 3 9 7 2" xfId="24217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2 2" xfId="36302"/>
    <cellStyle name="Currency 4 2 2 3" xfId="22571"/>
    <cellStyle name="Currency 4 2 2 3 2" xfId="42454"/>
    <cellStyle name="Currency 4 2 2 4" xfId="30149"/>
    <cellStyle name="Currency 4 2 3" xfId="10229"/>
    <cellStyle name="Currency 4 2 3 2" xfId="16410"/>
    <cellStyle name="Currency 4 2 3 2 2" xfId="36293"/>
    <cellStyle name="Currency 4 2 3 3" xfId="22562"/>
    <cellStyle name="Currency 4 2 3 3 2" xfId="42445"/>
    <cellStyle name="Currency 4 2 3 4" xfId="30140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2 2" xfId="36301"/>
    <cellStyle name="Currency 4 3 5 3" xfId="22570"/>
    <cellStyle name="Currency 4 3 5 3 2" xfId="42453"/>
    <cellStyle name="Currency 4 3 5 4" xfId="30148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2 2" xfId="36292"/>
    <cellStyle name="Currency 4 7 3" xfId="22561"/>
    <cellStyle name="Currency 4 7 3 2" xfId="42444"/>
    <cellStyle name="Currency 4 7 4" xfId="30139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0 2" xfId="36312"/>
    <cellStyle name="Currency 5 11" xfId="1221"/>
    <cellStyle name="Currency 5 11 2" xfId="24007"/>
    <cellStyle name="Currency 5 12" xfId="23178"/>
    <cellStyle name="Currency 5 2" xfId="1293"/>
    <cellStyle name="Currency 5 2 10" xfId="16435"/>
    <cellStyle name="Currency 5 2 10 2" xfId="36318"/>
    <cellStyle name="Currency 5 2 11" xfId="23179"/>
    <cellStyle name="Currency 5 2 12" xfId="24013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2 2" xfId="36287"/>
    <cellStyle name="Currency 5 2 2 2 2 2 2 3" xfId="22556"/>
    <cellStyle name="Currency 5 2 2 2 2 2 2 3 2" xfId="42439"/>
    <cellStyle name="Currency 5 2 2 2 2 2 2 4" xfId="30134"/>
    <cellStyle name="Currency 5 2 2 2 2 2 3" xfId="13338"/>
    <cellStyle name="Currency 5 2 2 2 2 2 3 2" xfId="33221"/>
    <cellStyle name="Currency 5 2 2 2 2 2 4" xfId="19490"/>
    <cellStyle name="Currency 5 2 2 2 2 2 4 2" xfId="39373"/>
    <cellStyle name="Currency 5 2 2 2 2 2 5" xfId="27068"/>
    <cellStyle name="Currency 5 2 2 2 2 3" xfId="8676"/>
    <cellStyle name="Currency 5 2 2 2 2 3 2" xfId="14870"/>
    <cellStyle name="Currency 5 2 2 2 2 3 2 2" xfId="34753"/>
    <cellStyle name="Currency 5 2 2 2 2 3 3" xfId="21022"/>
    <cellStyle name="Currency 5 2 2 2 2 3 3 2" xfId="40905"/>
    <cellStyle name="Currency 5 2 2 2 2 3 4" xfId="28600"/>
    <cellStyle name="Currency 5 2 2 2 2 4" xfId="11804"/>
    <cellStyle name="Currency 5 2 2 2 2 4 2" xfId="31687"/>
    <cellStyle name="Currency 5 2 2 2 2 5" xfId="17956"/>
    <cellStyle name="Currency 5 2 2 2 2 5 2" xfId="37839"/>
    <cellStyle name="Currency 5 2 2 2 2 6" xfId="25534"/>
    <cellStyle name="Currency 5 2 2 2 3" xfId="6356"/>
    <cellStyle name="Currency 5 2 2 2 3 2" xfId="9442"/>
    <cellStyle name="Currency 5 2 2 2 3 2 2" xfId="15635"/>
    <cellStyle name="Currency 5 2 2 2 3 2 2 2" xfId="35518"/>
    <cellStyle name="Currency 5 2 2 2 3 2 3" xfId="21787"/>
    <cellStyle name="Currency 5 2 2 2 3 2 3 2" xfId="41670"/>
    <cellStyle name="Currency 5 2 2 2 3 2 4" xfId="29365"/>
    <cellStyle name="Currency 5 2 2 2 3 3" xfId="12569"/>
    <cellStyle name="Currency 5 2 2 2 3 3 2" xfId="32452"/>
    <cellStyle name="Currency 5 2 2 2 3 4" xfId="18721"/>
    <cellStyle name="Currency 5 2 2 2 3 4 2" xfId="38604"/>
    <cellStyle name="Currency 5 2 2 2 3 5" xfId="26299"/>
    <cellStyle name="Currency 5 2 2 2 4" xfId="7907"/>
    <cellStyle name="Currency 5 2 2 2 4 2" xfId="14101"/>
    <cellStyle name="Currency 5 2 2 2 4 2 2" xfId="33984"/>
    <cellStyle name="Currency 5 2 2 2 4 3" xfId="20253"/>
    <cellStyle name="Currency 5 2 2 2 4 3 2" xfId="40136"/>
    <cellStyle name="Currency 5 2 2 2 4 4" xfId="27831"/>
    <cellStyle name="Currency 5 2 2 2 5" xfId="11035"/>
    <cellStyle name="Currency 5 2 2 2 5 2" xfId="30918"/>
    <cellStyle name="Currency 5 2 2 2 6" xfId="17187"/>
    <cellStyle name="Currency 5 2 2 2 6 2" xfId="37070"/>
    <cellStyle name="Currency 5 2 2 2 7" xfId="24765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2 2" xfId="35546"/>
    <cellStyle name="Currency 5 2 2 4 2 2 3" xfId="21815"/>
    <cellStyle name="Currency 5 2 2 4 2 2 3 2" xfId="41698"/>
    <cellStyle name="Currency 5 2 2 4 2 2 4" xfId="29393"/>
    <cellStyle name="Currency 5 2 2 4 2 3" xfId="12597"/>
    <cellStyle name="Currency 5 2 2 4 2 3 2" xfId="32480"/>
    <cellStyle name="Currency 5 2 2 4 2 4" xfId="18749"/>
    <cellStyle name="Currency 5 2 2 4 2 4 2" xfId="38632"/>
    <cellStyle name="Currency 5 2 2 4 2 5" xfId="26327"/>
    <cellStyle name="Currency 5 2 2 4 3" xfId="7935"/>
    <cellStyle name="Currency 5 2 2 4 3 2" xfId="14129"/>
    <cellStyle name="Currency 5 2 2 4 3 2 2" xfId="34012"/>
    <cellStyle name="Currency 5 2 2 4 3 3" xfId="20281"/>
    <cellStyle name="Currency 5 2 2 4 3 3 2" xfId="40164"/>
    <cellStyle name="Currency 5 2 2 4 3 4" xfId="27859"/>
    <cellStyle name="Currency 5 2 2 4 4" xfId="11063"/>
    <cellStyle name="Currency 5 2 2 4 4 2" xfId="30946"/>
    <cellStyle name="Currency 5 2 2 4 5" xfId="17215"/>
    <cellStyle name="Currency 5 2 2 4 5 2" xfId="37098"/>
    <cellStyle name="Currency 5 2 2 4 6" xfId="24793"/>
    <cellStyle name="Currency 5 2 2 5" xfId="5598"/>
    <cellStyle name="Currency 5 2 2 5 2" xfId="8701"/>
    <cellStyle name="Currency 5 2 2 5 2 2" xfId="14894"/>
    <cellStyle name="Currency 5 2 2 5 2 2 2" xfId="34777"/>
    <cellStyle name="Currency 5 2 2 5 2 3" xfId="21046"/>
    <cellStyle name="Currency 5 2 2 5 2 3 2" xfId="40929"/>
    <cellStyle name="Currency 5 2 2 5 2 4" xfId="28624"/>
    <cellStyle name="Currency 5 2 2 5 3" xfId="11828"/>
    <cellStyle name="Currency 5 2 2 5 3 2" xfId="31711"/>
    <cellStyle name="Currency 5 2 2 5 4" xfId="17980"/>
    <cellStyle name="Currency 5 2 2 5 4 2" xfId="37863"/>
    <cellStyle name="Currency 5 2 2 5 5" xfId="25558"/>
    <cellStyle name="Currency 5 2 2 6" xfId="7166"/>
    <cellStyle name="Currency 5 2 2 6 2" xfId="13360"/>
    <cellStyle name="Currency 5 2 2 6 2 2" xfId="33243"/>
    <cellStyle name="Currency 5 2 2 6 3" xfId="19512"/>
    <cellStyle name="Currency 5 2 2 6 3 2" xfId="39395"/>
    <cellStyle name="Currency 5 2 2 6 4" xfId="27090"/>
    <cellStyle name="Currency 5 2 2 7" xfId="10294"/>
    <cellStyle name="Currency 5 2 2 7 2" xfId="30177"/>
    <cellStyle name="Currency 5 2 2 8" xfId="16446"/>
    <cellStyle name="Currency 5 2 2 8 2" xfId="36329"/>
    <cellStyle name="Currency 5 2 2 9" xfId="24024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2 2" xfId="36278"/>
    <cellStyle name="Currency 5 2 4 2 2 2 3" xfId="22547"/>
    <cellStyle name="Currency 5 2 4 2 2 2 3 2" xfId="42430"/>
    <cellStyle name="Currency 5 2 4 2 2 2 4" xfId="30125"/>
    <cellStyle name="Currency 5 2 4 2 2 3" xfId="13329"/>
    <cellStyle name="Currency 5 2 4 2 2 3 2" xfId="33212"/>
    <cellStyle name="Currency 5 2 4 2 2 4" xfId="19481"/>
    <cellStyle name="Currency 5 2 4 2 2 4 2" xfId="39364"/>
    <cellStyle name="Currency 5 2 4 2 2 5" xfId="27059"/>
    <cellStyle name="Currency 5 2 4 2 3" xfId="8667"/>
    <cellStyle name="Currency 5 2 4 2 3 2" xfId="14861"/>
    <cellStyle name="Currency 5 2 4 2 3 2 2" xfId="34744"/>
    <cellStyle name="Currency 5 2 4 2 3 3" xfId="21013"/>
    <cellStyle name="Currency 5 2 4 2 3 3 2" xfId="40896"/>
    <cellStyle name="Currency 5 2 4 2 3 4" xfId="28591"/>
    <cellStyle name="Currency 5 2 4 2 4" xfId="11795"/>
    <cellStyle name="Currency 5 2 4 2 4 2" xfId="31678"/>
    <cellStyle name="Currency 5 2 4 2 5" xfId="17947"/>
    <cellStyle name="Currency 5 2 4 2 5 2" xfId="37830"/>
    <cellStyle name="Currency 5 2 4 2 6" xfId="25525"/>
    <cellStyle name="Currency 5 2 4 3" xfId="6347"/>
    <cellStyle name="Currency 5 2 4 3 2" xfId="9433"/>
    <cellStyle name="Currency 5 2 4 3 2 2" xfId="15626"/>
    <cellStyle name="Currency 5 2 4 3 2 2 2" xfId="35509"/>
    <cellStyle name="Currency 5 2 4 3 2 3" xfId="21778"/>
    <cellStyle name="Currency 5 2 4 3 2 3 2" xfId="41661"/>
    <cellStyle name="Currency 5 2 4 3 2 4" xfId="29356"/>
    <cellStyle name="Currency 5 2 4 3 3" xfId="12560"/>
    <cellStyle name="Currency 5 2 4 3 3 2" xfId="32443"/>
    <cellStyle name="Currency 5 2 4 3 4" xfId="18712"/>
    <cellStyle name="Currency 5 2 4 3 4 2" xfId="38595"/>
    <cellStyle name="Currency 5 2 4 3 5" xfId="26290"/>
    <cellStyle name="Currency 5 2 4 4" xfId="7898"/>
    <cellStyle name="Currency 5 2 4 4 2" xfId="14092"/>
    <cellStyle name="Currency 5 2 4 4 2 2" xfId="33975"/>
    <cellStyle name="Currency 5 2 4 4 3" xfId="20244"/>
    <cellStyle name="Currency 5 2 4 4 3 2" xfId="40127"/>
    <cellStyle name="Currency 5 2 4 4 4" xfId="27822"/>
    <cellStyle name="Currency 5 2 4 5" xfId="11026"/>
    <cellStyle name="Currency 5 2 4 5 2" xfId="30909"/>
    <cellStyle name="Currency 5 2 4 6" xfId="17178"/>
    <cellStyle name="Currency 5 2 4 6 2" xfId="37061"/>
    <cellStyle name="Currency 5 2 4 7" xfId="24756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2 2" xfId="35535"/>
    <cellStyle name="Currency 5 2 6 2 2 3" xfId="21804"/>
    <cellStyle name="Currency 5 2 6 2 2 3 2" xfId="41687"/>
    <cellStyle name="Currency 5 2 6 2 2 4" xfId="29382"/>
    <cellStyle name="Currency 5 2 6 2 3" xfId="12586"/>
    <cellStyle name="Currency 5 2 6 2 3 2" xfId="32469"/>
    <cellStyle name="Currency 5 2 6 2 4" xfId="18738"/>
    <cellStyle name="Currency 5 2 6 2 4 2" xfId="38621"/>
    <cellStyle name="Currency 5 2 6 2 5" xfId="26316"/>
    <cellStyle name="Currency 5 2 6 3" xfId="7924"/>
    <cellStyle name="Currency 5 2 6 3 2" xfId="14118"/>
    <cellStyle name="Currency 5 2 6 3 2 2" xfId="34001"/>
    <cellStyle name="Currency 5 2 6 3 3" xfId="20270"/>
    <cellStyle name="Currency 5 2 6 3 3 2" xfId="40153"/>
    <cellStyle name="Currency 5 2 6 3 4" xfId="27848"/>
    <cellStyle name="Currency 5 2 6 4" xfId="11052"/>
    <cellStyle name="Currency 5 2 6 4 2" xfId="30935"/>
    <cellStyle name="Currency 5 2 6 5" xfId="17204"/>
    <cellStyle name="Currency 5 2 6 5 2" xfId="37087"/>
    <cellStyle name="Currency 5 2 6 6" xfId="24782"/>
    <cellStyle name="Currency 5 2 7" xfId="5586"/>
    <cellStyle name="Currency 5 2 7 2" xfId="8690"/>
    <cellStyle name="Currency 5 2 7 2 2" xfId="14883"/>
    <cellStyle name="Currency 5 2 7 2 2 2" xfId="34766"/>
    <cellStyle name="Currency 5 2 7 2 3" xfId="21035"/>
    <cellStyle name="Currency 5 2 7 2 3 2" xfId="40918"/>
    <cellStyle name="Currency 5 2 7 2 4" xfId="28613"/>
    <cellStyle name="Currency 5 2 7 3" xfId="11817"/>
    <cellStyle name="Currency 5 2 7 3 2" xfId="31700"/>
    <cellStyle name="Currency 5 2 7 4" xfId="17969"/>
    <cellStyle name="Currency 5 2 7 4 2" xfId="37852"/>
    <cellStyle name="Currency 5 2 7 5" xfId="25547"/>
    <cellStyle name="Currency 5 2 8" xfId="7155"/>
    <cellStyle name="Currency 5 2 8 2" xfId="13349"/>
    <cellStyle name="Currency 5 2 8 2 2" xfId="33232"/>
    <cellStyle name="Currency 5 2 8 3" xfId="19501"/>
    <cellStyle name="Currency 5 2 8 3 2" xfId="39384"/>
    <cellStyle name="Currency 5 2 8 4" xfId="27079"/>
    <cellStyle name="Currency 5 2 9" xfId="10283"/>
    <cellStyle name="Currency 5 2 9 2" xfId="30166"/>
    <cellStyle name="Currency 5 3" xfId="1306"/>
    <cellStyle name="Currency 5 3 10" xfId="24018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2 2" xfId="36282"/>
    <cellStyle name="Currency 5 3 2 2 2 2 3" xfId="22551"/>
    <cellStyle name="Currency 5 3 2 2 2 2 3 2" xfId="42434"/>
    <cellStyle name="Currency 5 3 2 2 2 2 4" xfId="30129"/>
    <cellStyle name="Currency 5 3 2 2 2 3" xfId="13333"/>
    <cellStyle name="Currency 5 3 2 2 2 3 2" xfId="33216"/>
    <cellStyle name="Currency 5 3 2 2 2 4" xfId="19485"/>
    <cellStyle name="Currency 5 3 2 2 2 4 2" xfId="39368"/>
    <cellStyle name="Currency 5 3 2 2 2 5" xfId="27063"/>
    <cellStyle name="Currency 5 3 2 2 3" xfId="8671"/>
    <cellStyle name="Currency 5 3 2 2 3 2" xfId="14865"/>
    <cellStyle name="Currency 5 3 2 2 3 2 2" xfId="34748"/>
    <cellStyle name="Currency 5 3 2 2 3 3" xfId="21017"/>
    <cellStyle name="Currency 5 3 2 2 3 3 2" xfId="40900"/>
    <cellStyle name="Currency 5 3 2 2 3 4" xfId="28595"/>
    <cellStyle name="Currency 5 3 2 2 4" xfId="11799"/>
    <cellStyle name="Currency 5 3 2 2 4 2" xfId="31682"/>
    <cellStyle name="Currency 5 3 2 2 5" xfId="17951"/>
    <cellStyle name="Currency 5 3 2 2 5 2" xfId="37834"/>
    <cellStyle name="Currency 5 3 2 2 6" xfId="25529"/>
    <cellStyle name="Currency 5 3 2 3" xfId="6351"/>
    <cellStyle name="Currency 5 3 2 3 2" xfId="9437"/>
    <cellStyle name="Currency 5 3 2 3 2 2" xfId="15630"/>
    <cellStyle name="Currency 5 3 2 3 2 2 2" xfId="35513"/>
    <cellStyle name="Currency 5 3 2 3 2 3" xfId="21782"/>
    <cellStyle name="Currency 5 3 2 3 2 3 2" xfId="41665"/>
    <cellStyle name="Currency 5 3 2 3 2 4" xfId="29360"/>
    <cellStyle name="Currency 5 3 2 3 3" xfId="12564"/>
    <cellStyle name="Currency 5 3 2 3 3 2" xfId="32447"/>
    <cellStyle name="Currency 5 3 2 3 4" xfId="18716"/>
    <cellStyle name="Currency 5 3 2 3 4 2" xfId="38599"/>
    <cellStyle name="Currency 5 3 2 3 5" xfId="26294"/>
    <cellStyle name="Currency 5 3 2 4" xfId="7902"/>
    <cellStyle name="Currency 5 3 2 4 2" xfId="14096"/>
    <cellStyle name="Currency 5 3 2 4 2 2" xfId="33979"/>
    <cellStyle name="Currency 5 3 2 4 3" xfId="20248"/>
    <cellStyle name="Currency 5 3 2 4 3 2" xfId="40131"/>
    <cellStyle name="Currency 5 3 2 4 4" xfId="27826"/>
    <cellStyle name="Currency 5 3 2 5" xfId="11030"/>
    <cellStyle name="Currency 5 3 2 5 2" xfId="30913"/>
    <cellStyle name="Currency 5 3 2 6" xfId="17182"/>
    <cellStyle name="Currency 5 3 2 6 2" xfId="37065"/>
    <cellStyle name="Currency 5 3 2 7" xfId="24760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2 2" xfId="35540"/>
    <cellStyle name="Currency 5 3 4 2 2 3" xfId="21809"/>
    <cellStyle name="Currency 5 3 4 2 2 3 2" xfId="41692"/>
    <cellStyle name="Currency 5 3 4 2 2 4" xfId="29387"/>
    <cellStyle name="Currency 5 3 4 2 3" xfId="12591"/>
    <cellStyle name="Currency 5 3 4 2 3 2" xfId="32474"/>
    <cellStyle name="Currency 5 3 4 2 4" xfId="18743"/>
    <cellStyle name="Currency 5 3 4 2 4 2" xfId="38626"/>
    <cellStyle name="Currency 5 3 4 2 5" xfId="26321"/>
    <cellStyle name="Currency 5 3 4 3" xfId="7929"/>
    <cellStyle name="Currency 5 3 4 3 2" xfId="14123"/>
    <cellStyle name="Currency 5 3 4 3 2 2" xfId="34006"/>
    <cellStyle name="Currency 5 3 4 3 3" xfId="20275"/>
    <cellStyle name="Currency 5 3 4 3 3 2" xfId="40158"/>
    <cellStyle name="Currency 5 3 4 3 4" xfId="27853"/>
    <cellStyle name="Currency 5 3 4 4" xfId="11057"/>
    <cellStyle name="Currency 5 3 4 4 2" xfId="30940"/>
    <cellStyle name="Currency 5 3 4 5" xfId="17209"/>
    <cellStyle name="Currency 5 3 4 5 2" xfId="37092"/>
    <cellStyle name="Currency 5 3 4 6" xfId="24787"/>
    <cellStyle name="Currency 5 3 5" xfId="5592"/>
    <cellStyle name="Currency 5 3 5 2" xfId="8695"/>
    <cellStyle name="Currency 5 3 5 2 2" xfId="14888"/>
    <cellStyle name="Currency 5 3 5 2 2 2" xfId="34771"/>
    <cellStyle name="Currency 5 3 5 2 3" xfId="21040"/>
    <cellStyle name="Currency 5 3 5 2 3 2" xfId="40923"/>
    <cellStyle name="Currency 5 3 5 2 4" xfId="28618"/>
    <cellStyle name="Currency 5 3 5 3" xfId="11822"/>
    <cellStyle name="Currency 5 3 5 3 2" xfId="31705"/>
    <cellStyle name="Currency 5 3 5 4" xfId="17974"/>
    <cellStyle name="Currency 5 3 5 4 2" xfId="37857"/>
    <cellStyle name="Currency 5 3 5 5" xfId="25552"/>
    <cellStyle name="Currency 5 3 6" xfId="7160"/>
    <cellStyle name="Currency 5 3 6 2" xfId="13354"/>
    <cellStyle name="Currency 5 3 6 2 2" xfId="33237"/>
    <cellStyle name="Currency 5 3 6 3" xfId="19506"/>
    <cellStyle name="Currency 5 3 6 3 2" xfId="39389"/>
    <cellStyle name="Currency 5 3 6 4" xfId="27084"/>
    <cellStyle name="Currency 5 3 7" xfId="10288"/>
    <cellStyle name="Currency 5 3 7 2" xfId="30171"/>
    <cellStyle name="Currency 5 3 8" xfId="16440"/>
    <cellStyle name="Currency 5 3 8 2" xfId="36323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2 2" xfId="36274"/>
    <cellStyle name="Currency 5 4 2 2 2 3" xfId="22543"/>
    <cellStyle name="Currency 5 4 2 2 2 3 2" xfId="42426"/>
    <cellStyle name="Currency 5 4 2 2 2 4" xfId="30121"/>
    <cellStyle name="Currency 5 4 2 2 3" xfId="13325"/>
    <cellStyle name="Currency 5 4 2 2 3 2" xfId="33208"/>
    <cellStyle name="Currency 5 4 2 2 4" xfId="19477"/>
    <cellStyle name="Currency 5 4 2 2 4 2" xfId="39360"/>
    <cellStyle name="Currency 5 4 2 2 5" xfId="27055"/>
    <cellStyle name="Currency 5 4 2 3" xfId="8663"/>
    <cellStyle name="Currency 5 4 2 3 2" xfId="14857"/>
    <cellStyle name="Currency 5 4 2 3 2 2" xfId="34740"/>
    <cellStyle name="Currency 5 4 2 3 3" xfId="21009"/>
    <cellStyle name="Currency 5 4 2 3 3 2" xfId="40892"/>
    <cellStyle name="Currency 5 4 2 3 4" xfId="28587"/>
    <cellStyle name="Currency 5 4 2 4" xfId="11791"/>
    <cellStyle name="Currency 5 4 2 4 2" xfId="31674"/>
    <cellStyle name="Currency 5 4 2 5" xfId="17943"/>
    <cellStyle name="Currency 5 4 2 5 2" xfId="37826"/>
    <cellStyle name="Currency 5 4 2 6" xfId="25521"/>
    <cellStyle name="Currency 5 4 3" xfId="6342"/>
    <cellStyle name="Currency 5 4 3 2" xfId="9429"/>
    <cellStyle name="Currency 5 4 3 2 2" xfId="15622"/>
    <cellStyle name="Currency 5 4 3 2 2 2" xfId="35505"/>
    <cellStyle name="Currency 5 4 3 2 3" xfId="21774"/>
    <cellStyle name="Currency 5 4 3 2 3 2" xfId="41657"/>
    <cellStyle name="Currency 5 4 3 2 4" xfId="29352"/>
    <cellStyle name="Currency 5 4 3 3" xfId="12556"/>
    <cellStyle name="Currency 5 4 3 3 2" xfId="32439"/>
    <cellStyle name="Currency 5 4 3 4" xfId="18708"/>
    <cellStyle name="Currency 5 4 3 4 2" xfId="38591"/>
    <cellStyle name="Currency 5 4 3 5" xfId="26286"/>
    <cellStyle name="Currency 5 4 4" xfId="7894"/>
    <cellStyle name="Currency 5 4 4 2" xfId="14088"/>
    <cellStyle name="Currency 5 4 4 2 2" xfId="33971"/>
    <cellStyle name="Currency 5 4 4 3" xfId="20240"/>
    <cellStyle name="Currency 5 4 4 3 2" xfId="40123"/>
    <cellStyle name="Currency 5 4 4 4" xfId="27818"/>
    <cellStyle name="Currency 5 4 5" xfId="11022"/>
    <cellStyle name="Currency 5 4 5 2" xfId="30905"/>
    <cellStyle name="Currency 5 4 6" xfId="17174"/>
    <cellStyle name="Currency 5 4 6 2" xfId="37057"/>
    <cellStyle name="Currency 5 4 7" xfId="23181"/>
    <cellStyle name="Currency 5 4 8" xfId="24752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2 2" xfId="35526"/>
    <cellStyle name="Currency 5 6 2 2 3" xfId="21795"/>
    <cellStyle name="Currency 5 6 2 2 3 2" xfId="41678"/>
    <cellStyle name="Currency 5 6 2 2 4" xfId="29373"/>
    <cellStyle name="Currency 5 6 2 3" xfId="12577"/>
    <cellStyle name="Currency 5 6 2 3 2" xfId="32460"/>
    <cellStyle name="Currency 5 6 2 4" xfId="18729"/>
    <cellStyle name="Currency 5 6 2 4 2" xfId="38612"/>
    <cellStyle name="Currency 5 6 2 5" xfId="26307"/>
    <cellStyle name="Currency 5 6 3" xfId="7915"/>
    <cellStyle name="Currency 5 6 3 2" xfId="14109"/>
    <cellStyle name="Currency 5 6 3 2 2" xfId="33992"/>
    <cellStyle name="Currency 5 6 3 3" xfId="20261"/>
    <cellStyle name="Currency 5 6 3 3 2" xfId="40144"/>
    <cellStyle name="Currency 5 6 3 4" xfId="27839"/>
    <cellStyle name="Currency 5 6 4" xfId="11043"/>
    <cellStyle name="Currency 5 6 4 2" xfId="30926"/>
    <cellStyle name="Currency 5 6 5" xfId="17195"/>
    <cellStyle name="Currency 5 6 5 2" xfId="37078"/>
    <cellStyle name="Currency 5 6 6" xfId="24773"/>
    <cellStyle name="Currency 5 7" xfId="5580"/>
    <cellStyle name="Currency 5 7 2" xfId="8684"/>
    <cellStyle name="Currency 5 7 2 2" xfId="14877"/>
    <cellStyle name="Currency 5 7 2 2 2" xfId="34760"/>
    <cellStyle name="Currency 5 7 2 3" xfId="21029"/>
    <cellStyle name="Currency 5 7 2 3 2" xfId="40912"/>
    <cellStyle name="Currency 5 7 2 4" xfId="28607"/>
    <cellStyle name="Currency 5 7 3" xfId="11811"/>
    <cellStyle name="Currency 5 7 3 2" xfId="31694"/>
    <cellStyle name="Currency 5 7 4" xfId="17963"/>
    <cellStyle name="Currency 5 7 4 2" xfId="37846"/>
    <cellStyle name="Currency 5 7 5" xfId="25541"/>
    <cellStyle name="Currency 5 8" xfId="7149"/>
    <cellStyle name="Currency 5 8 2" xfId="13343"/>
    <cellStyle name="Currency 5 8 2 2" xfId="33226"/>
    <cellStyle name="Currency 5 8 3" xfId="19495"/>
    <cellStyle name="Currency 5 8 3 2" xfId="39378"/>
    <cellStyle name="Currency 5 8 4" xfId="27073"/>
    <cellStyle name="Currency 5 9" xfId="10277"/>
    <cellStyle name="Currency 5 9 2" xfId="30160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2 2" xfId="36303"/>
    <cellStyle name="Currency 7 2 4 3" xfId="22572"/>
    <cellStyle name="Currency 7 2 4 3 2" xfId="42455"/>
    <cellStyle name="Currency 7 2 4 4" xfId="30150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2 2" xfId="36294"/>
    <cellStyle name="Currency 7 6 3" xfId="22563"/>
    <cellStyle name="Currency 7 6 3 2" xfId="42446"/>
    <cellStyle name="Currency 7 6 4" xfId="30141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15" xfId="23330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4 2" xfId="23714"/>
    <cellStyle name="Normal 10 2 2 5" xfId="23206"/>
    <cellStyle name="Normal 10 2 2 5 2" xfId="43002"/>
    <cellStyle name="Normal 10 2 2 6" xfId="23381"/>
    <cellStyle name="Normal 10 2 3" xfId="108"/>
    <cellStyle name="Normal 10 2 3 2" xfId="3420"/>
    <cellStyle name="Normal 10 2 3 3" xfId="23207"/>
    <cellStyle name="Normal 10 2 3 3 2" xfId="43003"/>
    <cellStyle name="Normal 10 2 3 4" xfId="23356"/>
    <cellStyle name="Normal 10 2 4" xfId="3417"/>
    <cellStyle name="Normal 10 2 5" xfId="22807"/>
    <cellStyle name="Normal 10 2 5 2" xfId="42681"/>
    <cellStyle name="Normal 10 2 6" xfId="22834"/>
    <cellStyle name="Normal 10 2 6 2" xfId="42708"/>
    <cellStyle name="Normal 10 2 7" xfId="216"/>
    <cellStyle name="Normal 10 2 7 2" xfId="23411"/>
    <cellStyle name="Normal 10 2 8" xfId="23205"/>
    <cellStyle name="Normal 10 2 9" xfId="23343"/>
    <cellStyle name="Normal 10 3" xfId="81"/>
    <cellStyle name="Normal 10 3 10" xfId="16640"/>
    <cellStyle name="Normal 10 3 10 2" xfId="36523"/>
    <cellStyle name="Normal 10 3 11" xfId="3421"/>
    <cellStyle name="Normal 10 3 11 2" xfId="24218"/>
    <cellStyle name="Normal 10 3 12" xfId="23208"/>
    <cellStyle name="Normal 10 3 13" xfId="23342"/>
    <cellStyle name="Normal 10 3 2" xfId="137"/>
    <cellStyle name="Normal 10 3 2 10" xfId="3422"/>
    <cellStyle name="Normal 10 3 2 10 2" xfId="24219"/>
    <cellStyle name="Normal 10 3 2 11" xfId="23380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2 2" xfId="35743"/>
    <cellStyle name="Normal 10 3 2 2 2 2 2 2 3" xfId="22012"/>
    <cellStyle name="Normal 10 3 2 2 2 2 2 2 3 2" xfId="41895"/>
    <cellStyle name="Normal 10 3 2 2 2 2 2 2 4" xfId="29590"/>
    <cellStyle name="Normal 10 3 2 2 2 2 2 3" xfId="12794"/>
    <cellStyle name="Normal 10 3 2 2 2 2 2 3 2" xfId="32677"/>
    <cellStyle name="Normal 10 3 2 2 2 2 2 4" xfId="18946"/>
    <cellStyle name="Normal 10 3 2 2 2 2 2 4 2" xfId="38829"/>
    <cellStyle name="Normal 10 3 2 2 2 2 2 5" xfId="26524"/>
    <cellStyle name="Normal 10 3 2 2 2 2 3" xfId="8132"/>
    <cellStyle name="Normal 10 3 2 2 2 2 3 2" xfId="14326"/>
    <cellStyle name="Normal 10 3 2 2 2 2 3 2 2" xfId="34209"/>
    <cellStyle name="Normal 10 3 2 2 2 2 3 3" xfId="20478"/>
    <cellStyle name="Normal 10 3 2 2 2 2 3 3 2" xfId="40361"/>
    <cellStyle name="Normal 10 3 2 2 2 2 3 4" xfId="28056"/>
    <cellStyle name="Normal 10 3 2 2 2 2 4" xfId="11260"/>
    <cellStyle name="Normal 10 3 2 2 2 2 4 2" xfId="31143"/>
    <cellStyle name="Normal 10 3 2 2 2 2 5" xfId="17412"/>
    <cellStyle name="Normal 10 3 2 2 2 2 5 2" xfId="37295"/>
    <cellStyle name="Normal 10 3 2 2 2 2 6" xfId="24990"/>
    <cellStyle name="Normal 10 3 2 2 2 3" xfId="5798"/>
    <cellStyle name="Normal 10 3 2 2 2 3 2" xfId="8898"/>
    <cellStyle name="Normal 10 3 2 2 2 3 2 2" xfId="15091"/>
    <cellStyle name="Normal 10 3 2 2 2 3 2 2 2" xfId="34974"/>
    <cellStyle name="Normal 10 3 2 2 2 3 2 3" xfId="21243"/>
    <cellStyle name="Normal 10 3 2 2 2 3 2 3 2" xfId="41126"/>
    <cellStyle name="Normal 10 3 2 2 2 3 2 4" xfId="28821"/>
    <cellStyle name="Normal 10 3 2 2 2 3 3" xfId="12025"/>
    <cellStyle name="Normal 10 3 2 2 2 3 3 2" xfId="31908"/>
    <cellStyle name="Normal 10 3 2 2 2 3 4" xfId="18177"/>
    <cellStyle name="Normal 10 3 2 2 2 3 4 2" xfId="38060"/>
    <cellStyle name="Normal 10 3 2 2 2 3 5" xfId="25755"/>
    <cellStyle name="Normal 10 3 2 2 2 4" xfId="7363"/>
    <cellStyle name="Normal 10 3 2 2 2 4 2" xfId="13557"/>
    <cellStyle name="Normal 10 3 2 2 2 4 2 2" xfId="33440"/>
    <cellStyle name="Normal 10 3 2 2 2 4 3" xfId="19709"/>
    <cellStyle name="Normal 10 3 2 2 2 4 3 2" xfId="39592"/>
    <cellStyle name="Normal 10 3 2 2 2 4 4" xfId="27287"/>
    <cellStyle name="Normal 10 3 2 2 2 5" xfId="10491"/>
    <cellStyle name="Normal 10 3 2 2 2 5 2" xfId="30374"/>
    <cellStyle name="Normal 10 3 2 2 2 6" xfId="16643"/>
    <cellStyle name="Normal 10 3 2 2 2 6 2" xfId="36526"/>
    <cellStyle name="Normal 10 3 2 2 2 7" xfId="24221"/>
    <cellStyle name="Normal 10 3 2 2 3" xfId="4955"/>
    <cellStyle name="Normal 10 3 2 2 3 2" xfId="6580"/>
    <cellStyle name="Normal 10 3 2 2 3 2 2" xfId="9666"/>
    <cellStyle name="Normal 10 3 2 2 3 2 2 2" xfId="15859"/>
    <cellStyle name="Normal 10 3 2 2 3 2 2 2 2" xfId="35742"/>
    <cellStyle name="Normal 10 3 2 2 3 2 2 3" xfId="22011"/>
    <cellStyle name="Normal 10 3 2 2 3 2 2 3 2" xfId="41894"/>
    <cellStyle name="Normal 10 3 2 2 3 2 2 4" xfId="29589"/>
    <cellStyle name="Normal 10 3 2 2 3 2 3" xfId="12793"/>
    <cellStyle name="Normal 10 3 2 2 3 2 3 2" xfId="32676"/>
    <cellStyle name="Normal 10 3 2 2 3 2 4" xfId="18945"/>
    <cellStyle name="Normal 10 3 2 2 3 2 4 2" xfId="38828"/>
    <cellStyle name="Normal 10 3 2 2 3 2 5" xfId="26523"/>
    <cellStyle name="Normal 10 3 2 2 3 3" xfId="8131"/>
    <cellStyle name="Normal 10 3 2 2 3 3 2" xfId="14325"/>
    <cellStyle name="Normal 10 3 2 2 3 3 2 2" xfId="34208"/>
    <cellStyle name="Normal 10 3 2 2 3 3 3" xfId="20477"/>
    <cellStyle name="Normal 10 3 2 2 3 3 3 2" xfId="40360"/>
    <cellStyle name="Normal 10 3 2 2 3 3 4" xfId="28055"/>
    <cellStyle name="Normal 10 3 2 2 3 4" xfId="11259"/>
    <cellStyle name="Normal 10 3 2 2 3 4 2" xfId="31142"/>
    <cellStyle name="Normal 10 3 2 2 3 5" xfId="17411"/>
    <cellStyle name="Normal 10 3 2 2 3 5 2" xfId="37294"/>
    <cellStyle name="Normal 10 3 2 2 3 6" xfId="24989"/>
    <cellStyle name="Normal 10 3 2 2 4" xfId="5797"/>
    <cellStyle name="Normal 10 3 2 2 4 2" xfId="8897"/>
    <cellStyle name="Normal 10 3 2 2 4 2 2" xfId="15090"/>
    <cellStyle name="Normal 10 3 2 2 4 2 2 2" xfId="34973"/>
    <cellStyle name="Normal 10 3 2 2 4 2 3" xfId="21242"/>
    <cellStyle name="Normal 10 3 2 2 4 2 3 2" xfId="41125"/>
    <cellStyle name="Normal 10 3 2 2 4 2 4" xfId="28820"/>
    <cellStyle name="Normal 10 3 2 2 4 3" xfId="12024"/>
    <cellStyle name="Normal 10 3 2 2 4 3 2" xfId="31907"/>
    <cellStyle name="Normal 10 3 2 2 4 4" xfId="18176"/>
    <cellStyle name="Normal 10 3 2 2 4 4 2" xfId="38059"/>
    <cellStyle name="Normal 10 3 2 2 4 5" xfId="25754"/>
    <cellStyle name="Normal 10 3 2 2 5" xfId="7362"/>
    <cellStyle name="Normal 10 3 2 2 5 2" xfId="13556"/>
    <cellStyle name="Normal 10 3 2 2 5 2 2" xfId="33439"/>
    <cellStyle name="Normal 10 3 2 2 5 3" xfId="19708"/>
    <cellStyle name="Normal 10 3 2 2 5 3 2" xfId="39591"/>
    <cellStyle name="Normal 10 3 2 2 5 4" xfId="27286"/>
    <cellStyle name="Normal 10 3 2 2 6" xfId="10490"/>
    <cellStyle name="Normal 10 3 2 2 6 2" xfId="30373"/>
    <cellStyle name="Normal 10 3 2 2 7" xfId="16642"/>
    <cellStyle name="Normal 10 3 2 2 7 2" xfId="36525"/>
    <cellStyle name="Normal 10 3 2 2 8" xfId="24220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2 2" xfId="35745"/>
    <cellStyle name="Normal 10 3 2 3 2 2 2 2 3" xfId="22014"/>
    <cellStyle name="Normal 10 3 2 3 2 2 2 2 3 2" xfId="41897"/>
    <cellStyle name="Normal 10 3 2 3 2 2 2 2 4" xfId="29592"/>
    <cellStyle name="Normal 10 3 2 3 2 2 2 3" xfId="12796"/>
    <cellStyle name="Normal 10 3 2 3 2 2 2 3 2" xfId="32679"/>
    <cellStyle name="Normal 10 3 2 3 2 2 2 4" xfId="18948"/>
    <cellStyle name="Normal 10 3 2 3 2 2 2 4 2" xfId="38831"/>
    <cellStyle name="Normal 10 3 2 3 2 2 2 5" xfId="26526"/>
    <cellStyle name="Normal 10 3 2 3 2 2 3" xfId="8134"/>
    <cellStyle name="Normal 10 3 2 3 2 2 3 2" xfId="14328"/>
    <cellStyle name="Normal 10 3 2 3 2 2 3 2 2" xfId="34211"/>
    <cellStyle name="Normal 10 3 2 3 2 2 3 3" xfId="20480"/>
    <cellStyle name="Normal 10 3 2 3 2 2 3 3 2" xfId="40363"/>
    <cellStyle name="Normal 10 3 2 3 2 2 3 4" xfId="28058"/>
    <cellStyle name="Normal 10 3 2 3 2 2 4" xfId="11262"/>
    <cellStyle name="Normal 10 3 2 3 2 2 4 2" xfId="31145"/>
    <cellStyle name="Normal 10 3 2 3 2 2 5" xfId="17414"/>
    <cellStyle name="Normal 10 3 2 3 2 2 5 2" xfId="37297"/>
    <cellStyle name="Normal 10 3 2 3 2 2 6" xfId="24992"/>
    <cellStyle name="Normal 10 3 2 3 2 3" xfId="5800"/>
    <cellStyle name="Normal 10 3 2 3 2 3 2" xfId="8900"/>
    <cellStyle name="Normal 10 3 2 3 2 3 2 2" xfId="15093"/>
    <cellStyle name="Normal 10 3 2 3 2 3 2 2 2" xfId="34976"/>
    <cellStyle name="Normal 10 3 2 3 2 3 2 3" xfId="21245"/>
    <cellStyle name="Normal 10 3 2 3 2 3 2 3 2" xfId="41128"/>
    <cellStyle name="Normal 10 3 2 3 2 3 2 4" xfId="28823"/>
    <cellStyle name="Normal 10 3 2 3 2 3 3" xfId="12027"/>
    <cellStyle name="Normal 10 3 2 3 2 3 3 2" xfId="31910"/>
    <cellStyle name="Normal 10 3 2 3 2 3 4" xfId="18179"/>
    <cellStyle name="Normal 10 3 2 3 2 3 4 2" xfId="38062"/>
    <cellStyle name="Normal 10 3 2 3 2 3 5" xfId="25757"/>
    <cellStyle name="Normal 10 3 2 3 2 4" xfId="7365"/>
    <cellStyle name="Normal 10 3 2 3 2 4 2" xfId="13559"/>
    <cellStyle name="Normal 10 3 2 3 2 4 2 2" xfId="33442"/>
    <cellStyle name="Normal 10 3 2 3 2 4 3" xfId="19711"/>
    <cellStyle name="Normal 10 3 2 3 2 4 3 2" xfId="39594"/>
    <cellStyle name="Normal 10 3 2 3 2 4 4" xfId="27289"/>
    <cellStyle name="Normal 10 3 2 3 2 5" xfId="10493"/>
    <cellStyle name="Normal 10 3 2 3 2 5 2" xfId="30376"/>
    <cellStyle name="Normal 10 3 2 3 2 6" xfId="16645"/>
    <cellStyle name="Normal 10 3 2 3 2 6 2" xfId="36528"/>
    <cellStyle name="Normal 10 3 2 3 2 7" xfId="24223"/>
    <cellStyle name="Normal 10 3 2 3 3" xfId="4957"/>
    <cellStyle name="Normal 10 3 2 3 3 2" xfId="6582"/>
    <cellStyle name="Normal 10 3 2 3 3 2 2" xfId="9668"/>
    <cellStyle name="Normal 10 3 2 3 3 2 2 2" xfId="15861"/>
    <cellStyle name="Normal 10 3 2 3 3 2 2 2 2" xfId="35744"/>
    <cellStyle name="Normal 10 3 2 3 3 2 2 3" xfId="22013"/>
    <cellStyle name="Normal 10 3 2 3 3 2 2 3 2" xfId="41896"/>
    <cellStyle name="Normal 10 3 2 3 3 2 2 4" xfId="29591"/>
    <cellStyle name="Normal 10 3 2 3 3 2 3" xfId="12795"/>
    <cellStyle name="Normal 10 3 2 3 3 2 3 2" xfId="32678"/>
    <cellStyle name="Normal 10 3 2 3 3 2 4" xfId="18947"/>
    <cellStyle name="Normal 10 3 2 3 3 2 4 2" xfId="38830"/>
    <cellStyle name="Normal 10 3 2 3 3 2 5" xfId="26525"/>
    <cellStyle name="Normal 10 3 2 3 3 3" xfId="8133"/>
    <cellStyle name="Normal 10 3 2 3 3 3 2" xfId="14327"/>
    <cellStyle name="Normal 10 3 2 3 3 3 2 2" xfId="34210"/>
    <cellStyle name="Normal 10 3 2 3 3 3 3" xfId="20479"/>
    <cellStyle name="Normal 10 3 2 3 3 3 3 2" xfId="40362"/>
    <cellStyle name="Normal 10 3 2 3 3 3 4" xfId="28057"/>
    <cellStyle name="Normal 10 3 2 3 3 4" xfId="11261"/>
    <cellStyle name="Normal 10 3 2 3 3 4 2" xfId="31144"/>
    <cellStyle name="Normal 10 3 2 3 3 5" xfId="17413"/>
    <cellStyle name="Normal 10 3 2 3 3 5 2" xfId="37296"/>
    <cellStyle name="Normal 10 3 2 3 3 6" xfId="24991"/>
    <cellStyle name="Normal 10 3 2 3 4" xfId="5799"/>
    <cellStyle name="Normal 10 3 2 3 4 2" xfId="8899"/>
    <cellStyle name="Normal 10 3 2 3 4 2 2" xfId="15092"/>
    <cellStyle name="Normal 10 3 2 3 4 2 2 2" xfId="34975"/>
    <cellStyle name="Normal 10 3 2 3 4 2 3" xfId="21244"/>
    <cellStyle name="Normal 10 3 2 3 4 2 3 2" xfId="41127"/>
    <cellStyle name="Normal 10 3 2 3 4 2 4" xfId="28822"/>
    <cellStyle name="Normal 10 3 2 3 4 3" xfId="12026"/>
    <cellStyle name="Normal 10 3 2 3 4 3 2" xfId="31909"/>
    <cellStyle name="Normal 10 3 2 3 4 4" xfId="18178"/>
    <cellStyle name="Normal 10 3 2 3 4 4 2" xfId="38061"/>
    <cellStyle name="Normal 10 3 2 3 4 5" xfId="25756"/>
    <cellStyle name="Normal 10 3 2 3 5" xfId="7364"/>
    <cellStyle name="Normal 10 3 2 3 5 2" xfId="13558"/>
    <cellStyle name="Normal 10 3 2 3 5 2 2" xfId="33441"/>
    <cellStyle name="Normal 10 3 2 3 5 3" xfId="19710"/>
    <cellStyle name="Normal 10 3 2 3 5 3 2" xfId="39593"/>
    <cellStyle name="Normal 10 3 2 3 5 4" xfId="27288"/>
    <cellStyle name="Normal 10 3 2 3 6" xfId="10492"/>
    <cellStyle name="Normal 10 3 2 3 6 2" xfId="30375"/>
    <cellStyle name="Normal 10 3 2 3 7" xfId="16644"/>
    <cellStyle name="Normal 10 3 2 3 7 2" xfId="36527"/>
    <cellStyle name="Normal 10 3 2 3 8" xfId="24222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2 2" xfId="35746"/>
    <cellStyle name="Normal 10 3 2 4 2 2 2 3" xfId="22015"/>
    <cellStyle name="Normal 10 3 2 4 2 2 2 3 2" xfId="41898"/>
    <cellStyle name="Normal 10 3 2 4 2 2 2 4" xfId="29593"/>
    <cellStyle name="Normal 10 3 2 4 2 2 3" xfId="12797"/>
    <cellStyle name="Normal 10 3 2 4 2 2 3 2" xfId="32680"/>
    <cellStyle name="Normal 10 3 2 4 2 2 4" xfId="18949"/>
    <cellStyle name="Normal 10 3 2 4 2 2 4 2" xfId="38832"/>
    <cellStyle name="Normal 10 3 2 4 2 2 5" xfId="26527"/>
    <cellStyle name="Normal 10 3 2 4 2 3" xfId="8135"/>
    <cellStyle name="Normal 10 3 2 4 2 3 2" xfId="14329"/>
    <cellStyle name="Normal 10 3 2 4 2 3 2 2" xfId="34212"/>
    <cellStyle name="Normal 10 3 2 4 2 3 3" xfId="20481"/>
    <cellStyle name="Normal 10 3 2 4 2 3 3 2" xfId="40364"/>
    <cellStyle name="Normal 10 3 2 4 2 3 4" xfId="28059"/>
    <cellStyle name="Normal 10 3 2 4 2 4" xfId="11263"/>
    <cellStyle name="Normal 10 3 2 4 2 4 2" xfId="31146"/>
    <cellStyle name="Normal 10 3 2 4 2 5" xfId="17415"/>
    <cellStyle name="Normal 10 3 2 4 2 5 2" xfId="37298"/>
    <cellStyle name="Normal 10 3 2 4 2 6" xfId="24993"/>
    <cellStyle name="Normal 10 3 2 4 3" xfId="5801"/>
    <cellStyle name="Normal 10 3 2 4 3 2" xfId="8901"/>
    <cellStyle name="Normal 10 3 2 4 3 2 2" xfId="15094"/>
    <cellStyle name="Normal 10 3 2 4 3 2 2 2" xfId="34977"/>
    <cellStyle name="Normal 10 3 2 4 3 2 3" xfId="21246"/>
    <cellStyle name="Normal 10 3 2 4 3 2 3 2" xfId="41129"/>
    <cellStyle name="Normal 10 3 2 4 3 2 4" xfId="28824"/>
    <cellStyle name="Normal 10 3 2 4 3 3" xfId="12028"/>
    <cellStyle name="Normal 10 3 2 4 3 3 2" xfId="31911"/>
    <cellStyle name="Normal 10 3 2 4 3 4" xfId="18180"/>
    <cellStyle name="Normal 10 3 2 4 3 4 2" xfId="38063"/>
    <cellStyle name="Normal 10 3 2 4 3 5" xfId="25758"/>
    <cellStyle name="Normal 10 3 2 4 4" xfId="7366"/>
    <cellStyle name="Normal 10 3 2 4 4 2" xfId="13560"/>
    <cellStyle name="Normal 10 3 2 4 4 2 2" xfId="33443"/>
    <cellStyle name="Normal 10 3 2 4 4 3" xfId="19712"/>
    <cellStyle name="Normal 10 3 2 4 4 3 2" xfId="39595"/>
    <cellStyle name="Normal 10 3 2 4 4 4" xfId="27290"/>
    <cellStyle name="Normal 10 3 2 4 5" xfId="10494"/>
    <cellStyle name="Normal 10 3 2 4 5 2" xfId="30377"/>
    <cellStyle name="Normal 10 3 2 4 6" xfId="16646"/>
    <cellStyle name="Normal 10 3 2 4 6 2" xfId="36529"/>
    <cellStyle name="Normal 10 3 2 4 7" xfId="24224"/>
    <cellStyle name="Normal 10 3 2 5" xfId="4954"/>
    <cellStyle name="Normal 10 3 2 5 2" xfId="6579"/>
    <cellStyle name="Normal 10 3 2 5 2 2" xfId="9665"/>
    <cellStyle name="Normal 10 3 2 5 2 2 2" xfId="15858"/>
    <cellStyle name="Normal 10 3 2 5 2 2 2 2" xfId="35741"/>
    <cellStyle name="Normal 10 3 2 5 2 2 3" xfId="22010"/>
    <cellStyle name="Normal 10 3 2 5 2 2 3 2" xfId="41893"/>
    <cellStyle name="Normal 10 3 2 5 2 2 4" xfId="29588"/>
    <cellStyle name="Normal 10 3 2 5 2 3" xfId="12792"/>
    <cellStyle name="Normal 10 3 2 5 2 3 2" xfId="32675"/>
    <cellStyle name="Normal 10 3 2 5 2 4" xfId="18944"/>
    <cellStyle name="Normal 10 3 2 5 2 4 2" xfId="38827"/>
    <cellStyle name="Normal 10 3 2 5 2 5" xfId="26522"/>
    <cellStyle name="Normal 10 3 2 5 3" xfId="8130"/>
    <cellStyle name="Normal 10 3 2 5 3 2" xfId="14324"/>
    <cellStyle name="Normal 10 3 2 5 3 2 2" xfId="34207"/>
    <cellStyle name="Normal 10 3 2 5 3 3" xfId="20476"/>
    <cellStyle name="Normal 10 3 2 5 3 3 2" xfId="40359"/>
    <cellStyle name="Normal 10 3 2 5 3 4" xfId="28054"/>
    <cellStyle name="Normal 10 3 2 5 4" xfId="11258"/>
    <cellStyle name="Normal 10 3 2 5 4 2" xfId="31141"/>
    <cellStyle name="Normal 10 3 2 5 5" xfId="17410"/>
    <cellStyle name="Normal 10 3 2 5 5 2" xfId="37293"/>
    <cellStyle name="Normal 10 3 2 5 6" xfId="24988"/>
    <cellStyle name="Normal 10 3 2 6" xfId="5796"/>
    <cellStyle name="Normal 10 3 2 6 2" xfId="8896"/>
    <cellStyle name="Normal 10 3 2 6 2 2" xfId="15089"/>
    <cellStyle name="Normal 10 3 2 6 2 2 2" xfId="34972"/>
    <cellStyle name="Normal 10 3 2 6 2 3" xfId="21241"/>
    <cellStyle name="Normal 10 3 2 6 2 3 2" xfId="41124"/>
    <cellStyle name="Normal 10 3 2 6 2 4" xfId="28819"/>
    <cellStyle name="Normal 10 3 2 6 3" xfId="12023"/>
    <cellStyle name="Normal 10 3 2 6 3 2" xfId="31906"/>
    <cellStyle name="Normal 10 3 2 6 4" xfId="18175"/>
    <cellStyle name="Normal 10 3 2 6 4 2" xfId="38058"/>
    <cellStyle name="Normal 10 3 2 6 5" xfId="25753"/>
    <cellStyle name="Normal 10 3 2 7" xfId="7361"/>
    <cellStyle name="Normal 10 3 2 7 2" xfId="13555"/>
    <cellStyle name="Normal 10 3 2 7 2 2" xfId="33438"/>
    <cellStyle name="Normal 10 3 2 7 3" xfId="19707"/>
    <cellStyle name="Normal 10 3 2 7 3 2" xfId="39590"/>
    <cellStyle name="Normal 10 3 2 7 4" xfId="27285"/>
    <cellStyle name="Normal 10 3 2 8" xfId="10489"/>
    <cellStyle name="Normal 10 3 2 8 2" xfId="30372"/>
    <cellStyle name="Normal 10 3 2 9" xfId="16641"/>
    <cellStyle name="Normal 10 3 2 9 2" xfId="36524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2 2" xfId="35748"/>
    <cellStyle name="Normal 10 3 3 2 2 2 2 3" xfId="22017"/>
    <cellStyle name="Normal 10 3 3 2 2 2 2 3 2" xfId="41900"/>
    <cellStyle name="Normal 10 3 3 2 2 2 2 4" xfId="29595"/>
    <cellStyle name="Normal 10 3 3 2 2 2 3" xfId="12799"/>
    <cellStyle name="Normal 10 3 3 2 2 2 3 2" xfId="32682"/>
    <cellStyle name="Normal 10 3 3 2 2 2 4" xfId="18951"/>
    <cellStyle name="Normal 10 3 3 2 2 2 4 2" xfId="38834"/>
    <cellStyle name="Normal 10 3 3 2 2 2 5" xfId="26529"/>
    <cellStyle name="Normal 10 3 3 2 2 3" xfId="8137"/>
    <cellStyle name="Normal 10 3 3 2 2 3 2" xfId="14331"/>
    <cellStyle name="Normal 10 3 3 2 2 3 2 2" xfId="34214"/>
    <cellStyle name="Normal 10 3 3 2 2 3 3" xfId="20483"/>
    <cellStyle name="Normal 10 3 3 2 2 3 3 2" xfId="40366"/>
    <cellStyle name="Normal 10 3 3 2 2 3 4" xfId="28061"/>
    <cellStyle name="Normal 10 3 3 2 2 4" xfId="11265"/>
    <cellStyle name="Normal 10 3 3 2 2 4 2" xfId="31148"/>
    <cellStyle name="Normal 10 3 3 2 2 5" xfId="17417"/>
    <cellStyle name="Normal 10 3 3 2 2 5 2" xfId="37300"/>
    <cellStyle name="Normal 10 3 3 2 2 6" xfId="24995"/>
    <cellStyle name="Normal 10 3 3 2 3" xfId="5803"/>
    <cellStyle name="Normal 10 3 3 2 3 2" xfId="8903"/>
    <cellStyle name="Normal 10 3 3 2 3 2 2" xfId="15096"/>
    <cellStyle name="Normal 10 3 3 2 3 2 2 2" xfId="34979"/>
    <cellStyle name="Normal 10 3 3 2 3 2 3" xfId="21248"/>
    <cellStyle name="Normal 10 3 3 2 3 2 3 2" xfId="41131"/>
    <cellStyle name="Normal 10 3 3 2 3 2 4" xfId="28826"/>
    <cellStyle name="Normal 10 3 3 2 3 3" xfId="12030"/>
    <cellStyle name="Normal 10 3 3 2 3 3 2" xfId="31913"/>
    <cellStyle name="Normal 10 3 3 2 3 4" xfId="18182"/>
    <cellStyle name="Normal 10 3 3 2 3 4 2" xfId="38065"/>
    <cellStyle name="Normal 10 3 3 2 3 5" xfId="25760"/>
    <cellStyle name="Normal 10 3 3 2 4" xfId="7368"/>
    <cellStyle name="Normal 10 3 3 2 4 2" xfId="13562"/>
    <cellStyle name="Normal 10 3 3 2 4 2 2" xfId="33445"/>
    <cellStyle name="Normal 10 3 3 2 4 3" xfId="19714"/>
    <cellStyle name="Normal 10 3 3 2 4 3 2" xfId="39597"/>
    <cellStyle name="Normal 10 3 3 2 4 4" xfId="27292"/>
    <cellStyle name="Normal 10 3 3 2 5" xfId="10496"/>
    <cellStyle name="Normal 10 3 3 2 5 2" xfId="30379"/>
    <cellStyle name="Normal 10 3 3 2 6" xfId="16648"/>
    <cellStyle name="Normal 10 3 3 2 6 2" xfId="36531"/>
    <cellStyle name="Normal 10 3 3 2 7" xfId="24226"/>
    <cellStyle name="Normal 10 3 3 3" xfId="4960"/>
    <cellStyle name="Normal 10 3 3 3 2" xfId="6585"/>
    <cellStyle name="Normal 10 3 3 3 2 2" xfId="9671"/>
    <cellStyle name="Normal 10 3 3 3 2 2 2" xfId="15864"/>
    <cellStyle name="Normal 10 3 3 3 2 2 2 2" xfId="35747"/>
    <cellStyle name="Normal 10 3 3 3 2 2 3" xfId="22016"/>
    <cellStyle name="Normal 10 3 3 3 2 2 3 2" xfId="41899"/>
    <cellStyle name="Normal 10 3 3 3 2 2 4" xfId="29594"/>
    <cellStyle name="Normal 10 3 3 3 2 3" xfId="12798"/>
    <cellStyle name="Normal 10 3 3 3 2 3 2" xfId="32681"/>
    <cellStyle name="Normal 10 3 3 3 2 4" xfId="18950"/>
    <cellStyle name="Normal 10 3 3 3 2 4 2" xfId="38833"/>
    <cellStyle name="Normal 10 3 3 3 2 5" xfId="26528"/>
    <cellStyle name="Normal 10 3 3 3 3" xfId="8136"/>
    <cellStyle name="Normal 10 3 3 3 3 2" xfId="14330"/>
    <cellStyle name="Normal 10 3 3 3 3 2 2" xfId="34213"/>
    <cellStyle name="Normal 10 3 3 3 3 3" xfId="20482"/>
    <cellStyle name="Normal 10 3 3 3 3 3 2" xfId="40365"/>
    <cellStyle name="Normal 10 3 3 3 3 4" xfId="28060"/>
    <cellStyle name="Normal 10 3 3 3 4" xfId="11264"/>
    <cellStyle name="Normal 10 3 3 3 4 2" xfId="31147"/>
    <cellStyle name="Normal 10 3 3 3 5" xfId="17416"/>
    <cellStyle name="Normal 10 3 3 3 5 2" xfId="37299"/>
    <cellStyle name="Normal 10 3 3 3 6" xfId="24994"/>
    <cellStyle name="Normal 10 3 3 4" xfId="5802"/>
    <cellStyle name="Normal 10 3 3 4 2" xfId="8902"/>
    <cellStyle name="Normal 10 3 3 4 2 2" xfId="15095"/>
    <cellStyle name="Normal 10 3 3 4 2 2 2" xfId="34978"/>
    <cellStyle name="Normal 10 3 3 4 2 3" xfId="21247"/>
    <cellStyle name="Normal 10 3 3 4 2 3 2" xfId="41130"/>
    <cellStyle name="Normal 10 3 3 4 2 4" xfId="28825"/>
    <cellStyle name="Normal 10 3 3 4 3" xfId="12029"/>
    <cellStyle name="Normal 10 3 3 4 3 2" xfId="31912"/>
    <cellStyle name="Normal 10 3 3 4 4" xfId="18181"/>
    <cellStyle name="Normal 10 3 3 4 4 2" xfId="38064"/>
    <cellStyle name="Normal 10 3 3 4 5" xfId="25759"/>
    <cellStyle name="Normal 10 3 3 5" xfId="7367"/>
    <cellStyle name="Normal 10 3 3 5 2" xfId="13561"/>
    <cellStyle name="Normal 10 3 3 5 2 2" xfId="33444"/>
    <cellStyle name="Normal 10 3 3 5 3" xfId="19713"/>
    <cellStyle name="Normal 10 3 3 5 3 2" xfId="39596"/>
    <cellStyle name="Normal 10 3 3 5 4" xfId="27291"/>
    <cellStyle name="Normal 10 3 3 6" xfId="10495"/>
    <cellStyle name="Normal 10 3 3 6 2" xfId="30378"/>
    <cellStyle name="Normal 10 3 3 7" xfId="16647"/>
    <cellStyle name="Normal 10 3 3 7 2" xfId="36530"/>
    <cellStyle name="Normal 10 3 3 8" xfId="24225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2 2" xfId="35750"/>
    <cellStyle name="Normal 10 3 4 2 2 2 2 3" xfId="22019"/>
    <cellStyle name="Normal 10 3 4 2 2 2 2 3 2" xfId="41902"/>
    <cellStyle name="Normal 10 3 4 2 2 2 2 4" xfId="29597"/>
    <cellStyle name="Normal 10 3 4 2 2 2 3" xfId="12801"/>
    <cellStyle name="Normal 10 3 4 2 2 2 3 2" xfId="32684"/>
    <cellStyle name="Normal 10 3 4 2 2 2 4" xfId="18953"/>
    <cellStyle name="Normal 10 3 4 2 2 2 4 2" xfId="38836"/>
    <cellStyle name="Normal 10 3 4 2 2 2 5" xfId="26531"/>
    <cellStyle name="Normal 10 3 4 2 2 3" xfId="8139"/>
    <cellStyle name="Normal 10 3 4 2 2 3 2" xfId="14333"/>
    <cellStyle name="Normal 10 3 4 2 2 3 2 2" xfId="34216"/>
    <cellStyle name="Normal 10 3 4 2 2 3 3" xfId="20485"/>
    <cellStyle name="Normal 10 3 4 2 2 3 3 2" xfId="40368"/>
    <cellStyle name="Normal 10 3 4 2 2 3 4" xfId="28063"/>
    <cellStyle name="Normal 10 3 4 2 2 4" xfId="11267"/>
    <cellStyle name="Normal 10 3 4 2 2 4 2" xfId="31150"/>
    <cellStyle name="Normal 10 3 4 2 2 5" xfId="17419"/>
    <cellStyle name="Normal 10 3 4 2 2 5 2" xfId="37302"/>
    <cellStyle name="Normal 10 3 4 2 2 6" xfId="24997"/>
    <cellStyle name="Normal 10 3 4 2 3" xfId="5805"/>
    <cellStyle name="Normal 10 3 4 2 3 2" xfId="8905"/>
    <cellStyle name="Normal 10 3 4 2 3 2 2" xfId="15098"/>
    <cellStyle name="Normal 10 3 4 2 3 2 2 2" xfId="34981"/>
    <cellStyle name="Normal 10 3 4 2 3 2 3" xfId="21250"/>
    <cellStyle name="Normal 10 3 4 2 3 2 3 2" xfId="41133"/>
    <cellStyle name="Normal 10 3 4 2 3 2 4" xfId="28828"/>
    <cellStyle name="Normal 10 3 4 2 3 3" xfId="12032"/>
    <cellStyle name="Normal 10 3 4 2 3 3 2" xfId="31915"/>
    <cellStyle name="Normal 10 3 4 2 3 4" xfId="18184"/>
    <cellStyle name="Normal 10 3 4 2 3 4 2" xfId="38067"/>
    <cellStyle name="Normal 10 3 4 2 3 5" xfId="25762"/>
    <cellStyle name="Normal 10 3 4 2 4" xfId="7370"/>
    <cellStyle name="Normal 10 3 4 2 4 2" xfId="13564"/>
    <cellStyle name="Normal 10 3 4 2 4 2 2" xfId="33447"/>
    <cellStyle name="Normal 10 3 4 2 4 3" xfId="19716"/>
    <cellStyle name="Normal 10 3 4 2 4 3 2" xfId="39599"/>
    <cellStyle name="Normal 10 3 4 2 4 4" xfId="27294"/>
    <cellStyle name="Normal 10 3 4 2 5" xfId="10498"/>
    <cellStyle name="Normal 10 3 4 2 5 2" xfId="30381"/>
    <cellStyle name="Normal 10 3 4 2 6" xfId="16650"/>
    <cellStyle name="Normal 10 3 4 2 6 2" xfId="36533"/>
    <cellStyle name="Normal 10 3 4 2 7" xfId="24228"/>
    <cellStyle name="Normal 10 3 4 3" xfId="4962"/>
    <cellStyle name="Normal 10 3 4 3 2" xfId="6587"/>
    <cellStyle name="Normal 10 3 4 3 2 2" xfId="9673"/>
    <cellStyle name="Normal 10 3 4 3 2 2 2" xfId="15866"/>
    <cellStyle name="Normal 10 3 4 3 2 2 2 2" xfId="35749"/>
    <cellStyle name="Normal 10 3 4 3 2 2 3" xfId="22018"/>
    <cellStyle name="Normal 10 3 4 3 2 2 3 2" xfId="41901"/>
    <cellStyle name="Normal 10 3 4 3 2 2 4" xfId="29596"/>
    <cellStyle name="Normal 10 3 4 3 2 3" xfId="12800"/>
    <cellStyle name="Normal 10 3 4 3 2 3 2" xfId="32683"/>
    <cellStyle name="Normal 10 3 4 3 2 4" xfId="18952"/>
    <cellStyle name="Normal 10 3 4 3 2 4 2" xfId="38835"/>
    <cellStyle name="Normal 10 3 4 3 2 5" xfId="26530"/>
    <cellStyle name="Normal 10 3 4 3 3" xfId="8138"/>
    <cellStyle name="Normal 10 3 4 3 3 2" xfId="14332"/>
    <cellStyle name="Normal 10 3 4 3 3 2 2" xfId="34215"/>
    <cellStyle name="Normal 10 3 4 3 3 3" xfId="20484"/>
    <cellStyle name="Normal 10 3 4 3 3 3 2" xfId="40367"/>
    <cellStyle name="Normal 10 3 4 3 3 4" xfId="28062"/>
    <cellStyle name="Normal 10 3 4 3 4" xfId="11266"/>
    <cellStyle name="Normal 10 3 4 3 4 2" xfId="31149"/>
    <cellStyle name="Normal 10 3 4 3 5" xfId="17418"/>
    <cellStyle name="Normal 10 3 4 3 5 2" xfId="37301"/>
    <cellStyle name="Normal 10 3 4 3 6" xfId="24996"/>
    <cellStyle name="Normal 10 3 4 4" xfId="5804"/>
    <cellStyle name="Normal 10 3 4 4 2" xfId="8904"/>
    <cellStyle name="Normal 10 3 4 4 2 2" xfId="15097"/>
    <cellStyle name="Normal 10 3 4 4 2 2 2" xfId="34980"/>
    <cellStyle name="Normal 10 3 4 4 2 3" xfId="21249"/>
    <cellStyle name="Normal 10 3 4 4 2 3 2" xfId="41132"/>
    <cellStyle name="Normal 10 3 4 4 2 4" xfId="28827"/>
    <cellStyle name="Normal 10 3 4 4 3" xfId="12031"/>
    <cellStyle name="Normal 10 3 4 4 3 2" xfId="31914"/>
    <cellStyle name="Normal 10 3 4 4 4" xfId="18183"/>
    <cellStyle name="Normal 10 3 4 4 4 2" xfId="38066"/>
    <cellStyle name="Normal 10 3 4 4 5" xfId="25761"/>
    <cellStyle name="Normal 10 3 4 5" xfId="7369"/>
    <cellStyle name="Normal 10 3 4 5 2" xfId="13563"/>
    <cellStyle name="Normal 10 3 4 5 2 2" xfId="33446"/>
    <cellStyle name="Normal 10 3 4 5 3" xfId="19715"/>
    <cellStyle name="Normal 10 3 4 5 3 2" xfId="39598"/>
    <cellStyle name="Normal 10 3 4 5 4" xfId="27293"/>
    <cellStyle name="Normal 10 3 4 6" xfId="10497"/>
    <cellStyle name="Normal 10 3 4 6 2" xfId="30380"/>
    <cellStyle name="Normal 10 3 4 7" xfId="16649"/>
    <cellStyle name="Normal 10 3 4 7 2" xfId="36532"/>
    <cellStyle name="Normal 10 3 4 8" xfId="24227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2 2" xfId="35751"/>
    <cellStyle name="Normal 10 3 5 2 2 2 3" xfId="22020"/>
    <cellStyle name="Normal 10 3 5 2 2 2 3 2" xfId="41903"/>
    <cellStyle name="Normal 10 3 5 2 2 2 4" xfId="29598"/>
    <cellStyle name="Normal 10 3 5 2 2 3" xfId="12802"/>
    <cellStyle name="Normal 10 3 5 2 2 3 2" xfId="32685"/>
    <cellStyle name="Normal 10 3 5 2 2 4" xfId="18954"/>
    <cellStyle name="Normal 10 3 5 2 2 4 2" xfId="38837"/>
    <cellStyle name="Normal 10 3 5 2 2 5" xfId="26532"/>
    <cellStyle name="Normal 10 3 5 2 3" xfId="8140"/>
    <cellStyle name="Normal 10 3 5 2 3 2" xfId="14334"/>
    <cellStyle name="Normal 10 3 5 2 3 2 2" xfId="34217"/>
    <cellStyle name="Normal 10 3 5 2 3 3" xfId="20486"/>
    <cellStyle name="Normal 10 3 5 2 3 3 2" xfId="40369"/>
    <cellStyle name="Normal 10 3 5 2 3 4" xfId="28064"/>
    <cellStyle name="Normal 10 3 5 2 4" xfId="11268"/>
    <cellStyle name="Normal 10 3 5 2 4 2" xfId="31151"/>
    <cellStyle name="Normal 10 3 5 2 5" xfId="17420"/>
    <cellStyle name="Normal 10 3 5 2 5 2" xfId="37303"/>
    <cellStyle name="Normal 10 3 5 2 6" xfId="24998"/>
    <cellStyle name="Normal 10 3 5 3" xfId="5806"/>
    <cellStyle name="Normal 10 3 5 3 2" xfId="8906"/>
    <cellStyle name="Normal 10 3 5 3 2 2" xfId="15099"/>
    <cellStyle name="Normal 10 3 5 3 2 2 2" xfId="34982"/>
    <cellStyle name="Normal 10 3 5 3 2 3" xfId="21251"/>
    <cellStyle name="Normal 10 3 5 3 2 3 2" xfId="41134"/>
    <cellStyle name="Normal 10 3 5 3 2 4" xfId="28829"/>
    <cellStyle name="Normal 10 3 5 3 3" xfId="12033"/>
    <cellStyle name="Normal 10 3 5 3 3 2" xfId="31916"/>
    <cellStyle name="Normal 10 3 5 3 4" xfId="18185"/>
    <cellStyle name="Normal 10 3 5 3 4 2" xfId="38068"/>
    <cellStyle name="Normal 10 3 5 3 5" xfId="25763"/>
    <cellStyle name="Normal 10 3 5 4" xfId="7371"/>
    <cellStyle name="Normal 10 3 5 4 2" xfId="13565"/>
    <cellStyle name="Normal 10 3 5 4 2 2" xfId="33448"/>
    <cellStyle name="Normal 10 3 5 4 3" xfId="19717"/>
    <cellStyle name="Normal 10 3 5 4 3 2" xfId="39600"/>
    <cellStyle name="Normal 10 3 5 4 4" xfId="27295"/>
    <cellStyle name="Normal 10 3 5 5" xfId="10499"/>
    <cellStyle name="Normal 10 3 5 5 2" xfId="30382"/>
    <cellStyle name="Normal 10 3 5 6" xfId="16651"/>
    <cellStyle name="Normal 10 3 5 6 2" xfId="36534"/>
    <cellStyle name="Normal 10 3 5 7" xfId="24229"/>
    <cellStyle name="Normal 10 3 6" xfId="4953"/>
    <cellStyle name="Normal 10 3 6 2" xfId="6578"/>
    <cellStyle name="Normal 10 3 6 2 2" xfId="9664"/>
    <cellStyle name="Normal 10 3 6 2 2 2" xfId="15857"/>
    <cellStyle name="Normal 10 3 6 2 2 2 2" xfId="35740"/>
    <cellStyle name="Normal 10 3 6 2 2 3" xfId="22009"/>
    <cellStyle name="Normal 10 3 6 2 2 3 2" xfId="41892"/>
    <cellStyle name="Normal 10 3 6 2 2 4" xfId="29587"/>
    <cellStyle name="Normal 10 3 6 2 3" xfId="12791"/>
    <cellStyle name="Normal 10 3 6 2 3 2" xfId="32674"/>
    <cellStyle name="Normal 10 3 6 2 4" xfId="18943"/>
    <cellStyle name="Normal 10 3 6 2 4 2" xfId="38826"/>
    <cellStyle name="Normal 10 3 6 2 5" xfId="26521"/>
    <cellStyle name="Normal 10 3 6 3" xfId="8129"/>
    <cellStyle name="Normal 10 3 6 3 2" xfId="14323"/>
    <cellStyle name="Normal 10 3 6 3 2 2" xfId="34206"/>
    <cellStyle name="Normal 10 3 6 3 3" xfId="20475"/>
    <cellStyle name="Normal 10 3 6 3 3 2" xfId="40358"/>
    <cellStyle name="Normal 10 3 6 3 4" xfId="28053"/>
    <cellStyle name="Normal 10 3 6 4" xfId="11257"/>
    <cellStyle name="Normal 10 3 6 4 2" xfId="31140"/>
    <cellStyle name="Normal 10 3 6 5" xfId="17409"/>
    <cellStyle name="Normal 10 3 6 5 2" xfId="37292"/>
    <cellStyle name="Normal 10 3 6 6" xfId="24987"/>
    <cellStyle name="Normal 10 3 7" xfId="5795"/>
    <cellStyle name="Normal 10 3 7 2" xfId="8895"/>
    <cellStyle name="Normal 10 3 7 2 2" xfId="15088"/>
    <cellStyle name="Normal 10 3 7 2 2 2" xfId="34971"/>
    <cellStyle name="Normal 10 3 7 2 3" xfId="21240"/>
    <cellStyle name="Normal 10 3 7 2 3 2" xfId="41123"/>
    <cellStyle name="Normal 10 3 7 2 4" xfId="28818"/>
    <cellStyle name="Normal 10 3 7 3" xfId="12022"/>
    <cellStyle name="Normal 10 3 7 3 2" xfId="31905"/>
    <cellStyle name="Normal 10 3 7 4" xfId="18174"/>
    <cellStyle name="Normal 10 3 7 4 2" xfId="38057"/>
    <cellStyle name="Normal 10 3 7 5" xfId="25752"/>
    <cellStyle name="Normal 10 3 8" xfId="7360"/>
    <cellStyle name="Normal 10 3 8 2" xfId="13554"/>
    <cellStyle name="Normal 10 3 8 2 2" xfId="33437"/>
    <cellStyle name="Normal 10 3 8 3" xfId="19706"/>
    <cellStyle name="Normal 10 3 8 3 2" xfId="39589"/>
    <cellStyle name="Normal 10 3 8 4" xfId="27284"/>
    <cellStyle name="Normal 10 3 9" xfId="10488"/>
    <cellStyle name="Normal 10 3 9 2" xfId="30371"/>
    <cellStyle name="Normal 10 4" xfId="121"/>
    <cellStyle name="Normal 10 4 10" xfId="3433"/>
    <cellStyle name="Normal 10 4 10 2" xfId="24230"/>
    <cellStyle name="Normal 10 4 11" xfId="23209"/>
    <cellStyle name="Normal 10 4 12" xfId="23368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2 2" xfId="35754"/>
    <cellStyle name="Normal 10 4 2 2 2 2 2 3" xfId="22023"/>
    <cellStyle name="Normal 10 4 2 2 2 2 2 3 2" xfId="41906"/>
    <cellStyle name="Normal 10 4 2 2 2 2 2 4" xfId="29601"/>
    <cellStyle name="Normal 10 4 2 2 2 2 3" xfId="12805"/>
    <cellStyle name="Normal 10 4 2 2 2 2 3 2" xfId="32688"/>
    <cellStyle name="Normal 10 4 2 2 2 2 4" xfId="18957"/>
    <cellStyle name="Normal 10 4 2 2 2 2 4 2" xfId="38840"/>
    <cellStyle name="Normal 10 4 2 2 2 2 5" xfId="26535"/>
    <cellStyle name="Normal 10 4 2 2 2 3" xfId="8143"/>
    <cellStyle name="Normal 10 4 2 2 2 3 2" xfId="14337"/>
    <cellStyle name="Normal 10 4 2 2 2 3 2 2" xfId="34220"/>
    <cellStyle name="Normal 10 4 2 2 2 3 3" xfId="20489"/>
    <cellStyle name="Normal 10 4 2 2 2 3 3 2" xfId="40372"/>
    <cellStyle name="Normal 10 4 2 2 2 3 4" xfId="28067"/>
    <cellStyle name="Normal 10 4 2 2 2 4" xfId="11271"/>
    <cellStyle name="Normal 10 4 2 2 2 4 2" xfId="31154"/>
    <cellStyle name="Normal 10 4 2 2 2 5" xfId="17423"/>
    <cellStyle name="Normal 10 4 2 2 2 5 2" xfId="37306"/>
    <cellStyle name="Normal 10 4 2 2 2 6" xfId="25001"/>
    <cellStyle name="Normal 10 4 2 2 3" xfId="5809"/>
    <cellStyle name="Normal 10 4 2 2 3 2" xfId="8909"/>
    <cellStyle name="Normal 10 4 2 2 3 2 2" xfId="15102"/>
    <cellStyle name="Normal 10 4 2 2 3 2 2 2" xfId="34985"/>
    <cellStyle name="Normal 10 4 2 2 3 2 3" xfId="21254"/>
    <cellStyle name="Normal 10 4 2 2 3 2 3 2" xfId="41137"/>
    <cellStyle name="Normal 10 4 2 2 3 2 4" xfId="28832"/>
    <cellStyle name="Normal 10 4 2 2 3 3" xfId="12036"/>
    <cellStyle name="Normal 10 4 2 2 3 3 2" xfId="31919"/>
    <cellStyle name="Normal 10 4 2 2 3 4" xfId="18188"/>
    <cellStyle name="Normal 10 4 2 2 3 4 2" xfId="38071"/>
    <cellStyle name="Normal 10 4 2 2 3 5" xfId="25766"/>
    <cellStyle name="Normal 10 4 2 2 4" xfId="7374"/>
    <cellStyle name="Normal 10 4 2 2 4 2" xfId="13568"/>
    <cellStyle name="Normal 10 4 2 2 4 2 2" xfId="33451"/>
    <cellStyle name="Normal 10 4 2 2 4 3" xfId="19720"/>
    <cellStyle name="Normal 10 4 2 2 4 3 2" xfId="39603"/>
    <cellStyle name="Normal 10 4 2 2 4 4" xfId="27298"/>
    <cellStyle name="Normal 10 4 2 2 5" xfId="10502"/>
    <cellStyle name="Normal 10 4 2 2 5 2" xfId="30385"/>
    <cellStyle name="Normal 10 4 2 2 6" xfId="16654"/>
    <cellStyle name="Normal 10 4 2 2 6 2" xfId="36537"/>
    <cellStyle name="Normal 10 4 2 2 7" xfId="24232"/>
    <cellStyle name="Normal 10 4 2 3" xfId="4966"/>
    <cellStyle name="Normal 10 4 2 3 2" xfId="6591"/>
    <cellStyle name="Normal 10 4 2 3 2 2" xfId="9677"/>
    <cellStyle name="Normal 10 4 2 3 2 2 2" xfId="15870"/>
    <cellStyle name="Normal 10 4 2 3 2 2 2 2" xfId="35753"/>
    <cellStyle name="Normal 10 4 2 3 2 2 3" xfId="22022"/>
    <cellStyle name="Normal 10 4 2 3 2 2 3 2" xfId="41905"/>
    <cellStyle name="Normal 10 4 2 3 2 2 4" xfId="29600"/>
    <cellStyle name="Normal 10 4 2 3 2 3" xfId="12804"/>
    <cellStyle name="Normal 10 4 2 3 2 3 2" xfId="32687"/>
    <cellStyle name="Normal 10 4 2 3 2 4" xfId="18956"/>
    <cellStyle name="Normal 10 4 2 3 2 4 2" xfId="38839"/>
    <cellStyle name="Normal 10 4 2 3 2 5" xfId="26534"/>
    <cellStyle name="Normal 10 4 2 3 3" xfId="8142"/>
    <cellStyle name="Normal 10 4 2 3 3 2" xfId="14336"/>
    <cellStyle name="Normal 10 4 2 3 3 2 2" xfId="34219"/>
    <cellStyle name="Normal 10 4 2 3 3 3" xfId="20488"/>
    <cellStyle name="Normal 10 4 2 3 3 3 2" xfId="40371"/>
    <cellStyle name="Normal 10 4 2 3 3 4" xfId="28066"/>
    <cellStyle name="Normal 10 4 2 3 4" xfId="11270"/>
    <cellStyle name="Normal 10 4 2 3 4 2" xfId="31153"/>
    <cellStyle name="Normal 10 4 2 3 5" xfId="17422"/>
    <cellStyle name="Normal 10 4 2 3 5 2" xfId="37305"/>
    <cellStyle name="Normal 10 4 2 3 6" xfId="25000"/>
    <cellStyle name="Normal 10 4 2 4" xfId="5808"/>
    <cellStyle name="Normal 10 4 2 4 2" xfId="8908"/>
    <cellStyle name="Normal 10 4 2 4 2 2" xfId="15101"/>
    <cellStyle name="Normal 10 4 2 4 2 2 2" xfId="34984"/>
    <cellStyle name="Normal 10 4 2 4 2 3" xfId="21253"/>
    <cellStyle name="Normal 10 4 2 4 2 3 2" xfId="41136"/>
    <cellStyle name="Normal 10 4 2 4 2 4" xfId="28831"/>
    <cellStyle name="Normal 10 4 2 4 3" xfId="12035"/>
    <cellStyle name="Normal 10 4 2 4 3 2" xfId="31918"/>
    <cellStyle name="Normal 10 4 2 4 4" xfId="18187"/>
    <cellStyle name="Normal 10 4 2 4 4 2" xfId="38070"/>
    <cellStyle name="Normal 10 4 2 4 5" xfId="25765"/>
    <cellStyle name="Normal 10 4 2 5" xfId="7373"/>
    <cellStyle name="Normal 10 4 2 5 2" xfId="13567"/>
    <cellStyle name="Normal 10 4 2 5 2 2" xfId="33450"/>
    <cellStyle name="Normal 10 4 2 5 3" xfId="19719"/>
    <cellStyle name="Normal 10 4 2 5 3 2" xfId="39602"/>
    <cellStyle name="Normal 10 4 2 5 4" xfId="27297"/>
    <cellStyle name="Normal 10 4 2 6" xfId="10501"/>
    <cellStyle name="Normal 10 4 2 6 2" xfId="30384"/>
    <cellStyle name="Normal 10 4 2 7" xfId="16653"/>
    <cellStyle name="Normal 10 4 2 7 2" xfId="36536"/>
    <cellStyle name="Normal 10 4 2 8" xfId="24231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2 2" xfId="35756"/>
    <cellStyle name="Normal 10 4 3 2 2 2 2 3" xfId="22025"/>
    <cellStyle name="Normal 10 4 3 2 2 2 2 3 2" xfId="41908"/>
    <cellStyle name="Normal 10 4 3 2 2 2 2 4" xfId="29603"/>
    <cellStyle name="Normal 10 4 3 2 2 2 3" xfId="12807"/>
    <cellStyle name="Normal 10 4 3 2 2 2 3 2" xfId="32690"/>
    <cellStyle name="Normal 10 4 3 2 2 2 4" xfId="18959"/>
    <cellStyle name="Normal 10 4 3 2 2 2 4 2" xfId="38842"/>
    <cellStyle name="Normal 10 4 3 2 2 2 5" xfId="26537"/>
    <cellStyle name="Normal 10 4 3 2 2 3" xfId="8145"/>
    <cellStyle name="Normal 10 4 3 2 2 3 2" xfId="14339"/>
    <cellStyle name="Normal 10 4 3 2 2 3 2 2" xfId="34222"/>
    <cellStyle name="Normal 10 4 3 2 2 3 3" xfId="20491"/>
    <cellStyle name="Normal 10 4 3 2 2 3 3 2" xfId="40374"/>
    <cellStyle name="Normal 10 4 3 2 2 3 4" xfId="28069"/>
    <cellStyle name="Normal 10 4 3 2 2 4" xfId="11273"/>
    <cellStyle name="Normal 10 4 3 2 2 4 2" xfId="31156"/>
    <cellStyle name="Normal 10 4 3 2 2 5" xfId="17425"/>
    <cellStyle name="Normal 10 4 3 2 2 5 2" xfId="37308"/>
    <cellStyle name="Normal 10 4 3 2 2 6" xfId="25003"/>
    <cellStyle name="Normal 10 4 3 2 3" xfId="5811"/>
    <cellStyle name="Normal 10 4 3 2 3 2" xfId="8911"/>
    <cellStyle name="Normal 10 4 3 2 3 2 2" xfId="15104"/>
    <cellStyle name="Normal 10 4 3 2 3 2 2 2" xfId="34987"/>
    <cellStyle name="Normal 10 4 3 2 3 2 3" xfId="21256"/>
    <cellStyle name="Normal 10 4 3 2 3 2 3 2" xfId="41139"/>
    <cellStyle name="Normal 10 4 3 2 3 2 4" xfId="28834"/>
    <cellStyle name="Normal 10 4 3 2 3 3" xfId="12038"/>
    <cellStyle name="Normal 10 4 3 2 3 3 2" xfId="31921"/>
    <cellStyle name="Normal 10 4 3 2 3 4" xfId="18190"/>
    <cellStyle name="Normal 10 4 3 2 3 4 2" xfId="38073"/>
    <cellStyle name="Normal 10 4 3 2 3 5" xfId="25768"/>
    <cellStyle name="Normal 10 4 3 2 4" xfId="7376"/>
    <cellStyle name="Normal 10 4 3 2 4 2" xfId="13570"/>
    <cellStyle name="Normal 10 4 3 2 4 2 2" xfId="33453"/>
    <cellStyle name="Normal 10 4 3 2 4 3" xfId="19722"/>
    <cellStyle name="Normal 10 4 3 2 4 3 2" xfId="39605"/>
    <cellStyle name="Normal 10 4 3 2 4 4" xfId="27300"/>
    <cellStyle name="Normal 10 4 3 2 5" xfId="10504"/>
    <cellStyle name="Normal 10 4 3 2 5 2" xfId="30387"/>
    <cellStyle name="Normal 10 4 3 2 6" xfId="16656"/>
    <cellStyle name="Normal 10 4 3 2 6 2" xfId="36539"/>
    <cellStyle name="Normal 10 4 3 2 7" xfId="24234"/>
    <cellStyle name="Normal 10 4 3 3" xfId="4968"/>
    <cellStyle name="Normal 10 4 3 3 2" xfId="6593"/>
    <cellStyle name="Normal 10 4 3 3 2 2" xfId="9679"/>
    <cellStyle name="Normal 10 4 3 3 2 2 2" xfId="15872"/>
    <cellStyle name="Normal 10 4 3 3 2 2 2 2" xfId="35755"/>
    <cellStyle name="Normal 10 4 3 3 2 2 3" xfId="22024"/>
    <cellStyle name="Normal 10 4 3 3 2 2 3 2" xfId="41907"/>
    <cellStyle name="Normal 10 4 3 3 2 2 4" xfId="29602"/>
    <cellStyle name="Normal 10 4 3 3 2 3" xfId="12806"/>
    <cellStyle name="Normal 10 4 3 3 2 3 2" xfId="32689"/>
    <cellStyle name="Normal 10 4 3 3 2 4" xfId="18958"/>
    <cellStyle name="Normal 10 4 3 3 2 4 2" xfId="38841"/>
    <cellStyle name="Normal 10 4 3 3 2 5" xfId="26536"/>
    <cellStyle name="Normal 10 4 3 3 3" xfId="8144"/>
    <cellStyle name="Normal 10 4 3 3 3 2" xfId="14338"/>
    <cellStyle name="Normal 10 4 3 3 3 2 2" xfId="34221"/>
    <cellStyle name="Normal 10 4 3 3 3 3" xfId="20490"/>
    <cellStyle name="Normal 10 4 3 3 3 3 2" xfId="40373"/>
    <cellStyle name="Normal 10 4 3 3 3 4" xfId="28068"/>
    <cellStyle name="Normal 10 4 3 3 4" xfId="11272"/>
    <cellStyle name="Normal 10 4 3 3 4 2" xfId="31155"/>
    <cellStyle name="Normal 10 4 3 3 5" xfId="17424"/>
    <cellStyle name="Normal 10 4 3 3 5 2" xfId="37307"/>
    <cellStyle name="Normal 10 4 3 3 6" xfId="25002"/>
    <cellStyle name="Normal 10 4 3 4" xfId="5810"/>
    <cellStyle name="Normal 10 4 3 4 2" xfId="8910"/>
    <cellStyle name="Normal 10 4 3 4 2 2" xfId="15103"/>
    <cellStyle name="Normal 10 4 3 4 2 2 2" xfId="34986"/>
    <cellStyle name="Normal 10 4 3 4 2 3" xfId="21255"/>
    <cellStyle name="Normal 10 4 3 4 2 3 2" xfId="41138"/>
    <cellStyle name="Normal 10 4 3 4 2 4" xfId="28833"/>
    <cellStyle name="Normal 10 4 3 4 3" xfId="12037"/>
    <cellStyle name="Normal 10 4 3 4 3 2" xfId="31920"/>
    <cellStyle name="Normal 10 4 3 4 4" xfId="18189"/>
    <cellStyle name="Normal 10 4 3 4 4 2" xfId="38072"/>
    <cellStyle name="Normal 10 4 3 4 5" xfId="25767"/>
    <cellStyle name="Normal 10 4 3 5" xfId="7375"/>
    <cellStyle name="Normal 10 4 3 5 2" xfId="13569"/>
    <cellStyle name="Normal 10 4 3 5 2 2" xfId="33452"/>
    <cellStyle name="Normal 10 4 3 5 3" xfId="19721"/>
    <cellStyle name="Normal 10 4 3 5 3 2" xfId="39604"/>
    <cellStyle name="Normal 10 4 3 5 4" xfId="27299"/>
    <cellStyle name="Normal 10 4 3 6" xfId="10503"/>
    <cellStyle name="Normal 10 4 3 6 2" xfId="30386"/>
    <cellStyle name="Normal 10 4 3 7" xfId="16655"/>
    <cellStyle name="Normal 10 4 3 7 2" xfId="36538"/>
    <cellStyle name="Normal 10 4 3 8" xfId="24233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2 2" xfId="35757"/>
    <cellStyle name="Normal 10 4 4 2 2 2 3" xfId="22026"/>
    <cellStyle name="Normal 10 4 4 2 2 2 3 2" xfId="41909"/>
    <cellStyle name="Normal 10 4 4 2 2 2 4" xfId="29604"/>
    <cellStyle name="Normal 10 4 4 2 2 3" xfId="12808"/>
    <cellStyle name="Normal 10 4 4 2 2 3 2" xfId="32691"/>
    <cellStyle name="Normal 10 4 4 2 2 4" xfId="18960"/>
    <cellStyle name="Normal 10 4 4 2 2 4 2" xfId="38843"/>
    <cellStyle name="Normal 10 4 4 2 2 5" xfId="26538"/>
    <cellStyle name="Normal 10 4 4 2 3" xfId="8146"/>
    <cellStyle name="Normal 10 4 4 2 3 2" xfId="14340"/>
    <cellStyle name="Normal 10 4 4 2 3 2 2" xfId="34223"/>
    <cellStyle name="Normal 10 4 4 2 3 3" xfId="20492"/>
    <cellStyle name="Normal 10 4 4 2 3 3 2" xfId="40375"/>
    <cellStyle name="Normal 10 4 4 2 3 4" xfId="28070"/>
    <cellStyle name="Normal 10 4 4 2 4" xfId="11274"/>
    <cellStyle name="Normal 10 4 4 2 4 2" xfId="31157"/>
    <cellStyle name="Normal 10 4 4 2 5" xfId="17426"/>
    <cellStyle name="Normal 10 4 4 2 5 2" xfId="37309"/>
    <cellStyle name="Normal 10 4 4 2 6" xfId="25004"/>
    <cellStyle name="Normal 10 4 4 3" xfId="5812"/>
    <cellStyle name="Normal 10 4 4 3 2" xfId="8912"/>
    <cellStyle name="Normal 10 4 4 3 2 2" xfId="15105"/>
    <cellStyle name="Normal 10 4 4 3 2 2 2" xfId="34988"/>
    <cellStyle name="Normal 10 4 4 3 2 3" xfId="21257"/>
    <cellStyle name="Normal 10 4 4 3 2 3 2" xfId="41140"/>
    <cellStyle name="Normal 10 4 4 3 2 4" xfId="28835"/>
    <cellStyle name="Normal 10 4 4 3 3" xfId="12039"/>
    <cellStyle name="Normal 10 4 4 3 3 2" xfId="31922"/>
    <cellStyle name="Normal 10 4 4 3 4" xfId="18191"/>
    <cellStyle name="Normal 10 4 4 3 4 2" xfId="38074"/>
    <cellStyle name="Normal 10 4 4 3 5" xfId="25769"/>
    <cellStyle name="Normal 10 4 4 4" xfId="7377"/>
    <cellStyle name="Normal 10 4 4 4 2" xfId="13571"/>
    <cellStyle name="Normal 10 4 4 4 2 2" xfId="33454"/>
    <cellStyle name="Normal 10 4 4 4 3" xfId="19723"/>
    <cellStyle name="Normal 10 4 4 4 3 2" xfId="39606"/>
    <cellStyle name="Normal 10 4 4 4 4" xfId="27301"/>
    <cellStyle name="Normal 10 4 4 5" xfId="10505"/>
    <cellStyle name="Normal 10 4 4 5 2" xfId="30388"/>
    <cellStyle name="Normal 10 4 4 6" xfId="16657"/>
    <cellStyle name="Normal 10 4 4 6 2" xfId="36540"/>
    <cellStyle name="Normal 10 4 4 7" xfId="24235"/>
    <cellStyle name="Normal 10 4 5" xfId="4965"/>
    <cellStyle name="Normal 10 4 5 2" xfId="6590"/>
    <cellStyle name="Normal 10 4 5 2 2" xfId="9676"/>
    <cellStyle name="Normal 10 4 5 2 2 2" xfId="15869"/>
    <cellStyle name="Normal 10 4 5 2 2 2 2" xfId="35752"/>
    <cellStyle name="Normal 10 4 5 2 2 3" xfId="22021"/>
    <cellStyle name="Normal 10 4 5 2 2 3 2" xfId="41904"/>
    <cellStyle name="Normal 10 4 5 2 2 4" xfId="29599"/>
    <cellStyle name="Normal 10 4 5 2 3" xfId="12803"/>
    <cellStyle name="Normal 10 4 5 2 3 2" xfId="32686"/>
    <cellStyle name="Normal 10 4 5 2 4" xfId="18955"/>
    <cellStyle name="Normal 10 4 5 2 4 2" xfId="38838"/>
    <cellStyle name="Normal 10 4 5 2 5" xfId="26533"/>
    <cellStyle name="Normal 10 4 5 3" xfId="8141"/>
    <cellStyle name="Normal 10 4 5 3 2" xfId="14335"/>
    <cellStyle name="Normal 10 4 5 3 2 2" xfId="34218"/>
    <cellStyle name="Normal 10 4 5 3 3" xfId="20487"/>
    <cellStyle name="Normal 10 4 5 3 3 2" xfId="40370"/>
    <cellStyle name="Normal 10 4 5 3 4" xfId="28065"/>
    <cellStyle name="Normal 10 4 5 4" xfId="11269"/>
    <cellStyle name="Normal 10 4 5 4 2" xfId="31152"/>
    <cellStyle name="Normal 10 4 5 5" xfId="17421"/>
    <cellStyle name="Normal 10 4 5 5 2" xfId="37304"/>
    <cellStyle name="Normal 10 4 5 6" xfId="24999"/>
    <cellStyle name="Normal 10 4 6" xfId="5807"/>
    <cellStyle name="Normal 10 4 6 2" xfId="8907"/>
    <cellStyle name="Normal 10 4 6 2 2" xfId="15100"/>
    <cellStyle name="Normal 10 4 6 2 2 2" xfId="34983"/>
    <cellStyle name="Normal 10 4 6 2 3" xfId="21252"/>
    <cellStyle name="Normal 10 4 6 2 3 2" xfId="41135"/>
    <cellStyle name="Normal 10 4 6 2 4" xfId="28830"/>
    <cellStyle name="Normal 10 4 6 3" xfId="12034"/>
    <cellStyle name="Normal 10 4 6 3 2" xfId="31917"/>
    <cellStyle name="Normal 10 4 6 4" xfId="18186"/>
    <cellStyle name="Normal 10 4 6 4 2" xfId="38069"/>
    <cellStyle name="Normal 10 4 6 5" xfId="25764"/>
    <cellStyle name="Normal 10 4 7" xfId="7372"/>
    <cellStyle name="Normal 10 4 7 2" xfId="13566"/>
    <cellStyle name="Normal 10 4 7 2 2" xfId="33449"/>
    <cellStyle name="Normal 10 4 7 3" xfId="19718"/>
    <cellStyle name="Normal 10 4 7 3 2" xfId="39601"/>
    <cellStyle name="Normal 10 4 7 4" xfId="27296"/>
    <cellStyle name="Normal 10 4 8" xfId="10500"/>
    <cellStyle name="Normal 10 4 8 2" xfId="30383"/>
    <cellStyle name="Normal 10 4 9" xfId="16652"/>
    <cellStyle name="Normal 10 4 9 2" xfId="36535"/>
    <cellStyle name="Normal 10 5" xfId="107"/>
    <cellStyle name="Normal 10 5 10" xfId="3439"/>
    <cellStyle name="Normal 10 5 10 2" xfId="24236"/>
    <cellStyle name="Normal 10 5 11" xfId="23210"/>
    <cellStyle name="Normal 10 5 12" xfId="23355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2 2" xfId="35760"/>
    <cellStyle name="Normal 10 5 2 2 2 2 2 3" xfId="22029"/>
    <cellStyle name="Normal 10 5 2 2 2 2 2 3 2" xfId="41912"/>
    <cellStyle name="Normal 10 5 2 2 2 2 2 4" xfId="29607"/>
    <cellStyle name="Normal 10 5 2 2 2 2 3" xfId="12811"/>
    <cellStyle name="Normal 10 5 2 2 2 2 3 2" xfId="32694"/>
    <cellStyle name="Normal 10 5 2 2 2 2 4" xfId="18963"/>
    <cellStyle name="Normal 10 5 2 2 2 2 4 2" xfId="38846"/>
    <cellStyle name="Normal 10 5 2 2 2 2 5" xfId="26541"/>
    <cellStyle name="Normal 10 5 2 2 2 3" xfId="8149"/>
    <cellStyle name="Normal 10 5 2 2 2 3 2" xfId="14343"/>
    <cellStyle name="Normal 10 5 2 2 2 3 2 2" xfId="34226"/>
    <cellStyle name="Normal 10 5 2 2 2 3 3" xfId="20495"/>
    <cellStyle name="Normal 10 5 2 2 2 3 3 2" xfId="40378"/>
    <cellStyle name="Normal 10 5 2 2 2 3 4" xfId="28073"/>
    <cellStyle name="Normal 10 5 2 2 2 4" xfId="11277"/>
    <cellStyle name="Normal 10 5 2 2 2 4 2" xfId="31160"/>
    <cellStyle name="Normal 10 5 2 2 2 5" xfId="17429"/>
    <cellStyle name="Normal 10 5 2 2 2 5 2" xfId="37312"/>
    <cellStyle name="Normal 10 5 2 2 2 6" xfId="25007"/>
    <cellStyle name="Normal 10 5 2 2 3" xfId="5815"/>
    <cellStyle name="Normal 10 5 2 2 3 2" xfId="8915"/>
    <cellStyle name="Normal 10 5 2 2 3 2 2" xfId="15108"/>
    <cellStyle name="Normal 10 5 2 2 3 2 2 2" xfId="34991"/>
    <cellStyle name="Normal 10 5 2 2 3 2 3" xfId="21260"/>
    <cellStyle name="Normal 10 5 2 2 3 2 3 2" xfId="41143"/>
    <cellStyle name="Normal 10 5 2 2 3 2 4" xfId="28838"/>
    <cellStyle name="Normal 10 5 2 2 3 3" xfId="12042"/>
    <cellStyle name="Normal 10 5 2 2 3 3 2" xfId="31925"/>
    <cellStyle name="Normal 10 5 2 2 3 4" xfId="18194"/>
    <cellStyle name="Normal 10 5 2 2 3 4 2" xfId="38077"/>
    <cellStyle name="Normal 10 5 2 2 3 5" xfId="25772"/>
    <cellStyle name="Normal 10 5 2 2 4" xfId="7380"/>
    <cellStyle name="Normal 10 5 2 2 4 2" xfId="13574"/>
    <cellStyle name="Normal 10 5 2 2 4 2 2" xfId="33457"/>
    <cellStyle name="Normal 10 5 2 2 4 3" xfId="19726"/>
    <cellStyle name="Normal 10 5 2 2 4 3 2" xfId="39609"/>
    <cellStyle name="Normal 10 5 2 2 4 4" xfId="27304"/>
    <cellStyle name="Normal 10 5 2 2 5" xfId="10508"/>
    <cellStyle name="Normal 10 5 2 2 5 2" xfId="30391"/>
    <cellStyle name="Normal 10 5 2 2 6" xfId="16660"/>
    <cellStyle name="Normal 10 5 2 2 6 2" xfId="36543"/>
    <cellStyle name="Normal 10 5 2 2 7" xfId="24238"/>
    <cellStyle name="Normal 10 5 2 3" xfId="4972"/>
    <cellStyle name="Normal 10 5 2 3 2" xfId="6597"/>
    <cellStyle name="Normal 10 5 2 3 2 2" xfId="9683"/>
    <cellStyle name="Normal 10 5 2 3 2 2 2" xfId="15876"/>
    <cellStyle name="Normal 10 5 2 3 2 2 2 2" xfId="35759"/>
    <cellStyle name="Normal 10 5 2 3 2 2 3" xfId="22028"/>
    <cellStyle name="Normal 10 5 2 3 2 2 3 2" xfId="41911"/>
    <cellStyle name="Normal 10 5 2 3 2 2 4" xfId="29606"/>
    <cellStyle name="Normal 10 5 2 3 2 3" xfId="12810"/>
    <cellStyle name="Normal 10 5 2 3 2 3 2" xfId="32693"/>
    <cellStyle name="Normal 10 5 2 3 2 4" xfId="18962"/>
    <cellStyle name="Normal 10 5 2 3 2 4 2" xfId="38845"/>
    <cellStyle name="Normal 10 5 2 3 2 5" xfId="26540"/>
    <cellStyle name="Normal 10 5 2 3 3" xfId="8148"/>
    <cellStyle name="Normal 10 5 2 3 3 2" xfId="14342"/>
    <cellStyle name="Normal 10 5 2 3 3 2 2" xfId="34225"/>
    <cellStyle name="Normal 10 5 2 3 3 3" xfId="20494"/>
    <cellStyle name="Normal 10 5 2 3 3 3 2" xfId="40377"/>
    <cellStyle name="Normal 10 5 2 3 3 4" xfId="28072"/>
    <cellStyle name="Normal 10 5 2 3 4" xfId="11276"/>
    <cellStyle name="Normal 10 5 2 3 4 2" xfId="31159"/>
    <cellStyle name="Normal 10 5 2 3 5" xfId="17428"/>
    <cellStyle name="Normal 10 5 2 3 5 2" xfId="37311"/>
    <cellStyle name="Normal 10 5 2 3 6" xfId="25006"/>
    <cellStyle name="Normal 10 5 2 4" xfId="5814"/>
    <cellStyle name="Normal 10 5 2 4 2" xfId="8914"/>
    <cellStyle name="Normal 10 5 2 4 2 2" xfId="15107"/>
    <cellStyle name="Normal 10 5 2 4 2 2 2" xfId="34990"/>
    <cellStyle name="Normal 10 5 2 4 2 3" xfId="21259"/>
    <cellStyle name="Normal 10 5 2 4 2 3 2" xfId="41142"/>
    <cellStyle name="Normal 10 5 2 4 2 4" xfId="28837"/>
    <cellStyle name="Normal 10 5 2 4 3" xfId="12041"/>
    <cellStyle name="Normal 10 5 2 4 3 2" xfId="31924"/>
    <cellStyle name="Normal 10 5 2 4 4" xfId="18193"/>
    <cellStyle name="Normal 10 5 2 4 4 2" xfId="38076"/>
    <cellStyle name="Normal 10 5 2 4 5" xfId="25771"/>
    <cellStyle name="Normal 10 5 2 5" xfId="7379"/>
    <cellStyle name="Normal 10 5 2 5 2" xfId="13573"/>
    <cellStyle name="Normal 10 5 2 5 2 2" xfId="33456"/>
    <cellStyle name="Normal 10 5 2 5 3" xfId="19725"/>
    <cellStyle name="Normal 10 5 2 5 3 2" xfId="39608"/>
    <cellStyle name="Normal 10 5 2 5 4" xfId="27303"/>
    <cellStyle name="Normal 10 5 2 6" xfId="10507"/>
    <cellStyle name="Normal 10 5 2 6 2" xfId="30390"/>
    <cellStyle name="Normal 10 5 2 7" xfId="16659"/>
    <cellStyle name="Normal 10 5 2 7 2" xfId="36542"/>
    <cellStyle name="Normal 10 5 2 8" xfId="24237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2 2" xfId="35762"/>
    <cellStyle name="Normal 10 5 3 2 2 2 2 3" xfId="22031"/>
    <cellStyle name="Normal 10 5 3 2 2 2 2 3 2" xfId="41914"/>
    <cellStyle name="Normal 10 5 3 2 2 2 2 4" xfId="29609"/>
    <cellStyle name="Normal 10 5 3 2 2 2 3" xfId="12813"/>
    <cellStyle name="Normal 10 5 3 2 2 2 3 2" xfId="32696"/>
    <cellStyle name="Normal 10 5 3 2 2 2 4" xfId="18965"/>
    <cellStyle name="Normal 10 5 3 2 2 2 4 2" xfId="38848"/>
    <cellStyle name="Normal 10 5 3 2 2 2 5" xfId="26543"/>
    <cellStyle name="Normal 10 5 3 2 2 3" xfId="8151"/>
    <cellStyle name="Normal 10 5 3 2 2 3 2" xfId="14345"/>
    <cellStyle name="Normal 10 5 3 2 2 3 2 2" xfId="34228"/>
    <cellStyle name="Normal 10 5 3 2 2 3 3" xfId="20497"/>
    <cellStyle name="Normal 10 5 3 2 2 3 3 2" xfId="40380"/>
    <cellStyle name="Normal 10 5 3 2 2 3 4" xfId="28075"/>
    <cellStyle name="Normal 10 5 3 2 2 4" xfId="11279"/>
    <cellStyle name="Normal 10 5 3 2 2 4 2" xfId="31162"/>
    <cellStyle name="Normal 10 5 3 2 2 5" xfId="17431"/>
    <cellStyle name="Normal 10 5 3 2 2 5 2" xfId="37314"/>
    <cellStyle name="Normal 10 5 3 2 2 6" xfId="25009"/>
    <cellStyle name="Normal 10 5 3 2 3" xfId="5817"/>
    <cellStyle name="Normal 10 5 3 2 3 2" xfId="8917"/>
    <cellStyle name="Normal 10 5 3 2 3 2 2" xfId="15110"/>
    <cellStyle name="Normal 10 5 3 2 3 2 2 2" xfId="34993"/>
    <cellStyle name="Normal 10 5 3 2 3 2 3" xfId="21262"/>
    <cellStyle name="Normal 10 5 3 2 3 2 3 2" xfId="41145"/>
    <cellStyle name="Normal 10 5 3 2 3 2 4" xfId="28840"/>
    <cellStyle name="Normal 10 5 3 2 3 3" xfId="12044"/>
    <cellStyle name="Normal 10 5 3 2 3 3 2" xfId="31927"/>
    <cellStyle name="Normal 10 5 3 2 3 4" xfId="18196"/>
    <cellStyle name="Normal 10 5 3 2 3 4 2" xfId="38079"/>
    <cellStyle name="Normal 10 5 3 2 3 5" xfId="25774"/>
    <cellStyle name="Normal 10 5 3 2 4" xfId="7382"/>
    <cellStyle name="Normal 10 5 3 2 4 2" xfId="13576"/>
    <cellStyle name="Normal 10 5 3 2 4 2 2" xfId="33459"/>
    <cellStyle name="Normal 10 5 3 2 4 3" xfId="19728"/>
    <cellStyle name="Normal 10 5 3 2 4 3 2" xfId="39611"/>
    <cellStyle name="Normal 10 5 3 2 4 4" xfId="27306"/>
    <cellStyle name="Normal 10 5 3 2 5" xfId="10510"/>
    <cellStyle name="Normal 10 5 3 2 5 2" xfId="30393"/>
    <cellStyle name="Normal 10 5 3 2 6" xfId="16662"/>
    <cellStyle name="Normal 10 5 3 2 6 2" xfId="36545"/>
    <cellStyle name="Normal 10 5 3 2 7" xfId="24240"/>
    <cellStyle name="Normal 10 5 3 3" xfId="4974"/>
    <cellStyle name="Normal 10 5 3 3 2" xfId="6599"/>
    <cellStyle name="Normal 10 5 3 3 2 2" xfId="9685"/>
    <cellStyle name="Normal 10 5 3 3 2 2 2" xfId="15878"/>
    <cellStyle name="Normal 10 5 3 3 2 2 2 2" xfId="35761"/>
    <cellStyle name="Normal 10 5 3 3 2 2 3" xfId="22030"/>
    <cellStyle name="Normal 10 5 3 3 2 2 3 2" xfId="41913"/>
    <cellStyle name="Normal 10 5 3 3 2 2 4" xfId="29608"/>
    <cellStyle name="Normal 10 5 3 3 2 3" xfId="12812"/>
    <cellStyle name="Normal 10 5 3 3 2 3 2" xfId="32695"/>
    <cellStyle name="Normal 10 5 3 3 2 4" xfId="18964"/>
    <cellStyle name="Normal 10 5 3 3 2 4 2" xfId="38847"/>
    <cellStyle name="Normal 10 5 3 3 2 5" xfId="26542"/>
    <cellStyle name="Normal 10 5 3 3 3" xfId="8150"/>
    <cellStyle name="Normal 10 5 3 3 3 2" xfId="14344"/>
    <cellStyle name="Normal 10 5 3 3 3 2 2" xfId="34227"/>
    <cellStyle name="Normal 10 5 3 3 3 3" xfId="20496"/>
    <cellStyle name="Normal 10 5 3 3 3 3 2" xfId="40379"/>
    <cellStyle name="Normal 10 5 3 3 3 4" xfId="28074"/>
    <cellStyle name="Normal 10 5 3 3 4" xfId="11278"/>
    <cellStyle name="Normal 10 5 3 3 4 2" xfId="31161"/>
    <cellStyle name="Normal 10 5 3 3 5" xfId="17430"/>
    <cellStyle name="Normal 10 5 3 3 5 2" xfId="37313"/>
    <cellStyle name="Normal 10 5 3 3 6" xfId="25008"/>
    <cellStyle name="Normal 10 5 3 4" xfId="5816"/>
    <cellStyle name="Normal 10 5 3 4 2" xfId="8916"/>
    <cellStyle name="Normal 10 5 3 4 2 2" xfId="15109"/>
    <cellStyle name="Normal 10 5 3 4 2 2 2" xfId="34992"/>
    <cellStyle name="Normal 10 5 3 4 2 3" xfId="21261"/>
    <cellStyle name="Normal 10 5 3 4 2 3 2" xfId="41144"/>
    <cellStyle name="Normal 10 5 3 4 2 4" xfId="28839"/>
    <cellStyle name="Normal 10 5 3 4 3" xfId="12043"/>
    <cellStyle name="Normal 10 5 3 4 3 2" xfId="31926"/>
    <cellStyle name="Normal 10 5 3 4 4" xfId="18195"/>
    <cellStyle name="Normal 10 5 3 4 4 2" xfId="38078"/>
    <cellStyle name="Normal 10 5 3 4 5" xfId="25773"/>
    <cellStyle name="Normal 10 5 3 5" xfId="7381"/>
    <cellStyle name="Normal 10 5 3 5 2" xfId="13575"/>
    <cellStyle name="Normal 10 5 3 5 2 2" xfId="33458"/>
    <cellStyle name="Normal 10 5 3 5 3" xfId="19727"/>
    <cellStyle name="Normal 10 5 3 5 3 2" xfId="39610"/>
    <cellStyle name="Normal 10 5 3 5 4" xfId="27305"/>
    <cellStyle name="Normal 10 5 3 6" xfId="10509"/>
    <cellStyle name="Normal 10 5 3 6 2" xfId="30392"/>
    <cellStyle name="Normal 10 5 3 7" xfId="16661"/>
    <cellStyle name="Normal 10 5 3 7 2" xfId="36544"/>
    <cellStyle name="Normal 10 5 3 8" xfId="24239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2 2" xfId="35763"/>
    <cellStyle name="Normal 10 5 4 2 2 2 3" xfId="22032"/>
    <cellStyle name="Normal 10 5 4 2 2 2 3 2" xfId="41915"/>
    <cellStyle name="Normal 10 5 4 2 2 2 4" xfId="29610"/>
    <cellStyle name="Normal 10 5 4 2 2 3" xfId="12814"/>
    <cellStyle name="Normal 10 5 4 2 2 3 2" xfId="32697"/>
    <cellStyle name="Normal 10 5 4 2 2 4" xfId="18966"/>
    <cellStyle name="Normal 10 5 4 2 2 4 2" xfId="38849"/>
    <cellStyle name="Normal 10 5 4 2 2 5" xfId="26544"/>
    <cellStyle name="Normal 10 5 4 2 3" xfId="8152"/>
    <cellStyle name="Normal 10 5 4 2 3 2" xfId="14346"/>
    <cellStyle name="Normal 10 5 4 2 3 2 2" xfId="34229"/>
    <cellStyle name="Normal 10 5 4 2 3 3" xfId="20498"/>
    <cellStyle name="Normal 10 5 4 2 3 3 2" xfId="40381"/>
    <cellStyle name="Normal 10 5 4 2 3 4" xfId="28076"/>
    <cellStyle name="Normal 10 5 4 2 4" xfId="11280"/>
    <cellStyle name="Normal 10 5 4 2 4 2" xfId="31163"/>
    <cellStyle name="Normal 10 5 4 2 5" xfId="17432"/>
    <cellStyle name="Normal 10 5 4 2 5 2" xfId="37315"/>
    <cellStyle name="Normal 10 5 4 2 6" xfId="25010"/>
    <cellStyle name="Normal 10 5 4 3" xfId="5818"/>
    <cellStyle name="Normal 10 5 4 3 2" xfId="8918"/>
    <cellStyle name="Normal 10 5 4 3 2 2" xfId="15111"/>
    <cellStyle name="Normal 10 5 4 3 2 2 2" xfId="34994"/>
    <cellStyle name="Normal 10 5 4 3 2 3" xfId="21263"/>
    <cellStyle name="Normal 10 5 4 3 2 3 2" xfId="41146"/>
    <cellStyle name="Normal 10 5 4 3 2 4" xfId="28841"/>
    <cellStyle name="Normal 10 5 4 3 3" xfId="12045"/>
    <cellStyle name="Normal 10 5 4 3 3 2" xfId="31928"/>
    <cellStyle name="Normal 10 5 4 3 4" xfId="18197"/>
    <cellStyle name="Normal 10 5 4 3 4 2" xfId="38080"/>
    <cellStyle name="Normal 10 5 4 3 5" xfId="25775"/>
    <cellStyle name="Normal 10 5 4 4" xfId="7383"/>
    <cellStyle name="Normal 10 5 4 4 2" xfId="13577"/>
    <cellStyle name="Normal 10 5 4 4 2 2" xfId="33460"/>
    <cellStyle name="Normal 10 5 4 4 3" xfId="19729"/>
    <cellStyle name="Normal 10 5 4 4 3 2" xfId="39612"/>
    <cellStyle name="Normal 10 5 4 4 4" xfId="27307"/>
    <cellStyle name="Normal 10 5 4 5" xfId="10511"/>
    <cellStyle name="Normal 10 5 4 5 2" xfId="30394"/>
    <cellStyle name="Normal 10 5 4 6" xfId="16663"/>
    <cellStyle name="Normal 10 5 4 6 2" xfId="36546"/>
    <cellStyle name="Normal 10 5 4 7" xfId="24241"/>
    <cellStyle name="Normal 10 5 5" xfId="4971"/>
    <cellStyle name="Normal 10 5 5 2" xfId="6596"/>
    <cellStyle name="Normal 10 5 5 2 2" xfId="9682"/>
    <cellStyle name="Normal 10 5 5 2 2 2" xfId="15875"/>
    <cellStyle name="Normal 10 5 5 2 2 2 2" xfId="35758"/>
    <cellStyle name="Normal 10 5 5 2 2 3" xfId="22027"/>
    <cellStyle name="Normal 10 5 5 2 2 3 2" xfId="41910"/>
    <cellStyle name="Normal 10 5 5 2 2 4" xfId="29605"/>
    <cellStyle name="Normal 10 5 5 2 3" xfId="12809"/>
    <cellStyle name="Normal 10 5 5 2 3 2" xfId="32692"/>
    <cellStyle name="Normal 10 5 5 2 4" xfId="18961"/>
    <cellStyle name="Normal 10 5 5 2 4 2" xfId="38844"/>
    <cellStyle name="Normal 10 5 5 2 5" xfId="26539"/>
    <cellStyle name="Normal 10 5 5 3" xfId="8147"/>
    <cellStyle name="Normal 10 5 5 3 2" xfId="14341"/>
    <cellStyle name="Normal 10 5 5 3 2 2" xfId="34224"/>
    <cellStyle name="Normal 10 5 5 3 3" xfId="20493"/>
    <cellStyle name="Normal 10 5 5 3 3 2" xfId="40376"/>
    <cellStyle name="Normal 10 5 5 3 4" xfId="28071"/>
    <cellStyle name="Normal 10 5 5 4" xfId="11275"/>
    <cellStyle name="Normal 10 5 5 4 2" xfId="31158"/>
    <cellStyle name="Normal 10 5 5 5" xfId="17427"/>
    <cellStyle name="Normal 10 5 5 5 2" xfId="37310"/>
    <cellStyle name="Normal 10 5 5 6" xfId="25005"/>
    <cellStyle name="Normal 10 5 6" xfId="5813"/>
    <cellStyle name="Normal 10 5 6 2" xfId="8913"/>
    <cellStyle name="Normal 10 5 6 2 2" xfId="15106"/>
    <cellStyle name="Normal 10 5 6 2 2 2" xfId="34989"/>
    <cellStyle name="Normal 10 5 6 2 3" xfId="21258"/>
    <cellStyle name="Normal 10 5 6 2 3 2" xfId="41141"/>
    <cellStyle name="Normal 10 5 6 2 4" xfId="28836"/>
    <cellStyle name="Normal 10 5 6 3" xfId="12040"/>
    <cellStyle name="Normal 10 5 6 3 2" xfId="31923"/>
    <cellStyle name="Normal 10 5 6 4" xfId="18192"/>
    <cellStyle name="Normal 10 5 6 4 2" xfId="38075"/>
    <cellStyle name="Normal 10 5 6 5" xfId="25770"/>
    <cellStyle name="Normal 10 5 7" xfId="7378"/>
    <cellStyle name="Normal 10 5 7 2" xfId="13572"/>
    <cellStyle name="Normal 10 5 7 2 2" xfId="33455"/>
    <cellStyle name="Normal 10 5 7 3" xfId="19724"/>
    <cellStyle name="Normal 10 5 7 3 2" xfId="39607"/>
    <cellStyle name="Normal 10 5 7 4" xfId="27302"/>
    <cellStyle name="Normal 10 5 8" xfId="10506"/>
    <cellStyle name="Normal 10 5 8 2" xfId="30389"/>
    <cellStyle name="Normal 10 5 9" xfId="16658"/>
    <cellStyle name="Normal 10 5 9 2" xfId="36541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2 2" xfId="35765"/>
    <cellStyle name="Normal 10 6 2 2 2 2 3" xfId="22034"/>
    <cellStyle name="Normal 10 6 2 2 2 2 3 2" xfId="41917"/>
    <cellStyle name="Normal 10 6 2 2 2 2 4" xfId="29612"/>
    <cellStyle name="Normal 10 6 2 2 2 3" xfId="12816"/>
    <cellStyle name="Normal 10 6 2 2 2 3 2" xfId="32699"/>
    <cellStyle name="Normal 10 6 2 2 2 4" xfId="18968"/>
    <cellStyle name="Normal 10 6 2 2 2 4 2" xfId="38851"/>
    <cellStyle name="Normal 10 6 2 2 2 5" xfId="26546"/>
    <cellStyle name="Normal 10 6 2 2 3" xfId="8154"/>
    <cellStyle name="Normal 10 6 2 2 3 2" xfId="14348"/>
    <cellStyle name="Normal 10 6 2 2 3 2 2" xfId="34231"/>
    <cellStyle name="Normal 10 6 2 2 3 3" xfId="20500"/>
    <cellStyle name="Normal 10 6 2 2 3 3 2" xfId="40383"/>
    <cellStyle name="Normal 10 6 2 2 3 4" xfId="28078"/>
    <cellStyle name="Normal 10 6 2 2 4" xfId="11282"/>
    <cellStyle name="Normal 10 6 2 2 4 2" xfId="31165"/>
    <cellStyle name="Normal 10 6 2 2 5" xfId="17434"/>
    <cellStyle name="Normal 10 6 2 2 5 2" xfId="37317"/>
    <cellStyle name="Normal 10 6 2 2 6" xfId="25012"/>
    <cellStyle name="Normal 10 6 2 3" xfId="5820"/>
    <cellStyle name="Normal 10 6 2 3 2" xfId="8920"/>
    <cellStyle name="Normal 10 6 2 3 2 2" xfId="15113"/>
    <cellStyle name="Normal 10 6 2 3 2 2 2" xfId="34996"/>
    <cellStyle name="Normal 10 6 2 3 2 3" xfId="21265"/>
    <cellStyle name="Normal 10 6 2 3 2 3 2" xfId="41148"/>
    <cellStyle name="Normal 10 6 2 3 2 4" xfId="28843"/>
    <cellStyle name="Normal 10 6 2 3 3" xfId="12047"/>
    <cellStyle name="Normal 10 6 2 3 3 2" xfId="31930"/>
    <cellStyle name="Normal 10 6 2 3 4" xfId="18199"/>
    <cellStyle name="Normal 10 6 2 3 4 2" xfId="38082"/>
    <cellStyle name="Normal 10 6 2 3 5" xfId="25777"/>
    <cellStyle name="Normal 10 6 2 4" xfId="7385"/>
    <cellStyle name="Normal 10 6 2 4 2" xfId="13579"/>
    <cellStyle name="Normal 10 6 2 4 2 2" xfId="33462"/>
    <cellStyle name="Normal 10 6 2 4 3" xfId="19731"/>
    <cellStyle name="Normal 10 6 2 4 3 2" xfId="39614"/>
    <cellStyle name="Normal 10 6 2 4 4" xfId="27309"/>
    <cellStyle name="Normal 10 6 2 5" xfId="10513"/>
    <cellStyle name="Normal 10 6 2 5 2" xfId="30396"/>
    <cellStyle name="Normal 10 6 2 6" xfId="16665"/>
    <cellStyle name="Normal 10 6 2 6 2" xfId="36548"/>
    <cellStyle name="Normal 10 6 2 7" xfId="24243"/>
    <cellStyle name="Normal 10 6 3" xfId="4977"/>
    <cellStyle name="Normal 10 6 3 2" xfId="6602"/>
    <cellStyle name="Normal 10 6 3 2 2" xfId="9688"/>
    <cellStyle name="Normal 10 6 3 2 2 2" xfId="15881"/>
    <cellStyle name="Normal 10 6 3 2 2 2 2" xfId="35764"/>
    <cellStyle name="Normal 10 6 3 2 2 3" xfId="22033"/>
    <cellStyle name="Normal 10 6 3 2 2 3 2" xfId="41916"/>
    <cellStyle name="Normal 10 6 3 2 2 4" xfId="29611"/>
    <cellStyle name="Normal 10 6 3 2 3" xfId="12815"/>
    <cellStyle name="Normal 10 6 3 2 3 2" xfId="32698"/>
    <cellStyle name="Normal 10 6 3 2 4" xfId="18967"/>
    <cellStyle name="Normal 10 6 3 2 4 2" xfId="38850"/>
    <cellStyle name="Normal 10 6 3 2 5" xfId="26545"/>
    <cellStyle name="Normal 10 6 3 3" xfId="8153"/>
    <cellStyle name="Normal 10 6 3 3 2" xfId="14347"/>
    <cellStyle name="Normal 10 6 3 3 2 2" xfId="34230"/>
    <cellStyle name="Normal 10 6 3 3 3" xfId="20499"/>
    <cellStyle name="Normal 10 6 3 3 3 2" xfId="40382"/>
    <cellStyle name="Normal 10 6 3 3 4" xfId="28077"/>
    <cellStyle name="Normal 10 6 3 4" xfId="11281"/>
    <cellStyle name="Normal 10 6 3 4 2" xfId="31164"/>
    <cellStyle name="Normal 10 6 3 5" xfId="17433"/>
    <cellStyle name="Normal 10 6 3 5 2" xfId="37316"/>
    <cellStyle name="Normal 10 6 3 6" xfId="25011"/>
    <cellStyle name="Normal 10 6 4" xfId="5819"/>
    <cellStyle name="Normal 10 6 4 2" xfId="8919"/>
    <cellStyle name="Normal 10 6 4 2 2" xfId="15112"/>
    <cellStyle name="Normal 10 6 4 2 2 2" xfId="34995"/>
    <cellStyle name="Normal 10 6 4 2 3" xfId="21264"/>
    <cellStyle name="Normal 10 6 4 2 3 2" xfId="41147"/>
    <cellStyle name="Normal 10 6 4 2 4" xfId="28842"/>
    <cellStyle name="Normal 10 6 4 3" xfId="12046"/>
    <cellStyle name="Normal 10 6 4 3 2" xfId="31929"/>
    <cellStyle name="Normal 10 6 4 4" xfId="18198"/>
    <cellStyle name="Normal 10 6 4 4 2" xfId="38081"/>
    <cellStyle name="Normal 10 6 4 5" xfId="25776"/>
    <cellStyle name="Normal 10 6 5" xfId="7384"/>
    <cellStyle name="Normal 10 6 5 2" xfId="13578"/>
    <cellStyle name="Normal 10 6 5 2 2" xfId="33461"/>
    <cellStyle name="Normal 10 6 5 3" xfId="19730"/>
    <cellStyle name="Normal 10 6 5 3 2" xfId="39613"/>
    <cellStyle name="Normal 10 6 5 4" xfId="27308"/>
    <cellStyle name="Normal 10 6 6" xfId="10512"/>
    <cellStyle name="Normal 10 6 6 2" xfId="30395"/>
    <cellStyle name="Normal 10 6 7" xfId="16664"/>
    <cellStyle name="Normal 10 6 7 2" xfId="36547"/>
    <cellStyle name="Normal 10 6 8" xfId="23211"/>
    <cellStyle name="Normal 10 6 9" xfId="24242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2 2" xfId="35767"/>
    <cellStyle name="Normal 10 7 2 2 2 2 3" xfId="22036"/>
    <cellStyle name="Normal 10 7 2 2 2 2 3 2" xfId="41919"/>
    <cellStyle name="Normal 10 7 2 2 2 2 4" xfId="29614"/>
    <cellStyle name="Normal 10 7 2 2 2 3" xfId="12818"/>
    <cellStyle name="Normal 10 7 2 2 2 3 2" xfId="32701"/>
    <cellStyle name="Normal 10 7 2 2 2 4" xfId="18970"/>
    <cellStyle name="Normal 10 7 2 2 2 4 2" xfId="38853"/>
    <cellStyle name="Normal 10 7 2 2 2 5" xfId="26548"/>
    <cellStyle name="Normal 10 7 2 2 3" xfId="8156"/>
    <cellStyle name="Normal 10 7 2 2 3 2" xfId="14350"/>
    <cellStyle name="Normal 10 7 2 2 3 2 2" xfId="34233"/>
    <cellStyle name="Normal 10 7 2 2 3 3" xfId="20502"/>
    <cellStyle name="Normal 10 7 2 2 3 3 2" xfId="40385"/>
    <cellStyle name="Normal 10 7 2 2 3 4" xfId="28080"/>
    <cellStyle name="Normal 10 7 2 2 4" xfId="11284"/>
    <cellStyle name="Normal 10 7 2 2 4 2" xfId="31167"/>
    <cellStyle name="Normal 10 7 2 2 5" xfId="17436"/>
    <cellStyle name="Normal 10 7 2 2 5 2" xfId="37319"/>
    <cellStyle name="Normal 10 7 2 2 6" xfId="25014"/>
    <cellStyle name="Normal 10 7 2 3" xfId="5822"/>
    <cellStyle name="Normal 10 7 2 3 2" xfId="8922"/>
    <cellStyle name="Normal 10 7 2 3 2 2" xfId="15115"/>
    <cellStyle name="Normal 10 7 2 3 2 2 2" xfId="34998"/>
    <cellStyle name="Normal 10 7 2 3 2 3" xfId="21267"/>
    <cellStyle name="Normal 10 7 2 3 2 3 2" xfId="41150"/>
    <cellStyle name="Normal 10 7 2 3 2 4" xfId="28845"/>
    <cellStyle name="Normal 10 7 2 3 3" xfId="12049"/>
    <cellStyle name="Normal 10 7 2 3 3 2" xfId="31932"/>
    <cellStyle name="Normal 10 7 2 3 4" xfId="18201"/>
    <cellStyle name="Normal 10 7 2 3 4 2" xfId="38084"/>
    <cellStyle name="Normal 10 7 2 3 5" xfId="25779"/>
    <cellStyle name="Normal 10 7 2 4" xfId="7387"/>
    <cellStyle name="Normal 10 7 2 4 2" xfId="13581"/>
    <cellStyle name="Normal 10 7 2 4 2 2" xfId="33464"/>
    <cellStyle name="Normal 10 7 2 4 3" xfId="19733"/>
    <cellStyle name="Normal 10 7 2 4 3 2" xfId="39616"/>
    <cellStyle name="Normal 10 7 2 4 4" xfId="27311"/>
    <cellStyle name="Normal 10 7 2 5" xfId="10515"/>
    <cellStyle name="Normal 10 7 2 5 2" xfId="30398"/>
    <cellStyle name="Normal 10 7 2 6" xfId="16667"/>
    <cellStyle name="Normal 10 7 2 6 2" xfId="36550"/>
    <cellStyle name="Normal 10 7 2 7" xfId="24245"/>
    <cellStyle name="Normal 10 7 3" xfId="4979"/>
    <cellStyle name="Normal 10 7 3 2" xfId="6604"/>
    <cellStyle name="Normal 10 7 3 2 2" xfId="9690"/>
    <cellStyle name="Normal 10 7 3 2 2 2" xfId="15883"/>
    <cellStyle name="Normal 10 7 3 2 2 2 2" xfId="35766"/>
    <cellStyle name="Normal 10 7 3 2 2 3" xfId="22035"/>
    <cellStyle name="Normal 10 7 3 2 2 3 2" xfId="41918"/>
    <cellStyle name="Normal 10 7 3 2 2 4" xfId="29613"/>
    <cellStyle name="Normal 10 7 3 2 3" xfId="12817"/>
    <cellStyle name="Normal 10 7 3 2 3 2" xfId="32700"/>
    <cellStyle name="Normal 10 7 3 2 4" xfId="18969"/>
    <cellStyle name="Normal 10 7 3 2 4 2" xfId="38852"/>
    <cellStyle name="Normal 10 7 3 2 5" xfId="26547"/>
    <cellStyle name="Normal 10 7 3 3" xfId="8155"/>
    <cellStyle name="Normal 10 7 3 3 2" xfId="14349"/>
    <cellStyle name="Normal 10 7 3 3 2 2" xfId="34232"/>
    <cellStyle name="Normal 10 7 3 3 3" xfId="20501"/>
    <cellStyle name="Normal 10 7 3 3 3 2" xfId="40384"/>
    <cellStyle name="Normal 10 7 3 3 4" xfId="28079"/>
    <cellStyle name="Normal 10 7 3 4" xfId="11283"/>
    <cellStyle name="Normal 10 7 3 4 2" xfId="31166"/>
    <cellStyle name="Normal 10 7 3 5" xfId="17435"/>
    <cellStyle name="Normal 10 7 3 5 2" xfId="37318"/>
    <cellStyle name="Normal 10 7 3 6" xfId="25013"/>
    <cellStyle name="Normal 10 7 4" xfId="5821"/>
    <cellStyle name="Normal 10 7 4 2" xfId="8921"/>
    <cellStyle name="Normal 10 7 4 2 2" xfId="15114"/>
    <cellStyle name="Normal 10 7 4 2 2 2" xfId="34997"/>
    <cellStyle name="Normal 10 7 4 2 3" xfId="21266"/>
    <cellStyle name="Normal 10 7 4 2 3 2" xfId="41149"/>
    <cellStyle name="Normal 10 7 4 2 4" xfId="28844"/>
    <cellStyle name="Normal 10 7 4 3" xfId="12048"/>
    <cellStyle name="Normal 10 7 4 3 2" xfId="31931"/>
    <cellStyle name="Normal 10 7 4 4" xfId="18200"/>
    <cellStyle name="Normal 10 7 4 4 2" xfId="38083"/>
    <cellStyle name="Normal 10 7 4 5" xfId="25778"/>
    <cellStyle name="Normal 10 7 5" xfId="7386"/>
    <cellStyle name="Normal 10 7 5 2" xfId="13580"/>
    <cellStyle name="Normal 10 7 5 2 2" xfId="33463"/>
    <cellStyle name="Normal 10 7 5 3" xfId="19732"/>
    <cellStyle name="Normal 10 7 5 3 2" xfId="39615"/>
    <cellStyle name="Normal 10 7 5 4" xfId="27310"/>
    <cellStyle name="Normal 10 7 6" xfId="10514"/>
    <cellStyle name="Normal 10 7 6 2" xfId="30397"/>
    <cellStyle name="Normal 10 7 7" xfId="16666"/>
    <cellStyle name="Normal 10 7 7 2" xfId="36549"/>
    <cellStyle name="Normal 10 7 8" xfId="23212"/>
    <cellStyle name="Normal 10 7 9" xfId="24244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2 2" xfId="35768"/>
    <cellStyle name="Normal 10 8 2 2 2 2 3" xfId="22037"/>
    <cellStyle name="Normal 10 8 2 2 2 2 3 2" xfId="41920"/>
    <cellStyle name="Normal 10 8 2 2 2 2 4" xfId="29615"/>
    <cellStyle name="Normal 10 8 2 2 2 3" xfId="12819"/>
    <cellStyle name="Normal 10 8 2 2 2 3 2" xfId="32702"/>
    <cellStyle name="Normal 10 8 2 2 2 4" xfId="18971"/>
    <cellStyle name="Normal 10 8 2 2 2 4 2" xfId="38854"/>
    <cellStyle name="Normal 10 8 2 2 2 5" xfId="26549"/>
    <cellStyle name="Normal 10 8 2 2 3" xfId="8157"/>
    <cellStyle name="Normal 10 8 2 2 3 2" xfId="14351"/>
    <cellStyle name="Normal 10 8 2 2 3 2 2" xfId="34234"/>
    <cellStyle name="Normal 10 8 2 2 3 3" xfId="20503"/>
    <cellStyle name="Normal 10 8 2 2 3 3 2" xfId="40386"/>
    <cellStyle name="Normal 10 8 2 2 3 4" xfId="28081"/>
    <cellStyle name="Normal 10 8 2 2 4" xfId="11285"/>
    <cellStyle name="Normal 10 8 2 2 4 2" xfId="31168"/>
    <cellStyle name="Normal 10 8 2 2 5" xfId="17437"/>
    <cellStyle name="Normal 10 8 2 2 5 2" xfId="37320"/>
    <cellStyle name="Normal 10 8 2 2 6" xfId="25015"/>
    <cellStyle name="Normal 10 8 2 3" xfId="5823"/>
    <cellStyle name="Normal 10 8 2 3 2" xfId="8923"/>
    <cellStyle name="Normal 10 8 2 3 2 2" xfId="15116"/>
    <cellStyle name="Normal 10 8 2 3 2 2 2" xfId="34999"/>
    <cellStyle name="Normal 10 8 2 3 2 3" xfId="21268"/>
    <cellStyle name="Normal 10 8 2 3 2 3 2" xfId="41151"/>
    <cellStyle name="Normal 10 8 2 3 2 4" xfId="28846"/>
    <cellStyle name="Normal 10 8 2 3 3" xfId="12050"/>
    <cellStyle name="Normal 10 8 2 3 3 2" xfId="31933"/>
    <cellStyle name="Normal 10 8 2 3 4" xfId="18202"/>
    <cellStyle name="Normal 10 8 2 3 4 2" xfId="38085"/>
    <cellStyle name="Normal 10 8 2 3 5" xfId="25780"/>
    <cellStyle name="Normal 10 8 2 4" xfId="7388"/>
    <cellStyle name="Normal 10 8 2 4 2" xfId="13582"/>
    <cellStyle name="Normal 10 8 2 4 2 2" xfId="33465"/>
    <cellStyle name="Normal 10 8 2 4 3" xfId="19734"/>
    <cellStyle name="Normal 10 8 2 4 3 2" xfId="39617"/>
    <cellStyle name="Normal 10 8 2 4 4" xfId="27312"/>
    <cellStyle name="Normal 10 8 2 5" xfId="10516"/>
    <cellStyle name="Normal 10 8 2 5 2" xfId="30399"/>
    <cellStyle name="Normal 10 8 2 6" xfId="16668"/>
    <cellStyle name="Normal 10 8 2 6 2" xfId="36551"/>
    <cellStyle name="Normal 10 8 2 7" xfId="24246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2 2" xfId="35769"/>
    <cellStyle name="Normal 10 9 2 2 2 3" xfId="22038"/>
    <cellStyle name="Normal 10 9 2 2 2 3 2" xfId="41921"/>
    <cellStyle name="Normal 10 9 2 2 2 4" xfId="29616"/>
    <cellStyle name="Normal 10 9 2 2 3" xfId="12820"/>
    <cellStyle name="Normal 10 9 2 2 3 2" xfId="32703"/>
    <cellStyle name="Normal 10 9 2 2 4" xfId="18972"/>
    <cellStyle name="Normal 10 9 2 2 4 2" xfId="38855"/>
    <cellStyle name="Normal 10 9 2 2 5" xfId="26550"/>
    <cellStyle name="Normal 10 9 2 3" xfId="8158"/>
    <cellStyle name="Normal 10 9 2 3 2" xfId="14352"/>
    <cellStyle name="Normal 10 9 2 3 2 2" xfId="34235"/>
    <cellStyle name="Normal 10 9 2 3 3" xfId="20504"/>
    <cellStyle name="Normal 10 9 2 3 3 2" xfId="40387"/>
    <cellStyle name="Normal 10 9 2 3 4" xfId="28082"/>
    <cellStyle name="Normal 10 9 2 4" xfId="11286"/>
    <cellStyle name="Normal 10 9 2 4 2" xfId="31169"/>
    <cellStyle name="Normal 10 9 2 5" xfId="17438"/>
    <cellStyle name="Normal 10 9 2 5 2" xfId="37321"/>
    <cellStyle name="Normal 10 9 2 6" xfId="25016"/>
    <cellStyle name="Normal 10 9 3" xfId="5824"/>
    <cellStyle name="Normal 10 9 3 2" xfId="8924"/>
    <cellStyle name="Normal 10 9 3 2 2" xfId="15117"/>
    <cellStyle name="Normal 10 9 3 2 2 2" xfId="35000"/>
    <cellStyle name="Normal 10 9 3 2 3" xfId="21269"/>
    <cellStyle name="Normal 10 9 3 2 3 2" xfId="41152"/>
    <cellStyle name="Normal 10 9 3 2 4" xfId="28847"/>
    <cellStyle name="Normal 10 9 3 3" xfId="12051"/>
    <cellStyle name="Normal 10 9 3 3 2" xfId="31934"/>
    <cellStyle name="Normal 10 9 3 4" xfId="18203"/>
    <cellStyle name="Normal 10 9 3 4 2" xfId="38086"/>
    <cellStyle name="Normal 10 9 3 5" xfId="25781"/>
    <cellStyle name="Normal 10 9 4" xfId="7389"/>
    <cellStyle name="Normal 10 9 4 2" xfId="13583"/>
    <cellStyle name="Normal 10 9 4 2 2" xfId="33466"/>
    <cellStyle name="Normal 10 9 4 3" xfId="19735"/>
    <cellStyle name="Normal 10 9 4 3 2" xfId="39618"/>
    <cellStyle name="Normal 10 9 4 4" xfId="27313"/>
    <cellStyle name="Normal 10 9 5" xfId="10517"/>
    <cellStyle name="Normal 10 9 5 2" xfId="30400"/>
    <cellStyle name="Normal 10 9 6" xfId="16669"/>
    <cellStyle name="Normal 10 9 6 2" xfId="36552"/>
    <cellStyle name="Normal 10 9 7" xfId="24247"/>
    <cellStyle name="Normal 11" xfId="20"/>
    <cellStyle name="Normal 11 10" xfId="1285"/>
    <cellStyle name="Normal 11 10 2" xfId="24012"/>
    <cellStyle name="Normal 11 11" xfId="449"/>
    <cellStyle name="Normal 11 12" xfId="23213"/>
    <cellStyle name="Normal 11 13" xfId="23331"/>
    <cellStyle name="Normal 11 2" xfId="92"/>
    <cellStyle name="Normal 11 2 10" xfId="23214"/>
    <cellStyle name="Normal 11 2 11" xfId="2334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2 2" xfId="36286"/>
    <cellStyle name="Normal 11 2 2 2 2 2 3" xfId="22555"/>
    <cellStyle name="Normal 11 2 2 2 2 2 3 2" xfId="42438"/>
    <cellStyle name="Normal 11 2 2 2 2 2 4" xfId="30133"/>
    <cellStyle name="Normal 11 2 2 2 2 3" xfId="13337"/>
    <cellStyle name="Normal 11 2 2 2 2 3 2" xfId="33220"/>
    <cellStyle name="Normal 11 2 2 2 2 4" xfId="19489"/>
    <cellStyle name="Normal 11 2 2 2 2 4 2" xfId="39372"/>
    <cellStyle name="Normal 11 2 2 2 2 5" xfId="27067"/>
    <cellStyle name="Normal 11 2 2 2 3" xfId="8675"/>
    <cellStyle name="Normal 11 2 2 2 3 2" xfId="14869"/>
    <cellStyle name="Normal 11 2 2 2 3 2 2" xfId="34752"/>
    <cellStyle name="Normal 11 2 2 2 3 3" xfId="21021"/>
    <cellStyle name="Normal 11 2 2 2 3 3 2" xfId="40904"/>
    <cellStyle name="Normal 11 2 2 2 3 4" xfId="28599"/>
    <cellStyle name="Normal 11 2 2 2 4" xfId="11803"/>
    <cellStyle name="Normal 11 2 2 2 4 2" xfId="31686"/>
    <cellStyle name="Normal 11 2 2 2 5" xfId="17955"/>
    <cellStyle name="Normal 11 2 2 2 5 2" xfId="37838"/>
    <cellStyle name="Normal 11 2 2 2 6" xfId="25533"/>
    <cellStyle name="Normal 11 2 2 3" xfId="6355"/>
    <cellStyle name="Normal 11 2 2 3 2" xfId="9441"/>
    <cellStyle name="Normal 11 2 2 3 2 2" xfId="15634"/>
    <cellStyle name="Normal 11 2 2 3 2 2 2" xfId="35517"/>
    <cellStyle name="Normal 11 2 2 3 2 3" xfId="21786"/>
    <cellStyle name="Normal 11 2 2 3 2 3 2" xfId="41669"/>
    <cellStyle name="Normal 11 2 2 3 2 4" xfId="29364"/>
    <cellStyle name="Normal 11 2 2 3 3" xfId="12568"/>
    <cellStyle name="Normal 11 2 2 3 3 2" xfId="32451"/>
    <cellStyle name="Normal 11 2 2 3 4" xfId="18720"/>
    <cellStyle name="Normal 11 2 2 3 4 2" xfId="38603"/>
    <cellStyle name="Normal 11 2 2 3 5" xfId="26298"/>
    <cellStyle name="Normal 11 2 2 4" xfId="7906"/>
    <cellStyle name="Normal 11 2 2 4 2" xfId="14100"/>
    <cellStyle name="Normal 11 2 2 4 2 2" xfId="33983"/>
    <cellStyle name="Normal 11 2 2 4 3" xfId="20252"/>
    <cellStyle name="Normal 11 2 2 4 3 2" xfId="40135"/>
    <cellStyle name="Normal 11 2 2 4 4" xfId="27830"/>
    <cellStyle name="Normal 11 2 2 5" xfId="11034"/>
    <cellStyle name="Normal 11 2 2 5 2" xfId="30917"/>
    <cellStyle name="Normal 11 2 2 6" xfId="17186"/>
    <cellStyle name="Normal 11 2 2 6 2" xfId="37069"/>
    <cellStyle name="Normal 11 2 2 7" xfId="4723"/>
    <cellStyle name="Normal 11 2 2 7 2" xfId="24764"/>
    <cellStyle name="Normal 11 2 2 8" xfId="23382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2 2" xfId="35545"/>
    <cellStyle name="Normal 11 2 4 2 2 3" xfId="21814"/>
    <cellStyle name="Normal 11 2 4 2 2 3 2" xfId="41697"/>
    <cellStyle name="Normal 11 2 4 2 2 4" xfId="29392"/>
    <cellStyle name="Normal 11 2 4 2 3" xfId="12596"/>
    <cellStyle name="Normal 11 2 4 2 3 2" xfId="32479"/>
    <cellStyle name="Normal 11 2 4 2 4" xfId="18748"/>
    <cellStyle name="Normal 11 2 4 2 4 2" xfId="38631"/>
    <cellStyle name="Normal 11 2 4 2 5" xfId="26326"/>
    <cellStyle name="Normal 11 2 4 3" xfId="7934"/>
    <cellStyle name="Normal 11 2 4 3 2" xfId="14128"/>
    <cellStyle name="Normal 11 2 4 3 2 2" xfId="34011"/>
    <cellStyle name="Normal 11 2 4 3 3" xfId="20280"/>
    <cellStyle name="Normal 11 2 4 3 3 2" xfId="40163"/>
    <cellStyle name="Normal 11 2 4 3 4" xfId="27858"/>
    <cellStyle name="Normal 11 2 4 4" xfId="11062"/>
    <cellStyle name="Normal 11 2 4 4 2" xfId="30945"/>
    <cellStyle name="Normal 11 2 4 5" xfId="17214"/>
    <cellStyle name="Normal 11 2 4 5 2" xfId="37097"/>
    <cellStyle name="Normal 11 2 4 6" xfId="24792"/>
    <cellStyle name="Normal 11 2 5" xfId="5597"/>
    <cellStyle name="Normal 11 2 5 2" xfId="8700"/>
    <cellStyle name="Normal 11 2 5 2 2" xfId="14893"/>
    <cellStyle name="Normal 11 2 5 2 2 2" xfId="34776"/>
    <cellStyle name="Normal 11 2 5 2 3" xfId="21045"/>
    <cellStyle name="Normal 11 2 5 2 3 2" xfId="40928"/>
    <cellStyle name="Normal 11 2 5 2 4" xfId="28623"/>
    <cellStyle name="Normal 11 2 5 3" xfId="11827"/>
    <cellStyle name="Normal 11 2 5 3 2" xfId="31710"/>
    <cellStyle name="Normal 11 2 5 4" xfId="17979"/>
    <cellStyle name="Normal 11 2 5 4 2" xfId="37862"/>
    <cellStyle name="Normal 11 2 5 5" xfId="25557"/>
    <cellStyle name="Normal 11 2 6" xfId="7165"/>
    <cellStyle name="Normal 11 2 6 2" xfId="13359"/>
    <cellStyle name="Normal 11 2 6 2 2" xfId="33242"/>
    <cellStyle name="Normal 11 2 6 3" xfId="19511"/>
    <cellStyle name="Normal 11 2 6 3 2" xfId="39394"/>
    <cellStyle name="Normal 11 2 6 4" xfId="27089"/>
    <cellStyle name="Normal 11 2 7" xfId="10293"/>
    <cellStyle name="Normal 11 2 7 2" xfId="30176"/>
    <cellStyle name="Normal 11 2 8" xfId="16445"/>
    <cellStyle name="Normal 11 2 8 2" xfId="36328"/>
    <cellStyle name="Normal 11 2 9" xfId="1311"/>
    <cellStyle name="Normal 11 2 9 2" xfId="24023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2 2" xfId="35771"/>
    <cellStyle name="Normal 11 3 2 2 2 3" xfId="22040"/>
    <cellStyle name="Normal 11 3 2 2 2 3 2" xfId="41923"/>
    <cellStyle name="Normal 11 3 2 2 2 4" xfId="29618"/>
    <cellStyle name="Normal 11 3 2 2 3" xfId="12822"/>
    <cellStyle name="Normal 11 3 2 2 3 2" xfId="32705"/>
    <cellStyle name="Normal 11 3 2 2 4" xfId="18974"/>
    <cellStyle name="Normal 11 3 2 2 4 2" xfId="38857"/>
    <cellStyle name="Normal 11 3 2 2 5" xfId="26552"/>
    <cellStyle name="Normal 11 3 2 3" xfId="8160"/>
    <cellStyle name="Normal 11 3 2 3 2" xfId="14354"/>
    <cellStyle name="Normal 11 3 2 3 2 2" xfId="34237"/>
    <cellStyle name="Normal 11 3 2 3 3" xfId="20506"/>
    <cellStyle name="Normal 11 3 2 3 3 2" xfId="40389"/>
    <cellStyle name="Normal 11 3 2 3 4" xfId="28084"/>
    <cellStyle name="Normal 11 3 2 4" xfId="11288"/>
    <cellStyle name="Normal 11 3 2 4 2" xfId="31171"/>
    <cellStyle name="Normal 11 3 2 5" xfId="17440"/>
    <cellStyle name="Normal 11 3 2 5 2" xfId="37323"/>
    <cellStyle name="Normal 11 3 2 6" xfId="25018"/>
    <cellStyle name="Normal 11 3 3" xfId="5826"/>
    <cellStyle name="Normal 11 3 3 2" xfId="8926"/>
    <cellStyle name="Normal 11 3 3 2 2" xfId="15119"/>
    <cellStyle name="Normal 11 3 3 2 2 2" xfId="35002"/>
    <cellStyle name="Normal 11 3 3 2 3" xfId="21271"/>
    <cellStyle name="Normal 11 3 3 2 3 2" xfId="41154"/>
    <cellStyle name="Normal 11 3 3 2 4" xfId="28849"/>
    <cellStyle name="Normal 11 3 3 3" xfId="12053"/>
    <cellStyle name="Normal 11 3 3 3 2" xfId="31936"/>
    <cellStyle name="Normal 11 3 3 4" xfId="18205"/>
    <cellStyle name="Normal 11 3 3 4 2" xfId="38088"/>
    <cellStyle name="Normal 11 3 3 5" xfId="25783"/>
    <cellStyle name="Normal 11 3 4" xfId="7391"/>
    <cellStyle name="Normal 11 3 4 2" xfId="13585"/>
    <cellStyle name="Normal 11 3 4 2 2" xfId="33468"/>
    <cellStyle name="Normal 11 3 4 3" xfId="19737"/>
    <cellStyle name="Normal 11 3 4 3 2" xfId="39620"/>
    <cellStyle name="Normal 11 3 4 4" xfId="27315"/>
    <cellStyle name="Normal 11 3 5" xfId="10519"/>
    <cellStyle name="Normal 11 3 5 2" xfId="30402"/>
    <cellStyle name="Normal 11 3 6" xfId="16671"/>
    <cellStyle name="Normal 11 3 6 2" xfId="36554"/>
    <cellStyle name="Normal 11 3 7" xfId="3454"/>
    <cellStyle name="Normal 11 3 7 2" xfId="24249"/>
    <cellStyle name="Normal 11 3 8" xfId="23215"/>
    <cellStyle name="Normal 11 3 9" xfId="23369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2 2" xfId="35770"/>
    <cellStyle name="Normal 11 4 2 2 2 3" xfId="22039"/>
    <cellStyle name="Normal 11 4 2 2 2 3 2" xfId="41922"/>
    <cellStyle name="Normal 11 4 2 2 2 4" xfId="29617"/>
    <cellStyle name="Normal 11 4 2 2 3" xfId="12821"/>
    <cellStyle name="Normal 11 4 2 2 3 2" xfId="32704"/>
    <cellStyle name="Normal 11 4 2 2 4" xfId="18973"/>
    <cellStyle name="Normal 11 4 2 2 4 2" xfId="38856"/>
    <cellStyle name="Normal 11 4 2 2 5" xfId="26551"/>
    <cellStyle name="Normal 11 4 2 3" xfId="8159"/>
    <cellStyle name="Normal 11 4 2 3 2" xfId="14353"/>
    <cellStyle name="Normal 11 4 2 3 2 2" xfId="34236"/>
    <cellStyle name="Normal 11 4 2 3 3" xfId="20505"/>
    <cellStyle name="Normal 11 4 2 3 3 2" xfId="40388"/>
    <cellStyle name="Normal 11 4 2 3 4" xfId="28083"/>
    <cellStyle name="Normal 11 4 2 4" xfId="11287"/>
    <cellStyle name="Normal 11 4 2 4 2" xfId="31170"/>
    <cellStyle name="Normal 11 4 2 5" xfId="17439"/>
    <cellStyle name="Normal 11 4 2 5 2" xfId="37322"/>
    <cellStyle name="Normal 11 4 2 6" xfId="25017"/>
    <cellStyle name="Normal 11 4 3" xfId="5825"/>
    <cellStyle name="Normal 11 4 3 2" xfId="8925"/>
    <cellStyle name="Normal 11 4 3 2 2" xfId="15118"/>
    <cellStyle name="Normal 11 4 3 2 2 2" xfId="35001"/>
    <cellStyle name="Normal 11 4 3 2 3" xfId="21270"/>
    <cellStyle name="Normal 11 4 3 2 3 2" xfId="41153"/>
    <cellStyle name="Normal 11 4 3 2 4" xfId="28848"/>
    <cellStyle name="Normal 11 4 3 3" xfId="12052"/>
    <cellStyle name="Normal 11 4 3 3 2" xfId="31935"/>
    <cellStyle name="Normal 11 4 3 4" xfId="18204"/>
    <cellStyle name="Normal 11 4 3 4 2" xfId="38087"/>
    <cellStyle name="Normal 11 4 3 5" xfId="25782"/>
    <cellStyle name="Normal 11 4 4" xfId="7390"/>
    <cellStyle name="Normal 11 4 4 2" xfId="13584"/>
    <cellStyle name="Normal 11 4 4 2 2" xfId="33467"/>
    <cellStyle name="Normal 11 4 4 3" xfId="19736"/>
    <cellStyle name="Normal 11 4 4 3 2" xfId="39619"/>
    <cellStyle name="Normal 11 4 4 4" xfId="27314"/>
    <cellStyle name="Normal 11 4 5" xfId="10518"/>
    <cellStyle name="Normal 11 4 5 2" xfId="30401"/>
    <cellStyle name="Normal 11 4 6" xfId="16670"/>
    <cellStyle name="Normal 11 4 6 2" xfId="36553"/>
    <cellStyle name="Normal 11 4 7" xfId="3452"/>
    <cellStyle name="Normal 11 4 7 2" xfId="24248"/>
    <cellStyle name="Normal 11 4 8" xfId="23216"/>
    <cellStyle name="Normal 11 4 9" xfId="23357"/>
    <cellStyle name="Normal 11 5" xfId="4747"/>
    <cellStyle name="Normal 11 5 2" xfId="6372"/>
    <cellStyle name="Normal 11 5 2 2" xfId="9458"/>
    <cellStyle name="Normal 11 5 2 2 2" xfId="15651"/>
    <cellStyle name="Normal 11 5 2 2 2 2" xfId="35534"/>
    <cellStyle name="Normal 11 5 2 2 3" xfId="21803"/>
    <cellStyle name="Normal 11 5 2 2 3 2" xfId="41686"/>
    <cellStyle name="Normal 11 5 2 2 4" xfId="29381"/>
    <cellStyle name="Normal 11 5 2 3" xfId="12585"/>
    <cellStyle name="Normal 11 5 2 3 2" xfId="32468"/>
    <cellStyle name="Normal 11 5 2 4" xfId="18737"/>
    <cellStyle name="Normal 11 5 2 4 2" xfId="38620"/>
    <cellStyle name="Normal 11 5 2 5" xfId="26315"/>
    <cellStyle name="Normal 11 5 3" xfId="7923"/>
    <cellStyle name="Normal 11 5 3 2" xfId="14117"/>
    <cellStyle name="Normal 11 5 3 2 2" xfId="34000"/>
    <cellStyle name="Normal 11 5 3 3" xfId="20269"/>
    <cellStyle name="Normal 11 5 3 3 2" xfId="40152"/>
    <cellStyle name="Normal 11 5 3 4" xfId="27847"/>
    <cellStyle name="Normal 11 5 4" xfId="11051"/>
    <cellStyle name="Normal 11 5 4 2" xfId="30934"/>
    <cellStyle name="Normal 11 5 5" xfId="17203"/>
    <cellStyle name="Normal 11 5 5 2" xfId="37086"/>
    <cellStyle name="Normal 11 5 6" xfId="23217"/>
    <cellStyle name="Normal 11 5 7" xfId="24781"/>
    <cellStyle name="Normal 11 6" xfId="5585"/>
    <cellStyle name="Normal 11 6 2" xfId="8689"/>
    <cellStyle name="Normal 11 6 2 2" xfId="14882"/>
    <cellStyle name="Normal 11 6 2 2 2" xfId="34765"/>
    <cellStyle name="Normal 11 6 2 3" xfId="21034"/>
    <cellStyle name="Normal 11 6 2 3 2" xfId="40917"/>
    <cellStyle name="Normal 11 6 2 4" xfId="28612"/>
    <cellStyle name="Normal 11 6 3" xfId="11816"/>
    <cellStyle name="Normal 11 6 3 2" xfId="31699"/>
    <cellStyle name="Normal 11 6 4" xfId="17968"/>
    <cellStyle name="Normal 11 6 4 2" xfId="37851"/>
    <cellStyle name="Normal 11 6 5" xfId="25546"/>
    <cellStyle name="Normal 11 7" xfId="7154"/>
    <cellStyle name="Normal 11 7 2" xfId="13348"/>
    <cellStyle name="Normal 11 7 2 2" xfId="33231"/>
    <cellStyle name="Normal 11 7 3" xfId="19500"/>
    <cellStyle name="Normal 11 7 3 2" xfId="39383"/>
    <cellStyle name="Normal 11 7 4" xfId="27078"/>
    <cellStyle name="Normal 11 8" xfId="10282"/>
    <cellStyle name="Normal 11 8 2" xfId="30165"/>
    <cellStyle name="Normal 11 9" xfId="16434"/>
    <cellStyle name="Normal 11 9 2" xfId="36317"/>
    <cellStyle name="Normal 12" xfId="51"/>
    <cellStyle name="Normal 12 10" xfId="7392"/>
    <cellStyle name="Normal 12 10 2" xfId="13586"/>
    <cellStyle name="Normal 12 10 2 2" xfId="33469"/>
    <cellStyle name="Normal 12 10 3" xfId="19738"/>
    <cellStyle name="Normal 12 10 3 2" xfId="39621"/>
    <cellStyle name="Normal 12 10 4" xfId="27316"/>
    <cellStyle name="Normal 12 11" xfId="10264"/>
    <cellStyle name="Normal 12 11 2" xfId="16426"/>
    <cellStyle name="Normal 12 11 2 2" xfId="36309"/>
    <cellStyle name="Normal 12 11 3" xfId="22578"/>
    <cellStyle name="Normal 12 11 3 2" xfId="42461"/>
    <cellStyle name="Normal 12 11 4" xfId="30156"/>
    <cellStyle name="Normal 12 12" xfId="10520"/>
    <cellStyle name="Normal 12 12 2" xfId="30403"/>
    <cellStyle name="Normal 12 13" xfId="16672"/>
    <cellStyle name="Normal 12 13 2" xfId="36555"/>
    <cellStyle name="Normal 12 14" xfId="3455"/>
    <cellStyle name="Normal 12 14 2" xfId="24250"/>
    <cellStyle name="Normal 12 15" xfId="276"/>
    <cellStyle name="Normal 12 16" xfId="23218"/>
    <cellStyle name="Normal 12 17" xfId="23337"/>
    <cellStyle name="Normal 12 2" xfId="102"/>
    <cellStyle name="Normal 12 2 2" xfId="145"/>
    <cellStyle name="Normal 12 2 2 10" xfId="3457"/>
    <cellStyle name="Normal 12 2 2 10 2" xfId="24251"/>
    <cellStyle name="Normal 12 2 2 11" xfId="23388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2 2" xfId="35775"/>
    <cellStyle name="Normal 12 2 2 2 2 2 2 2 3" xfId="22044"/>
    <cellStyle name="Normal 12 2 2 2 2 2 2 2 3 2" xfId="41927"/>
    <cellStyle name="Normal 12 2 2 2 2 2 2 2 4" xfId="29622"/>
    <cellStyle name="Normal 12 2 2 2 2 2 2 3" xfId="12826"/>
    <cellStyle name="Normal 12 2 2 2 2 2 2 3 2" xfId="32709"/>
    <cellStyle name="Normal 12 2 2 2 2 2 2 4" xfId="18978"/>
    <cellStyle name="Normal 12 2 2 2 2 2 2 4 2" xfId="38861"/>
    <cellStyle name="Normal 12 2 2 2 2 2 2 5" xfId="26556"/>
    <cellStyle name="Normal 12 2 2 2 2 2 3" xfId="8164"/>
    <cellStyle name="Normal 12 2 2 2 2 2 3 2" xfId="14358"/>
    <cellStyle name="Normal 12 2 2 2 2 2 3 2 2" xfId="34241"/>
    <cellStyle name="Normal 12 2 2 2 2 2 3 3" xfId="20510"/>
    <cellStyle name="Normal 12 2 2 2 2 2 3 3 2" xfId="40393"/>
    <cellStyle name="Normal 12 2 2 2 2 2 3 4" xfId="28088"/>
    <cellStyle name="Normal 12 2 2 2 2 2 4" xfId="11292"/>
    <cellStyle name="Normal 12 2 2 2 2 2 4 2" xfId="31175"/>
    <cellStyle name="Normal 12 2 2 2 2 2 5" xfId="17444"/>
    <cellStyle name="Normal 12 2 2 2 2 2 5 2" xfId="37327"/>
    <cellStyle name="Normal 12 2 2 2 2 2 6" xfId="25022"/>
    <cellStyle name="Normal 12 2 2 2 2 3" xfId="5830"/>
    <cellStyle name="Normal 12 2 2 2 2 3 2" xfId="8930"/>
    <cellStyle name="Normal 12 2 2 2 2 3 2 2" xfId="15123"/>
    <cellStyle name="Normal 12 2 2 2 2 3 2 2 2" xfId="35006"/>
    <cellStyle name="Normal 12 2 2 2 2 3 2 3" xfId="21275"/>
    <cellStyle name="Normal 12 2 2 2 2 3 2 3 2" xfId="41158"/>
    <cellStyle name="Normal 12 2 2 2 2 3 2 4" xfId="28853"/>
    <cellStyle name="Normal 12 2 2 2 2 3 3" xfId="12057"/>
    <cellStyle name="Normal 12 2 2 2 2 3 3 2" xfId="31940"/>
    <cellStyle name="Normal 12 2 2 2 2 3 4" xfId="18209"/>
    <cellStyle name="Normal 12 2 2 2 2 3 4 2" xfId="38092"/>
    <cellStyle name="Normal 12 2 2 2 2 3 5" xfId="25787"/>
    <cellStyle name="Normal 12 2 2 2 2 4" xfId="7395"/>
    <cellStyle name="Normal 12 2 2 2 2 4 2" xfId="13589"/>
    <cellStyle name="Normal 12 2 2 2 2 4 2 2" xfId="33472"/>
    <cellStyle name="Normal 12 2 2 2 2 4 3" xfId="19741"/>
    <cellStyle name="Normal 12 2 2 2 2 4 3 2" xfId="39624"/>
    <cellStyle name="Normal 12 2 2 2 2 4 4" xfId="27319"/>
    <cellStyle name="Normal 12 2 2 2 2 5" xfId="10523"/>
    <cellStyle name="Normal 12 2 2 2 2 5 2" xfId="30406"/>
    <cellStyle name="Normal 12 2 2 2 2 6" xfId="16675"/>
    <cellStyle name="Normal 12 2 2 2 2 6 2" xfId="36558"/>
    <cellStyle name="Normal 12 2 2 2 2 7" xfId="24253"/>
    <cellStyle name="Normal 12 2 2 2 3" xfId="4987"/>
    <cellStyle name="Normal 12 2 2 2 3 2" xfId="6612"/>
    <cellStyle name="Normal 12 2 2 2 3 2 2" xfId="9698"/>
    <cellStyle name="Normal 12 2 2 2 3 2 2 2" xfId="15891"/>
    <cellStyle name="Normal 12 2 2 2 3 2 2 2 2" xfId="35774"/>
    <cellStyle name="Normal 12 2 2 2 3 2 2 3" xfId="22043"/>
    <cellStyle name="Normal 12 2 2 2 3 2 2 3 2" xfId="41926"/>
    <cellStyle name="Normal 12 2 2 2 3 2 2 4" xfId="29621"/>
    <cellStyle name="Normal 12 2 2 2 3 2 3" xfId="12825"/>
    <cellStyle name="Normal 12 2 2 2 3 2 3 2" xfId="32708"/>
    <cellStyle name="Normal 12 2 2 2 3 2 4" xfId="18977"/>
    <cellStyle name="Normal 12 2 2 2 3 2 4 2" xfId="38860"/>
    <cellStyle name="Normal 12 2 2 2 3 2 5" xfId="26555"/>
    <cellStyle name="Normal 12 2 2 2 3 3" xfId="8163"/>
    <cellStyle name="Normal 12 2 2 2 3 3 2" xfId="14357"/>
    <cellStyle name="Normal 12 2 2 2 3 3 2 2" xfId="34240"/>
    <cellStyle name="Normal 12 2 2 2 3 3 3" xfId="20509"/>
    <cellStyle name="Normal 12 2 2 2 3 3 3 2" xfId="40392"/>
    <cellStyle name="Normal 12 2 2 2 3 3 4" xfId="28087"/>
    <cellStyle name="Normal 12 2 2 2 3 4" xfId="11291"/>
    <cellStyle name="Normal 12 2 2 2 3 4 2" xfId="31174"/>
    <cellStyle name="Normal 12 2 2 2 3 5" xfId="17443"/>
    <cellStyle name="Normal 12 2 2 2 3 5 2" xfId="37326"/>
    <cellStyle name="Normal 12 2 2 2 3 6" xfId="25021"/>
    <cellStyle name="Normal 12 2 2 2 4" xfId="5829"/>
    <cellStyle name="Normal 12 2 2 2 4 2" xfId="8929"/>
    <cellStyle name="Normal 12 2 2 2 4 2 2" xfId="15122"/>
    <cellStyle name="Normal 12 2 2 2 4 2 2 2" xfId="35005"/>
    <cellStyle name="Normal 12 2 2 2 4 2 3" xfId="21274"/>
    <cellStyle name="Normal 12 2 2 2 4 2 3 2" xfId="41157"/>
    <cellStyle name="Normal 12 2 2 2 4 2 4" xfId="28852"/>
    <cellStyle name="Normal 12 2 2 2 4 3" xfId="12056"/>
    <cellStyle name="Normal 12 2 2 2 4 3 2" xfId="31939"/>
    <cellStyle name="Normal 12 2 2 2 4 4" xfId="18208"/>
    <cellStyle name="Normal 12 2 2 2 4 4 2" xfId="38091"/>
    <cellStyle name="Normal 12 2 2 2 4 5" xfId="25786"/>
    <cellStyle name="Normal 12 2 2 2 5" xfId="7394"/>
    <cellStyle name="Normal 12 2 2 2 5 2" xfId="13588"/>
    <cellStyle name="Normal 12 2 2 2 5 2 2" xfId="33471"/>
    <cellStyle name="Normal 12 2 2 2 5 3" xfId="19740"/>
    <cellStyle name="Normal 12 2 2 2 5 3 2" xfId="39623"/>
    <cellStyle name="Normal 12 2 2 2 5 4" xfId="27318"/>
    <cellStyle name="Normal 12 2 2 2 6" xfId="10522"/>
    <cellStyle name="Normal 12 2 2 2 6 2" xfId="30405"/>
    <cellStyle name="Normal 12 2 2 2 7" xfId="16674"/>
    <cellStyle name="Normal 12 2 2 2 7 2" xfId="36557"/>
    <cellStyle name="Normal 12 2 2 2 8" xfId="24252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2 2" xfId="35777"/>
    <cellStyle name="Normal 12 2 2 3 2 2 2 2 3" xfId="22046"/>
    <cellStyle name="Normal 12 2 2 3 2 2 2 2 3 2" xfId="41929"/>
    <cellStyle name="Normal 12 2 2 3 2 2 2 2 4" xfId="29624"/>
    <cellStyle name="Normal 12 2 2 3 2 2 2 3" xfId="12828"/>
    <cellStyle name="Normal 12 2 2 3 2 2 2 3 2" xfId="32711"/>
    <cellStyle name="Normal 12 2 2 3 2 2 2 4" xfId="18980"/>
    <cellStyle name="Normal 12 2 2 3 2 2 2 4 2" xfId="38863"/>
    <cellStyle name="Normal 12 2 2 3 2 2 2 5" xfId="26558"/>
    <cellStyle name="Normal 12 2 2 3 2 2 3" xfId="8166"/>
    <cellStyle name="Normal 12 2 2 3 2 2 3 2" xfId="14360"/>
    <cellStyle name="Normal 12 2 2 3 2 2 3 2 2" xfId="34243"/>
    <cellStyle name="Normal 12 2 2 3 2 2 3 3" xfId="20512"/>
    <cellStyle name="Normal 12 2 2 3 2 2 3 3 2" xfId="40395"/>
    <cellStyle name="Normal 12 2 2 3 2 2 3 4" xfId="28090"/>
    <cellStyle name="Normal 12 2 2 3 2 2 4" xfId="11294"/>
    <cellStyle name="Normal 12 2 2 3 2 2 4 2" xfId="31177"/>
    <cellStyle name="Normal 12 2 2 3 2 2 5" xfId="17446"/>
    <cellStyle name="Normal 12 2 2 3 2 2 5 2" xfId="37329"/>
    <cellStyle name="Normal 12 2 2 3 2 2 6" xfId="25024"/>
    <cellStyle name="Normal 12 2 2 3 2 3" xfId="5832"/>
    <cellStyle name="Normal 12 2 2 3 2 3 2" xfId="8932"/>
    <cellStyle name="Normal 12 2 2 3 2 3 2 2" xfId="15125"/>
    <cellStyle name="Normal 12 2 2 3 2 3 2 2 2" xfId="35008"/>
    <cellStyle name="Normal 12 2 2 3 2 3 2 3" xfId="21277"/>
    <cellStyle name="Normal 12 2 2 3 2 3 2 3 2" xfId="41160"/>
    <cellStyle name="Normal 12 2 2 3 2 3 2 4" xfId="28855"/>
    <cellStyle name="Normal 12 2 2 3 2 3 3" xfId="12059"/>
    <cellStyle name="Normal 12 2 2 3 2 3 3 2" xfId="31942"/>
    <cellStyle name="Normal 12 2 2 3 2 3 4" xfId="18211"/>
    <cellStyle name="Normal 12 2 2 3 2 3 4 2" xfId="38094"/>
    <cellStyle name="Normal 12 2 2 3 2 3 5" xfId="25789"/>
    <cellStyle name="Normal 12 2 2 3 2 4" xfId="7397"/>
    <cellStyle name="Normal 12 2 2 3 2 4 2" xfId="13591"/>
    <cellStyle name="Normal 12 2 2 3 2 4 2 2" xfId="33474"/>
    <cellStyle name="Normal 12 2 2 3 2 4 3" xfId="19743"/>
    <cellStyle name="Normal 12 2 2 3 2 4 3 2" xfId="39626"/>
    <cellStyle name="Normal 12 2 2 3 2 4 4" xfId="27321"/>
    <cellStyle name="Normal 12 2 2 3 2 5" xfId="10525"/>
    <cellStyle name="Normal 12 2 2 3 2 5 2" xfId="30408"/>
    <cellStyle name="Normal 12 2 2 3 2 6" xfId="16677"/>
    <cellStyle name="Normal 12 2 2 3 2 6 2" xfId="36560"/>
    <cellStyle name="Normal 12 2 2 3 2 7" xfId="24255"/>
    <cellStyle name="Normal 12 2 2 3 3" xfId="4989"/>
    <cellStyle name="Normal 12 2 2 3 3 2" xfId="6614"/>
    <cellStyle name="Normal 12 2 2 3 3 2 2" xfId="9700"/>
    <cellStyle name="Normal 12 2 2 3 3 2 2 2" xfId="15893"/>
    <cellStyle name="Normal 12 2 2 3 3 2 2 2 2" xfId="35776"/>
    <cellStyle name="Normal 12 2 2 3 3 2 2 3" xfId="22045"/>
    <cellStyle name="Normal 12 2 2 3 3 2 2 3 2" xfId="41928"/>
    <cellStyle name="Normal 12 2 2 3 3 2 2 4" xfId="29623"/>
    <cellStyle name="Normal 12 2 2 3 3 2 3" xfId="12827"/>
    <cellStyle name="Normal 12 2 2 3 3 2 3 2" xfId="32710"/>
    <cellStyle name="Normal 12 2 2 3 3 2 4" xfId="18979"/>
    <cellStyle name="Normal 12 2 2 3 3 2 4 2" xfId="38862"/>
    <cellStyle name="Normal 12 2 2 3 3 2 5" xfId="26557"/>
    <cellStyle name="Normal 12 2 2 3 3 3" xfId="8165"/>
    <cellStyle name="Normal 12 2 2 3 3 3 2" xfId="14359"/>
    <cellStyle name="Normal 12 2 2 3 3 3 2 2" xfId="34242"/>
    <cellStyle name="Normal 12 2 2 3 3 3 3" xfId="20511"/>
    <cellStyle name="Normal 12 2 2 3 3 3 3 2" xfId="40394"/>
    <cellStyle name="Normal 12 2 2 3 3 3 4" xfId="28089"/>
    <cellStyle name="Normal 12 2 2 3 3 4" xfId="11293"/>
    <cellStyle name="Normal 12 2 2 3 3 4 2" xfId="31176"/>
    <cellStyle name="Normal 12 2 2 3 3 5" xfId="17445"/>
    <cellStyle name="Normal 12 2 2 3 3 5 2" xfId="37328"/>
    <cellStyle name="Normal 12 2 2 3 3 6" xfId="25023"/>
    <cellStyle name="Normal 12 2 2 3 4" xfId="5831"/>
    <cellStyle name="Normal 12 2 2 3 4 2" xfId="8931"/>
    <cellStyle name="Normal 12 2 2 3 4 2 2" xfId="15124"/>
    <cellStyle name="Normal 12 2 2 3 4 2 2 2" xfId="35007"/>
    <cellStyle name="Normal 12 2 2 3 4 2 3" xfId="21276"/>
    <cellStyle name="Normal 12 2 2 3 4 2 3 2" xfId="41159"/>
    <cellStyle name="Normal 12 2 2 3 4 2 4" xfId="28854"/>
    <cellStyle name="Normal 12 2 2 3 4 3" xfId="12058"/>
    <cellStyle name="Normal 12 2 2 3 4 3 2" xfId="31941"/>
    <cellStyle name="Normal 12 2 2 3 4 4" xfId="18210"/>
    <cellStyle name="Normal 12 2 2 3 4 4 2" xfId="38093"/>
    <cellStyle name="Normal 12 2 2 3 4 5" xfId="25788"/>
    <cellStyle name="Normal 12 2 2 3 5" xfId="7396"/>
    <cellStyle name="Normal 12 2 2 3 5 2" xfId="13590"/>
    <cellStyle name="Normal 12 2 2 3 5 2 2" xfId="33473"/>
    <cellStyle name="Normal 12 2 2 3 5 3" xfId="19742"/>
    <cellStyle name="Normal 12 2 2 3 5 3 2" xfId="39625"/>
    <cellStyle name="Normal 12 2 2 3 5 4" xfId="27320"/>
    <cellStyle name="Normal 12 2 2 3 6" xfId="10524"/>
    <cellStyle name="Normal 12 2 2 3 6 2" xfId="30407"/>
    <cellStyle name="Normal 12 2 2 3 7" xfId="16676"/>
    <cellStyle name="Normal 12 2 2 3 7 2" xfId="36559"/>
    <cellStyle name="Normal 12 2 2 3 8" xfId="24254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2 2" xfId="35778"/>
    <cellStyle name="Normal 12 2 2 4 2 2 2 3" xfId="22047"/>
    <cellStyle name="Normal 12 2 2 4 2 2 2 3 2" xfId="41930"/>
    <cellStyle name="Normal 12 2 2 4 2 2 2 4" xfId="29625"/>
    <cellStyle name="Normal 12 2 2 4 2 2 3" xfId="12829"/>
    <cellStyle name="Normal 12 2 2 4 2 2 3 2" xfId="32712"/>
    <cellStyle name="Normal 12 2 2 4 2 2 4" xfId="18981"/>
    <cellStyle name="Normal 12 2 2 4 2 2 4 2" xfId="38864"/>
    <cellStyle name="Normal 12 2 2 4 2 2 5" xfId="26559"/>
    <cellStyle name="Normal 12 2 2 4 2 3" xfId="8167"/>
    <cellStyle name="Normal 12 2 2 4 2 3 2" xfId="14361"/>
    <cellStyle name="Normal 12 2 2 4 2 3 2 2" xfId="34244"/>
    <cellStyle name="Normal 12 2 2 4 2 3 3" xfId="20513"/>
    <cellStyle name="Normal 12 2 2 4 2 3 3 2" xfId="40396"/>
    <cellStyle name="Normal 12 2 2 4 2 3 4" xfId="28091"/>
    <cellStyle name="Normal 12 2 2 4 2 4" xfId="11295"/>
    <cellStyle name="Normal 12 2 2 4 2 4 2" xfId="31178"/>
    <cellStyle name="Normal 12 2 2 4 2 5" xfId="17447"/>
    <cellStyle name="Normal 12 2 2 4 2 5 2" xfId="37330"/>
    <cellStyle name="Normal 12 2 2 4 2 6" xfId="25025"/>
    <cellStyle name="Normal 12 2 2 4 3" xfId="5833"/>
    <cellStyle name="Normal 12 2 2 4 3 2" xfId="8933"/>
    <cellStyle name="Normal 12 2 2 4 3 2 2" xfId="15126"/>
    <cellStyle name="Normal 12 2 2 4 3 2 2 2" xfId="35009"/>
    <cellStyle name="Normal 12 2 2 4 3 2 3" xfId="21278"/>
    <cellStyle name="Normal 12 2 2 4 3 2 3 2" xfId="41161"/>
    <cellStyle name="Normal 12 2 2 4 3 2 4" xfId="28856"/>
    <cellStyle name="Normal 12 2 2 4 3 3" xfId="12060"/>
    <cellStyle name="Normal 12 2 2 4 3 3 2" xfId="31943"/>
    <cellStyle name="Normal 12 2 2 4 3 4" xfId="18212"/>
    <cellStyle name="Normal 12 2 2 4 3 4 2" xfId="38095"/>
    <cellStyle name="Normal 12 2 2 4 3 5" xfId="25790"/>
    <cellStyle name="Normal 12 2 2 4 4" xfId="7398"/>
    <cellStyle name="Normal 12 2 2 4 4 2" xfId="13592"/>
    <cellStyle name="Normal 12 2 2 4 4 2 2" xfId="33475"/>
    <cellStyle name="Normal 12 2 2 4 4 3" xfId="19744"/>
    <cellStyle name="Normal 12 2 2 4 4 3 2" xfId="39627"/>
    <cellStyle name="Normal 12 2 2 4 4 4" xfId="27322"/>
    <cellStyle name="Normal 12 2 2 4 5" xfId="10526"/>
    <cellStyle name="Normal 12 2 2 4 5 2" xfId="30409"/>
    <cellStyle name="Normal 12 2 2 4 6" xfId="16678"/>
    <cellStyle name="Normal 12 2 2 4 6 2" xfId="36561"/>
    <cellStyle name="Normal 12 2 2 4 7" xfId="24256"/>
    <cellStyle name="Normal 12 2 2 5" xfId="4986"/>
    <cellStyle name="Normal 12 2 2 5 2" xfId="6611"/>
    <cellStyle name="Normal 12 2 2 5 2 2" xfId="9697"/>
    <cellStyle name="Normal 12 2 2 5 2 2 2" xfId="15890"/>
    <cellStyle name="Normal 12 2 2 5 2 2 2 2" xfId="35773"/>
    <cellStyle name="Normal 12 2 2 5 2 2 3" xfId="22042"/>
    <cellStyle name="Normal 12 2 2 5 2 2 3 2" xfId="41925"/>
    <cellStyle name="Normal 12 2 2 5 2 2 4" xfId="29620"/>
    <cellStyle name="Normal 12 2 2 5 2 3" xfId="12824"/>
    <cellStyle name="Normal 12 2 2 5 2 3 2" xfId="32707"/>
    <cellStyle name="Normal 12 2 2 5 2 4" xfId="18976"/>
    <cellStyle name="Normal 12 2 2 5 2 4 2" xfId="38859"/>
    <cellStyle name="Normal 12 2 2 5 2 5" xfId="26554"/>
    <cellStyle name="Normal 12 2 2 5 3" xfId="8162"/>
    <cellStyle name="Normal 12 2 2 5 3 2" xfId="14356"/>
    <cellStyle name="Normal 12 2 2 5 3 2 2" xfId="34239"/>
    <cellStyle name="Normal 12 2 2 5 3 3" xfId="20508"/>
    <cellStyle name="Normal 12 2 2 5 3 3 2" xfId="40391"/>
    <cellStyle name="Normal 12 2 2 5 3 4" xfId="28086"/>
    <cellStyle name="Normal 12 2 2 5 4" xfId="11290"/>
    <cellStyle name="Normal 12 2 2 5 4 2" xfId="31173"/>
    <cellStyle name="Normal 12 2 2 5 5" xfId="17442"/>
    <cellStyle name="Normal 12 2 2 5 5 2" xfId="37325"/>
    <cellStyle name="Normal 12 2 2 5 6" xfId="25020"/>
    <cellStyle name="Normal 12 2 2 6" xfId="5828"/>
    <cellStyle name="Normal 12 2 2 6 2" xfId="8928"/>
    <cellStyle name="Normal 12 2 2 6 2 2" xfId="15121"/>
    <cellStyle name="Normal 12 2 2 6 2 2 2" xfId="35004"/>
    <cellStyle name="Normal 12 2 2 6 2 3" xfId="21273"/>
    <cellStyle name="Normal 12 2 2 6 2 3 2" xfId="41156"/>
    <cellStyle name="Normal 12 2 2 6 2 4" xfId="28851"/>
    <cellStyle name="Normal 12 2 2 6 3" xfId="12055"/>
    <cellStyle name="Normal 12 2 2 6 3 2" xfId="31938"/>
    <cellStyle name="Normal 12 2 2 6 4" xfId="18207"/>
    <cellStyle name="Normal 12 2 2 6 4 2" xfId="38090"/>
    <cellStyle name="Normal 12 2 2 6 5" xfId="25785"/>
    <cellStyle name="Normal 12 2 2 7" xfId="7393"/>
    <cellStyle name="Normal 12 2 2 7 2" xfId="13587"/>
    <cellStyle name="Normal 12 2 2 7 2 2" xfId="33470"/>
    <cellStyle name="Normal 12 2 2 7 3" xfId="19739"/>
    <cellStyle name="Normal 12 2 2 7 3 2" xfId="39622"/>
    <cellStyle name="Normal 12 2 2 7 4" xfId="27317"/>
    <cellStyle name="Normal 12 2 2 8" xfId="10521"/>
    <cellStyle name="Normal 12 2 2 8 2" xfId="30404"/>
    <cellStyle name="Normal 12 2 2 9" xfId="16673"/>
    <cellStyle name="Normal 12 2 2 9 2" xfId="36556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2 2" xfId="35780"/>
    <cellStyle name="Normal 12 2 3 2 2 2 2 3" xfId="22049"/>
    <cellStyle name="Normal 12 2 3 2 2 2 2 3 2" xfId="41932"/>
    <cellStyle name="Normal 12 2 3 2 2 2 2 4" xfId="29627"/>
    <cellStyle name="Normal 12 2 3 2 2 2 3" xfId="12831"/>
    <cellStyle name="Normal 12 2 3 2 2 2 3 2" xfId="32714"/>
    <cellStyle name="Normal 12 2 3 2 2 2 4" xfId="18983"/>
    <cellStyle name="Normal 12 2 3 2 2 2 4 2" xfId="38866"/>
    <cellStyle name="Normal 12 2 3 2 2 2 5" xfId="26561"/>
    <cellStyle name="Normal 12 2 3 2 2 3" xfId="8169"/>
    <cellStyle name="Normal 12 2 3 2 2 3 2" xfId="14363"/>
    <cellStyle name="Normal 12 2 3 2 2 3 2 2" xfId="34246"/>
    <cellStyle name="Normal 12 2 3 2 2 3 3" xfId="20515"/>
    <cellStyle name="Normal 12 2 3 2 2 3 3 2" xfId="40398"/>
    <cellStyle name="Normal 12 2 3 2 2 3 4" xfId="28093"/>
    <cellStyle name="Normal 12 2 3 2 2 4" xfId="11297"/>
    <cellStyle name="Normal 12 2 3 2 2 4 2" xfId="31180"/>
    <cellStyle name="Normal 12 2 3 2 2 5" xfId="17449"/>
    <cellStyle name="Normal 12 2 3 2 2 5 2" xfId="37332"/>
    <cellStyle name="Normal 12 2 3 2 2 6" xfId="25027"/>
    <cellStyle name="Normal 12 2 3 2 3" xfId="5835"/>
    <cellStyle name="Normal 12 2 3 2 3 2" xfId="8935"/>
    <cellStyle name="Normal 12 2 3 2 3 2 2" xfId="15128"/>
    <cellStyle name="Normal 12 2 3 2 3 2 2 2" xfId="35011"/>
    <cellStyle name="Normal 12 2 3 2 3 2 3" xfId="21280"/>
    <cellStyle name="Normal 12 2 3 2 3 2 3 2" xfId="41163"/>
    <cellStyle name="Normal 12 2 3 2 3 2 4" xfId="28858"/>
    <cellStyle name="Normal 12 2 3 2 3 3" xfId="12062"/>
    <cellStyle name="Normal 12 2 3 2 3 3 2" xfId="31945"/>
    <cellStyle name="Normal 12 2 3 2 3 4" xfId="18214"/>
    <cellStyle name="Normal 12 2 3 2 3 4 2" xfId="38097"/>
    <cellStyle name="Normal 12 2 3 2 3 5" xfId="25792"/>
    <cellStyle name="Normal 12 2 3 2 4" xfId="7400"/>
    <cellStyle name="Normal 12 2 3 2 4 2" xfId="13594"/>
    <cellStyle name="Normal 12 2 3 2 4 2 2" xfId="33477"/>
    <cellStyle name="Normal 12 2 3 2 4 3" xfId="19746"/>
    <cellStyle name="Normal 12 2 3 2 4 3 2" xfId="39629"/>
    <cellStyle name="Normal 12 2 3 2 4 4" xfId="27324"/>
    <cellStyle name="Normal 12 2 3 2 5" xfId="10528"/>
    <cellStyle name="Normal 12 2 3 2 5 2" xfId="30411"/>
    <cellStyle name="Normal 12 2 3 2 6" xfId="16680"/>
    <cellStyle name="Normal 12 2 3 2 6 2" xfId="36563"/>
    <cellStyle name="Normal 12 2 3 2 7" xfId="24258"/>
    <cellStyle name="Normal 12 2 3 3" xfId="4992"/>
    <cellStyle name="Normal 12 2 3 3 2" xfId="6617"/>
    <cellStyle name="Normal 12 2 3 3 2 2" xfId="9703"/>
    <cellStyle name="Normal 12 2 3 3 2 2 2" xfId="15896"/>
    <cellStyle name="Normal 12 2 3 3 2 2 2 2" xfId="35779"/>
    <cellStyle name="Normal 12 2 3 3 2 2 3" xfId="22048"/>
    <cellStyle name="Normal 12 2 3 3 2 2 3 2" xfId="41931"/>
    <cellStyle name="Normal 12 2 3 3 2 2 4" xfId="29626"/>
    <cellStyle name="Normal 12 2 3 3 2 3" xfId="12830"/>
    <cellStyle name="Normal 12 2 3 3 2 3 2" xfId="32713"/>
    <cellStyle name="Normal 12 2 3 3 2 4" xfId="18982"/>
    <cellStyle name="Normal 12 2 3 3 2 4 2" xfId="38865"/>
    <cellStyle name="Normal 12 2 3 3 2 5" xfId="26560"/>
    <cellStyle name="Normal 12 2 3 3 3" xfId="8168"/>
    <cellStyle name="Normal 12 2 3 3 3 2" xfId="14362"/>
    <cellStyle name="Normal 12 2 3 3 3 2 2" xfId="34245"/>
    <cellStyle name="Normal 12 2 3 3 3 3" xfId="20514"/>
    <cellStyle name="Normal 12 2 3 3 3 3 2" xfId="40397"/>
    <cellStyle name="Normal 12 2 3 3 3 4" xfId="28092"/>
    <cellStyle name="Normal 12 2 3 3 4" xfId="11296"/>
    <cellStyle name="Normal 12 2 3 3 4 2" xfId="31179"/>
    <cellStyle name="Normal 12 2 3 3 5" xfId="17448"/>
    <cellStyle name="Normal 12 2 3 3 5 2" xfId="37331"/>
    <cellStyle name="Normal 12 2 3 3 6" xfId="25026"/>
    <cellStyle name="Normal 12 2 3 4" xfId="5834"/>
    <cellStyle name="Normal 12 2 3 4 2" xfId="8934"/>
    <cellStyle name="Normal 12 2 3 4 2 2" xfId="15127"/>
    <cellStyle name="Normal 12 2 3 4 2 2 2" xfId="35010"/>
    <cellStyle name="Normal 12 2 3 4 2 3" xfId="21279"/>
    <cellStyle name="Normal 12 2 3 4 2 3 2" xfId="41162"/>
    <cellStyle name="Normal 12 2 3 4 2 4" xfId="28857"/>
    <cellStyle name="Normal 12 2 3 4 3" xfId="12061"/>
    <cellStyle name="Normal 12 2 3 4 3 2" xfId="31944"/>
    <cellStyle name="Normal 12 2 3 4 4" xfId="18213"/>
    <cellStyle name="Normal 12 2 3 4 4 2" xfId="38096"/>
    <cellStyle name="Normal 12 2 3 4 5" xfId="25791"/>
    <cellStyle name="Normal 12 2 3 5" xfId="7399"/>
    <cellStyle name="Normal 12 2 3 5 2" xfId="13593"/>
    <cellStyle name="Normal 12 2 3 5 2 2" xfId="33476"/>
    <cellStyle name="Normal 12 2 3 5 3" xfId="19745"/>
    <cellStyle name="Normal 12 2 3 5 3 2" xfId="39628"/>
    <cellStyle name="Normal 12 2 3 5 4" xfId="27323"/>
    <cellStyle name="Normal 12 2 3 6" xfId="10527"/>
    <cellStyle name="Normal 12 2 3 6 2" xfId="30410"/>
    <cellStyle name="Normal 12 2 3 7" xfId="16679"/>
    <cellStyle name="Normal 12 2 3 7 2" xfId="36562"/>
    <cellStyle name="Normal 12 2 3 8" xfId="24257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2 2" xfId="35782"/>
    <cellStyle name="Normal 12 2 4 2 2 2 2 3" xfId="22051"/>
    <cellStyle name="Normal 12 2 4 2 2 2 2 3 2" xfId="41934"/>
    <cellStyle name="Normal 12 2 4 2 2 2 2 4" xfId="29629"/>
    <cellStyle name="Normal 12 2 4 2 2 2 3" xfId="12833"/>
    <cellStyle name="Normal 12 2 4 2 2 2 3 2" xfId="32716"/>
    <cellStyle name="Normal 12 2 4 2 2 2 4" xfId="18985"/>
    <cellStyle name="Normal 12 2 4 2 2 2 4 2" xfId="38868"/>
    <cellStyle name="Normal 12 2 4 2 2 2 5" xfId="26563"/>
    <cellStyle name="Normal 12 2 4 2 2 3" xfId="8171"/>
    <cellStyle name="Normal 12 2 4 2 2 3 2" xfId="14365"/>
    <cellStyle name="Normal 12 2 4 2 2 3 2 2" xfId="34248"/>
    <cellStyle name="Normal 12 2 4 2 2 3 3" xfId="20517"/>
    <cellStyle name="Normal 12 2 4 2 2 3 3 2" xfId="40400"/>
    <cellStyle name="Normal 12 2 4 2 2 3 4" xfId="28095"/>
    <cellStyle name="Normal 12 2 4 2 2 4" xfId="11299"/>
    <cellStyle name="Normal 12 2 4 2 2 4 2" xfId="31182"/>
    <cellStyle name="Normal 12 2 4 2 2 5" xfId="17451"/>
    <cellStyle name="Normal 12 2 4 2 2 5 2" xfId="37334"/>
    <cellStyle name="Normal 12 2 4 2 2 6" xfId="25029"/>
    <cellStyle name="Normal 12 2 4 2 3" xfId="5837"/>
    <cellStyle name="Normal 12 2 4 2 3 2" xfId="8937"/>
    <cellStyle name="Normal 12 2 4 2 3 2 2" xfId="15130"/>
    <cellStyle name="Normal 12 2 4 2 3 2 2 2" xfId="35013"/>
    <cellStyle name="Normal 12 2 4 2 3 2 3" xfId="21282"/>
    <cellStyle name="Normal 12 2 4 2 3 2 3 2" xfId="41165"/>
    <cellStyle name="Normal 12 2 4 2 3 2 4" xfId="28860"/>
    <cellStyle name="Normal 12 2 4 2 3 3" xfId="12064"/>
    <cellStyle name="Normal 12 2 4 2 3 3 2" xfId="31947"/>
    <cellStyle name="Normal 12 2 4 2 3 4" xfId="18216"/>
    <cellStyle name="Normal 12 2 4 2 3 4 2" xfId="38099"/>
    <cellStyle name="Normal 12 2 4 2 3 5" xfId="25794"/>
    <cellStyle name="Normal 12 2 4 2 4" xfId="7402"/>
    <cellStyle name="Normal 12 2 4 2 4 2" xfId="13596"/>
    <cellStyle name="Normal 12 2 4 2 4 2 2" xfId="33479"/>
    <cellStyle name="Normal 12 2 4 2 4 3" xfId="19748"/>
    <cellStyle name="Normal 12 2 4 2 4 3 2" xfId="39631"/>
    <cellStyle name="Normal 12 2 4 2 4 4" xfId="27326"/>
    <cellStyle name="Normal 12 2 4 2 5" xfId="10530"/>
    <cellStyle name="Normal 12 2 4 2 5 2" xfId="30413"/>
    <cellStyle name="Normal 12 2 4 2 6" xfId="16682"/>
    <cellStyle name="Normal 12 2 4 2 6 2" xfId="36565"/>
    <cellStyle name="Normal 12 2 4 2 7" xfId="24260"/>
    <cellStyle name="Normal 12 2 4 3" xfId="4994"/>
    <cellStyle name="Normal 12 2 4 3 2" xfId="6619"/>
    <cellStyle name="Normal 12 2 4 3 2 2" xfId="9705"/>
    <cellStyle name="Normal 12 2 4 3 2 2 2" xfId="15898"/>
    <cellStyle name="Normal 12 2 4 3 2 2 2 2" xfId="35781"/>
    <cellStyle name="Normal 12 2 4 3 2 2 3" xfId="22050"/>
    <cellStyle name="Normal 12 2 4 3 2 2 3 2" xfId="41933"/>
    <cellStyle name="Normal 12 2 4 3 2 2 4" xfId="29628"/>
    <cellStyle name="Normal 12 2 4 3 2 3" xfId="12832"/>
    <cellStyle name="Normal 12 2 4 3 2 3 2" xfId="32715"/>
    <cellStyle name="Normal 12 2 4 3 2 4" xfId="18984"/>
    <cellStyle name="Normal 12 2 4 3 2 4 2" xfId="38867"/>
    <cellStyle name="Normal 12 2 4 3 2 5" xfId="26562"/>
    <cellStyle name="Normal 12 2 4 3 3" xfId="8170"/>
    <cellStyle name="Normal 12 2 4 3 3 2" xfId="14364"/>
    <cellStyle name="Normal 12 2 4 3 3 2 2" xfId="34247"/>
    <cellStyle name="Normal 12 2 4 3 3 3" xfId="20516"/>
    <cellStyle name="Normal 12 2 4 3 3 3 2" xfId="40399"/>
    <cellStyle name="Normal 12 2 4 3 3 4" xfId="28094"/>
    <cellStyle name="Normal 12 2 4 3 4" xfId="11298"/>
    <cellStyle name="Normal 12 2 4 3 4 2" xfId="31181"/>
    <cellStyle name="Normal 12 2 4 3 5" xfId="17450"/>
    <cellStyle name="Normal 12 2 4 3 5 2" xfId="37333"/>
    <cellStyle name="Normal 12 2 4 3 6" xfId="25028"/>
    <cellStyle name="Normal 12 2 4 4" xfId="5836"/>
    <cellStyle name="Normal 12 2 4 4 2" xfId="8936"/>
    <cellStyle name="Normal 12 2 4 4 2 2" xfId="15129"/>
    <cellStyle name="Normal 12 2 4 4 2 2 2" xfId="35012"/>
    <cellStyle name="Normal 12 2 4 4 2 3" xfId="21281"/>
    <cellStyle name="Normal 12 2 4 4 2 3 2" xfId="41164"/>
    <cellStyle name="Normal 12 2 4 4 2 4" xfId="28859"/>
    <cellStyle name="Normal 12 2 4 4 3" xfId="12063"/>
    <cellStyle name="Normal 12 2 4 4 3 2" xfId="31946"/>
    <cellStyle name="Normal 12 2 4 4 4" xfId="18215"/>
    <cellStyle name="Normal 12 2 4 4 4 2" xfId="38098"/>
    <cellStyle name="Normal 12 2 4 4 5" xfId="25793"/>
    <cellStyle name="Normal 12 2 4 5" xfId="7401"/>
    <cellStyle name="Normal 12 2 4 5 2" xfId="13595"/>
    <cellStyle name="Normal 12 2 4 5 2 2" xfId="33478"/>
    <cellStyle name="Normal 12 2 4 5 3" xfId="19747"/>
    <cellStyle name="Normal 12 2 4 5 3 2" xfId="39630"/>
    <cellStyle name="Normal 12 2 4 5 4" xfId="27325"/>
    <cellStyle name="Normal 12 2 4 6" xfId="10529"/>
    <cellStyle name="Normal 12 2 4 6 2" xfId="30412"/>
    <cellStyle name="Normal 12 2 4 7" xfId="16681"/>
    <cellStyle name="Normal 12 2 4 7 2" xfId="36564"/>
    <cellStyle name="Normal 12 2 4 8" xfId="24259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2 2" xfId="35783"/>
    <cellStyle name="Normal 12 2 5 2 2 2 2 3" xfId="22052"/>
    <cellStyle name="Normal 12 2 5 2 2 2 2 3 2" xfId="41935"/>
    <cellStyle name="Normal 12 2 5 2 2 2 2 4" xfId="29630"/>
    <cellStyle name="Normal 12 2 5 2 2 2 3" xfId="12834"/>
    <cellStyle name="Normal 12 2 5 2 2 2 3 2" xfId="32717"/>
    <cellStyle name="Normal 12 2 5 2 2 2 4" xfId="18986"/>
    <cellStyle name="Normal 12 2 5 2 2 2 4 2" xfId="38869"/>
    <cellStyle name="Normal 12 2 5 2 2 2 5" xfId="26564"/>
    <cellStyle name="Normal 12 2 5 2 2 3" xfId="8172"/>
    <cellStyle name="Normal 12 2 5 2 2 3 2" xfId="14366"/>
    <cellStyle name="Normal 12 2 5 2 2 3 2 2" xfId="34249"/>
    <cellStyle name="Normal 12 2 5 2 2 3 3" xfId="20518"/>
    <cellStyle name="Normal 12 2 5 2 2 3 3 2" xfId="40401"/>
    <cellStyle name="Normal 12 2 5 2 2 3 4" xfId="28096"/>
    <cellStyle name="Normal 12 2 5 2 2 4" xfId="11300"/>
    <cellStyle name="Normal 12 2 5 2 2 4 2" xfId="31183"/>
    <cellStyle name="Normal 12 2 5 2 2 5" xfId="17452"/>
    <cellStyle name="Normal 12 2 5 2 2 5 2" xfId="37335"/>
    <cellStyle name="Normal 12 2 5 2 2 6" xfId="25030"/>
    <cellStyle name="Normal 12 2 5 2 3" xfId="5838"/>
    <cellStyle name="Normal 12 2 5 2 3 2" xfId="8938"/>
    <cellStyle name="Normal 12 2 5 2 3 2 2" xfId="15131"/>
    <cellStyle name="Normal 12 2 5 2 3 2 2 2" xfId="35014"/>
    <cellStyle name="Normal 12 2 5 2 3 2 3" xfId="21283"/>
    <cellStyle name="Normal 12 2 5 2 3 2 3 2" xfId="41166"/>
    <cellStyle name="Normal 12 2 5 2 3 2 4" xfId="28861"/>
    <cellStyle name="Normal 12 2 5 2 3 3" xfId="12065"/>
    <cellStyle name="Normal 12 2 5 2 3 3 2" xfId="31948"/>
    <cellStyle name="Normal 12 2 5 2 3 4" xfId="18217"/>
    <cellStyle name="Normal 12 2 5 2 3 4 2" xfId="38100"/>
    <cellStyle name="Normal 12 2 5 2 3 5" xfId="25795"/>
    <cellStyle name="Normal 12 2 5 2 4" xfId="7403"/>
    <cellStyle name="Normal 12 2 5 2 4 2" xfId="13597"/>
    <cellStyle name="Normal 12 2 5 2 4 2 2" xfId="33480"/>
    <cellStyle name="Normal 12 2 5 2 4 3" xfId="19749"/>
    <cellStyle name="Normal 12 2 5 2 4 3 2" xfId="39632"/>
    <cellStyle name="Normal 12 2 5 2 4 4" xfId="27327"/>
    <cellStyle name="Normal 12 2 5 2 5" xfId="10531"/>
    <cellStyle name="Normal 12 2 5 2 5 2" xfId="30414"/>
    <cellStyle name="Normal 12 2 5 2 6" xfId="16683"/>
    <cellStyle name="Normal 12 2 5 2 6 2" xfId="36566"/>
    <cellStyle name="Normal 12 2 5 2 7" xfId="24261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2 2" xfId="35784"/>
    <cellStyle name="Normal 12 2 6 2 2 2 3" xfId="22053"/>
    <cellStyle name="Normal 12 2 6 2 2 2 3 2" xfId="41936"/>
    <cellStyle name="Normal 12 2 6 2 2 2 4" xfId="29631"/>
    <cellStyle name="Normal 12 2 6 2 2 3" xfId="12835"/>
    <cellStyle name="Normal 12 2 6 2 2 3 2" xfId="32718"/>
    <cellStyle name="Normal 12 2 6 2 2 4" xfId="18987"/>
    <cellStyle name="Normal 12 2 6 2 2 4 2" xfId="38870"/>
    <cellStyle name="Normal 12 2 6 2 2 5" xfId="26565"/>
    <cellStyle name="Normal 12 2 6 2 3" xfId="8173"/>
    <cellStyle name="Normal 12 2 6 2 3 2" xfId="14367"/>
    <cellStyle name="Normal 12 2 6 2 3 2 2" xfId="34250"/>
    <cellStyle name="Normal 12 2 6 2 3 3" xfId="20519"/>
    <cellStyle name="Normal 12 2 6 2 3 3 2" xfId="40402"/>
    <cellStyle name="Normal 12 2 6 2 3 4" xfId="28097"/>
    <cellStyle name="Normal 12 2 6 2 4" xfId="11301"/>
    <cellStyle name="Normal 12 2 6 2 4 2" xfId="31184"/>
    <cellStyle name="Normal 12 2 6 2 5" xfId="17453"/>
    <cellStyle name="Normal 12 2 6 2 5 2" xfId="37336"/>
    <cellStyle name="Normal 12 2 6 2 6" xfId="25031"/>
    <cellStyle name="Normal 12 2 6 3" xfId="5839"/>
    <cellStyle name="Normal 12 2 6 3 2" xfId="8939"/>
    <cellStyle name="Normal 12 2 6 3 2 2" xfId="15132"/>
    <cellStyle name="Normal 12 2 6 3 2 2 2" xfId="35015"/>
    <cellStyle name="Normal 12 2 6 3 2 3" xfId="21284"/>
    <cellStyle name="Normal 12 2 6 3 2 3 2" xfId="41167"/>
    <cellStyle name="Normal 12 2 6 3 2 4" xfId="28862"/>
    <cellStyle name="Normal 12 2 6 3 3" xfId="12066"/>
    <cellStyle name="Normal 12 2 6 3 3 2" xfId="31949"/>
    <cellStyle name="Normal 12 2 6 3 4" xfId="18218"/>
    <cellStyle name="Normal 12 2 6 3 4 2" xfId="38101"/>
    <cellStyle name="Normal 12 2 6 3 5" xfId="25796"/>
    <cellStyle name="Normal 12 2 6 4" xfId="7404"/>
    <cellStyle name="Normal 12 2 6 4 2" xfId="13598"/>
    <cellStyle name="Normal 12 2 6 4 2 2" xfId="33481"/>
    <cellStyle name="Normal 12 2 6 4 3" xfId="19750"/>
    <cellStyle name="Normal 12 2 6 4 3 2" xfId="39633"/>
    <cellStyle name="Normal 12 2 6 4 4" xfId="27328"/>
    <cellStyle name="Normal 12 2 6 5" xfId="10532"/>
    <cellStyle name="Normal 12 2 6 5 2" xfId="30415"/>
    <cellStyle name="Normal 12 2 6 6" xfId="16684"/>
    <cellStyle name="Normal 12 2 6 6 2" xfId="36567"/>
    <cellStyle name="Normal 12 2 6 7" xfId="24262"/>
    <cellStyle name="Normal 12 2 7" xfId="3456"/>
    <cellStyle name="Normal 12 2 8" xfId="23219"/>
    <cellStyle name="Normal 12 2 9" xfId="23350"/>
    <cellStyle name="Normal 12 3" xfId="130"/>
    <cellStyle name="Normal 12 3 10" xfId="3470"/>
    <cellStyle name="Normal 12 3 10 2" xfId="24263"/>
    <cellStyle name="Normal 12 3 11" xfId="23220"/>
    <cellStyle name="Normal 12 3 12" xfId="23375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2 2" xfId="35787"/>
    <cellStyle name="Normal 12 3 2 2 2 2 2 3" xfId="22056"/>
    <cellStyle name="Normal 12 3 2 2 2 2 2 3 2" xfId="41939"/>
    <cellStyle name="Normal 12 3 2 2 2 2 2 4" xfId="29634"/>
    <cellStyle name="Normal 12 3 2 2 2 2 3" xfId="12838"/>
    <cellStyle name="Normal 12 3 2 2 2 2 3 2" xfId="32721"/>
    <cellStyle name="Normal 12 3 2 2 2 2 4" xfId="18990"/>
    <cellStyle name="Normal 12 3 2 2 2 2 4 2" xfId="38873"/>
    <cellStyle name="Normal 12 3 2 2 2 2 5" xfId="26568"/>
    <cellStyle name="Normal 12 3 2 2 2 3" xfId="8176"/>
    <cellStyle name="Normal 12 3 2 2 2 3 2" xfId="14370"/>
    <cellStyle name="Normal 12 3 2 2 2 3 2 2" xfId="34253"/>
    <cellStyle name="Normal 12 3 2 2 2 3 3" xfId="20522"/>
    <cellStyle name="Normal 12 3 2 2 2 3 3 2" xfId="40405"/>
    <cellStyle name="Normal 12 3 2 2 2 3 4" xfId="28100"/>
    <cellStyle name="Normal 12 3 2 2 2 4" xfId="11304"/>
    <cellStyle name="Normal 12 3 2 2 2 4 2" xfId="31187"/>
    <cellStyle name="Normal 12 3 2 2 2 5" xfId="17456"/>
    <cellStyle name="Normal 12 3 2 2 2 5 2" xfId="37339"/>
    <cellStyle name="Normal 12 3 2 2 2 6" xfId="25034"/>
    <cellStyle name="Normal 12 3 2 2 3" xfId="5842"/>
    <cellStyle name="Normal 12 3 2 2 3 2" xfId="8942"/>
    <cellStyle name="Normal 12 3 2 2 3 2 2" xfId="15135"/>
    <cellStyle name="Normal 12 3 2 2 3 2 2 2" xfId="35018"/>
    <cellStyle name="Normal 12 3 2 2 3 2 3" xfId="21287"/>
    <cellStyle name="Normal 12 3 2 2 3 2 3 2" xfId="41170"/>
    <cellStyle name="Normal 12 3 2 2 3 2 4" xfId="28865"/>
    <cellStyle name="Normal 12 3 2 2 3 3" xfId="12069"/>
    <cellStyle name="Normal 12 3 2 2 3 3 2" xfId="31952"/>
    <cellStyle name="Normal 12 3 2 2 3 4" xfId="18221"/>
    <cellStyle name="Normal 12 3 2 2 3 4 2" xfId="38104"/>
    <cellStyle name="Normal 12 3 2 2 3 5" xfId="25799"/>
    <cellStyle name="Normal 12 3 2 2 4" xfId="7407"/>
    <cellStyle name="Normal 12 3 2 2 4 2" xfId="13601"/>
    <cellStyle name="Normal 12 3 2 2 4 2 2" xfId="33484"/>
    <cellStyle name="Normal 12 3 2 2 4 3" xfId="19753"/>
    <cellStyle name="Normal 12 3 2 2 4 3 2" xfId="39636"/>
    <cellStyle name="Normal 12 3 2 2 4 4" xfId="27331"/>
    <cellStyle name="Normal 12 3 2 2 5" xfId="10535"/>
    <cellStyle name="Normal 12 3 2 2 5 2" xfId="30418"/>
    <cellStyle name="Normal 12 3 2 2 6" xfId="16687"/>
    <cellStyle name="Normal 12 3 2 2 6 2" xfId="36570"/>
    <cellStyle name="Normal 12 3 2 2 7" xfId="24265"/>
    <cellStyle name="Normal 12 3 2 3" xfId="4999"/>
    <cellStyle name="Normal 12 3 2 3 2" xfId="6624"/>
    <cellStyle name="Normal 12 3 2 3 2 2" xfId="9710"/>
    <cellStyle name="Normal 12 3 2 3 2 2 2" xfId="15903"/>
    <cellStyle name="Normal 12 3 2 3 2 2 2 2" xfId="35786"/>
    <cellStyle name="Normal 12 3 2 3 2 2 3" xfId="22055"/>
    <cellStyle name="Normal 12 3 2 3 2 2 3 2" xfId="41938"/>
    <cellStyle name="Normal 12 3 2 3 2 2 4" xfId="29633"/>
    <cellStyle name="Normal 12 3 2 3 2 3" xfId="12837"/>
    <cellStyle name="Normal 12 3 2 3 2 3 2" xfId="32720"/>
    <cellStyle name="Normal 12 3 2 3 2 4" xfId="18989"/>
    <cellStyle name="Normal 12 3 2 3 2 4 2" xfId="38872"/>
    <cellStyle name="Normal 12 3 2 3 2 5" xfId="26567"/>
    <cellStyle name="Normal 12 3 2 3 3" xfId="8175"/>
    <cellStyle name="Normal 12 3 2 3 3 2" xfId="14369"/>
    <cellStyle name="Normal 12 3 2 3 3 2 2" xfId="34252"/>
    <cellStyle name="Normal 12 3 2 3 3 3" xfId="20521"/>
    <cellStyle name="Normal 12 3 2 3 3 3 2" xfId="40404"/>
    <cellStyle name="Normal 12 3 2 3 3 4" xfId="28099"/>
    <cellStyle name="Normal 12 3 2 3 4" xfId="11303"/>
    <cellStyle name="Normal 12 3 2 3 4 2" xfId="31186"/>
    <cellStyle name="Normal 12 3 2 3 5" xfId="17455"/>
    <cellStyle name="Normal 12 3 2 3 5 2" xfId="37338"/>
    <cellStyle name="Normal 12 3 2 3 6" xfId="25033"/>
    <cellStyle name="Normal 12 3 2 4" xfId="5841"/>
    <cellStyle name="Normal 12 3 2 4 2" xfId="8941"/>
    <cellStyle name="Normal 12 3 2 4 2 2" xfId="15134"/>
    <cellStyle name="Normal 12 3 2 4 2 2 2" xfId="35017"/>
    <cellStyle name="Normal 12 3 2 4 2 3" xfId="21286"/>
    <cellStyle name="Normal 12 3 2 4 2 3 2" xfId="41169"/>
    <cellStyle name="Normal 12 3 2 4 2 4" xfId="28864"/>
    <cellStyle name="Normal 12 3 2 4 3" xfId="12068"/>
    <cellStyle name="Normal 12 3 2 4 3 2" xfId="31951"/>
    <cellStyle name="Normal 12 3 2 4 4" xfId="18220"/>
    <cellStyle name="Normal 12 3 2 4 4 2" xfId="38103"/>
    <cellStyle name="Normal 12 3 2 4 5" xfId="25798"/>
    <cellStyle name="Normal 12 3 2 5" xfId="7406"/>
    <cellStyle name="Normal 12 3 2 5 2" xfId="13600"/>
    <cellStyle name="Normal 12 3 2 5 2 2" xfId="33483"/>
    <cellStyle name="Normal 12 3 2 5 3" xfId="19752"/>
    <cellStyle name="Normal 12 3 2 5 3 2" xfId="39635"/>
    <cellStyle name="Normal 12 3 2 5 4" xfId="27330"/>
    <cellStyle name="Normal 12 3 2 6" xfId="10534"/>
    <cellStyle name="Normal 12 3 2 6 2" xfId="30417"/>
    <cellStyle name="Normal 12 3 2 7" xfId="16686"/>
    <cellStyle name="Normal 12 3 2 7 2" xfId="36569"/>
    <cellStyle name="Normal 12 3 2 8" xfId="24264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2 2" xfId="35789"/>
    <cellStyle name="Normal 12 3 3 2 2 2 2 3" xfId="22058"/>
    <cellStyle name="Normal 12 3 3 2 2 2 2 3 2" xfId="41941"/>
    <cellStyle name="Normal 12 3 3 2 2 2 2 4" xfId="29636"/>
    <cellStyle name="Normal 12 3 3 2 2 2 3" xfId="12840"/>
    <cellStyle name="Normal 12 3 3 2 2 2 3 2" xfId="32723"/>
    <cellStyle name="Normal 12 3 3 2 2 2 4" xfId="18992"/>
    <cellStyle name="Normal 12 3 3 2 2 2 4 2" xfId="38875"/>
    <cellStyle name="Normal 12 3 3 2 2 2 5" xfId="26570"/>
    <cellStyle name="Normal 12 3 3 2 2 3" xfId="8178"/>
    <cellStyle name="Normal 12 3 3 2 2 3 2" xfId="14372"/>
    <cellStyle name="Normal 12 3 3 2 2 3 2 2" xfId="34255"/>
    <cellStyle name="Normal 12 3 3 2 2 3 3" xfId="20524"/>
    <cellStyle name="Normal 12 3 3 2 2 3 3 2" xfId="40407"/>
    <cellStyle name="Normal 12 3 3 2 2 3 4" xfId="28102"/>
    <cellStyle name="Normal 12 3 3 2 2 4" xfId="11306"/>
    <cellStyle name="Normal 12 3 3 2 2 4 2" xfId="31189"/>
    <cellStyle name="Normal 12 3 3 2 2 5" xfId="17458"/>
    <cellStyle name="Normal 12 3 3 2 2 5 2" xfId="37341"/>
    <cellStyle name="Normal 12 3 3 2 2 6" xfId="25036"/>
    <cellStyle name="Normal 12 3 3 2 3" xfId="5844"/>
    <cellStyle name="Normal 12 3 3 2 3 2" xfId="8944"/>
    <cellStyle name="Normal 12 3 3 2 3 2 2" xfId="15137"/>
    <cellStyle name="Normal 12 3 3 2 3 2 2 2" xfId="35020"/>
    <cellStyle name="Normal 12 3 3 2 3 2 3" xfId="21289"/>
    <cellStyle name="Normal 12 3 3 2 3 2 3 2" xfId="41172"/>
    <cellStyle name="Normal 12 3 3 2 3 2 4" xfId="28867"/>
    <cellStyle name="Normal 12 3 3 2 3 3" xfId="12071"/>
    <cellStyle name="Normal 12 3 3 2 3 3 2" xfId="31954"/>
    <cellStyle name="Normal 12 3 3 2 3 4" xfId="18223"/>
    <cellStyle name="Normal 12 3 3 2 3 4 2" xfId="38106"/>
    <cellStyle name="Normal 12 3 3 2 3 5" xfId="25801"/>
    <cellStyle name="Normal 12 3 3 2 4" xfId="7409"/>
    <cellStyle name="Normal 12 3 3 2 4 2" xfId="13603"/>
    <cellStyle name="Normal 12 3 3 2 4 2 2" xfId="33486"/>
    <cellStyle name="Normal 12 3 3 2 4 3" xfId="19755"/>
    <cellStyle name="Normal 12 3 3 2 4 3 2" xfId="39638"/>
    <cellStyle name="Normal 12 3 3 2 4 4" xfId="27333"/>
    <cellStyle name="Normal 12 3 3 2 5" xfId="10537"/>
    <cellStyle name="Normal 12 3 3 2 5 2" xfId="30420"/>
    <cellStyle name="Normal 12 3 3 2 6" xfId="16689"/>
    <cellStyle name="Normal 12 3 3 2 6 2" xfId="36572"/>
    <cellStyle name="Normal 12 3 3 2 7" xfId="24267"/>
    <cellStyle name="Normal 12 3 3 3" xfId="5001"/>
    <cellStyle name="Normal 12 3 3 3 2" xfId="6626"/>
    <cellStyle name="Normal 12 3 3 3 2 2" xfId="9712"/>
    <cellStyle name="Normal 12 3 3 3 2 2 2" xfId="15905"/>
    <cellStyle name="Normal 12 3 3 3 2 2 2 2" xfId="35788"/>
    <cellStyle name="Normal 12 3 3 3 2 2 3" xfId="22057"/>
    <cellStyle name="Normal 12 3 3 3 2 2 3 2" xfId="41940"/>
    <cellStyle name="Normal 12 3 3 3 2 2 4" xfId="29635"/>
    <cellStyle name="Normal 12 3 3 3 2 3" xfId="12839"/>
    <cellStyle name="Normal 12 3 3 3 2 3 2" xfId="32722"/>
    <cellStyle name="Normal 12 3 3 3 2 4" xfId="18991"/>
    <cellStyle name="Normal 12 3 3 3 2 4 2" xfId="38874"/>
    <cellStyle name="Normal 12 3 3 3 2 5" xfId="26569"/>
    <cellStyle name="Normal 12 3 3 3 3" xfId="8177"/>
    <cellStyle name="Normal 12 3 3 3 3 2" xfId="14371"/>
    <cellStyle name="Normal 12 3 3 3 3 2 2" xfId="34254"/>
    <cellStyle name="Normal 12 3 3 3 3 3" xfId="20523"/>
    <cellStyle name="Normal 12 3 3 3 3 3 2" xfId="40406"/>
    <cellStyle name="Normal 12 3 3 3 3 4" xfId="28101"/>
    <cellStyle name="Normal 12 3 3 3 4" xfId="11305"/>
    <cellStyle name="Normal 12 3 3 3 4 2" xfId="31188"/>
    <cellStyle name="Normal 12 3 3 3 5" xfId="17457"/>
    <cellStyle name="Normal 12 3 3 3 5 2" xfId="37340"/>
    <cellStyle name="Normal 12 3 3 3 6" xfId="25035"/>
    <cellStyle name="Normal 12 3 3 4" xfId="5843"/>
    <cellStyle name="Normal 12 3 3 4 2" xfId="8943"/>
    <cellStyle name="Normal 12 3 3 4 2 2" xfId="15136"/>
    <cellStyle name="Normal 12 3 3 4 2 2 2" xfId="35019"/>
    <cellStyle name="Normal 12 3 3 4 2 3" xfId="21288"/>
    <cellStyle name="Normal 12 3 3 4 2 3 2" xfId="41171"/>
    <cellStyle name="Normal 12 3 3 4 2 4" xfId="28866"/>
    <cellStyle name="Normal 12 3 3 4 3" xfId="12070"/>
    <cellStyle name="Normal 12 3 3 4 3 2" xfId="31953"/>
    <cellStyle name="Normal 12 3 3 4 4" xfId="18222"/>
    <cellStyle name="Normal 12 3 3 4 4 2" xfId="38105"/>
    <cellStyle name="Normal 12 3 3 4 5" xfId="25800"/>
    <cellStyle name="Normal 12 3 3 5" xfId="7408"/>
    <cellStyle name="Normal 12 3 3 5 2" xfId="13602"/>
    <cellStyle name="Normal 12 3 3 5 2 2" xfId="33485"/>
    <cellStyle name="Normal 12 3 3 5 3" xfId="19754"/>
    <cellStyle name="Normal 12 3 3 5 3 2" xfId="39637"/>
    <cellStyle name="Normal 12 3 3 5 4" xfId="27332"/>
    <cellStyle name="Normal 12 3 3 6" xfId="10536"/>
    <cellStyle name="Normal 12 3 3 6 2" xfId="30419"/>
    <cellStyle name="Normal 12 3 3 7" xfId="16688"/>
    <cellStyle name="Normal 12 3 3 7 2" xfId="36571"/>
    <cellStyle name="Normal 12 3 3 8" xfId="24266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2 2" xfId="35790"/>
    <cellStyle name="Normal 12 3 4 2 2 2 3" xfId="22059"/>
    <cellStyle name="Normal 12 3 4 2 2 2 3 2" xfId="41942"/>
    <cellStyle name="Normal 12 3 4 2 2 2 4" xfId="29637"/>
    <cellStyle name="Normal 12 3 4 2 2 3" xfId="12841"/>
    <cellStyle name="Normal 12 3 4 2 2 3 2" xfId="32724"/>
    <cellStyle name="Normal 12 3 4 2 2 4" xfId="18993"/>
    <cellStyle name="Normal 12 3 4 2 2 4 2" xfId="38876"/>
    <cellStyle name="Normal 12 3 4 2 2 5" xfId="26571"/>
    <cellStyle name="Normal 12 3 4 2 3" xfId="8179"/>
    <cellStyle name="Normal 12 3 4 2 3 2" xfId="14373"/>
    <cellStyle name="Normal 12 3 4 2 3 2 2" xfId="34256"/>
    <cellStyle name="Normal 12 3 4 2 3 3" xfId="20525"/>
    <cellStyle name="Normal 12 3 4 2 3 3 2" xfId="40408"/>
    <cellStyle name="Normal 12 3 4 2 3 4" xfId="28103"/>
    <cellStyle name="Normal 12 3 4 2 4" xfId="11307"/>
    <cellStyle name="Normal 12 3 4 2 4 2" xfId="31190"/>
    <cellStyle name="Normal 12 3 4 2 5" xfId="17459"/>
    <cellStyle name="Normal 12 3 4 2 5 2" xfId="37342"/>
    <cellStyle name="Normal 12 3 4 2 6" xfId="25037"/>
    <cellStyle name="Normal 12 3 4 3" xfId="5845"/>
    <cellStyle name="Normal 12 3 4 3 2" xfId="8945"/>
    <cellStyle name="Normal 12 3 4 3 2 2" xfId="15138"/>
    <cellStyle name="Normal 12 3 4 3 2 2 2" xfId="35021"/>
    <cellStyle name="Normal 12 3 4 3 2 3" xfId="21290"/>
    <cellStyle name="Normal 12 3 4 3 2 3 2" xfId="41173"/>
    <cellStyle name="Normal 12 3 4 3 2 4" xfId="28868"/>
    <cellStyle name="Normal 12 3 4 3 3" xfId="12072"/>
    <cellStyle name="Normal 12 3 4 3 3 2" xfId="31955"/>
    <cellStyle name="Normal 12 3 4 3 4" xfId="18224"/>
    <cellStyle name="Normal 12 3 4 3 4 2" xfId="38107"/>
    <cellStyle name="Normal 12 3 4 3 5" xfId="25802"/>
    <cellStyle name="Normal 12 3 4 4" xfId="7410"/>
    <cellStyle name="Normal 12 3 4 4 2" xfId="13604"/>
    <cellStyle name="Normal 12 3 4 4 2 2" xfId="33487"/>
    <cellStyle name="Normal 12 3 4 4 3" xfId="19756"/>
    <cellStyle name="Normal 12 3 4 4 3 2" xfId="39639"/>
    <cellStyle name="Normal 12 3 4 4 4" xfId="27334"/>
    <cellStyle name="Normal 12 3 4 5" xfId="10538"/>
    <cellStyle name="Normal 12 3 4 5 2" xfId="30421"/>
    <cellStyle name="Normal 12 3 4 6" xfId="16690"/>
    <cellStyle name="Normal 12 3 4 6 2" xfId="36573"/>
    <cellStyle name="Normal 12 3 4 7" xfId="24268"/>
    <cellStyle name="Normal 12 3 5" xfId="4998"/>
    <cellStyle name="Normal 12 3 5 2" xfId="6623"/>
    <cellStyle name="Normal 12 3 5 2 2" xfId="9709"/>
    <cellStyle name="Normal 12 3 5 2 2 2" xfId="15902"/>
    <cellStyle name="Normal 12 3 5 2 2 2 2" xfId="35785"/>
    <cellStyle name="Normal 12 3 5 2 2 3" xfId="22054"/>
    <cellStyle name="Normal 12 3 5 2 2 3 2" xfId="41937"/>
    <cellStyle name="Normal 12 3 5 2 2 4" xfId="29632"/>
    <cellStyle name="Normal 12 3 5 2 3" xfId="12836"/>
    <cellStyle name="Normal 12 3 5 2 3 2" xfId="32719"/>
    <cellStyle name="Normal 12 3 5 2 4" xfId="18988"/>
    <cellStyle name="Normal 12 3 5 2 4 2" xfId="38871"/>
    <cellStyle name="Normal 12 3 5 2 5" xfId="26566"/>
    <cellStyle name="Normal 12 3 5 3" xfId="8174"/>
    <cellStyle name="Normal 12 3 5 3 2" xfId="14368"/>
    <cellStyle name="Normal 12 3 5 3 2 2" xfId="34251"/>
    <cellStyle name="Normal 12 3 5 3 3" xfId="20520"/>
    <cellStyle name="Normal 12 3 5 3 3 2" xfId="40403"/>
    <cellStyle name="Normal 12 3 5 3 4" xfId="28098"/>
    <cellStyle name="Normal 12 3 5 4" xfId="11302"/>
    <cellStyle name="Normal 12 3 5 4 2" xfId="31185"/>
    <cellStyle name="Normal 12 3 5 5" xfId="17454"/>
    <cellStyle name="Normal 12 3 5 5 2" xfId="37337"/>
    <cellStyle name="Normal 12 3 5 6" xfId="25032"/>
    <cellStyle name="Normal 12 3 6" xfId="5840"/>
    <cellStyle name="Normal 12 3 6 2" xfId="8940"/>
    <cellStyle name="Normal 12 3 6 2 2" xfId="15133"/>
    <cellStyle name="Normal 12 3 6 2 2 2" xfId="35016"/>
    <cellStyle name="Normal 12 3 6 2 3" xfId="21285"/>
    <cellStyle name="Normal 12 3 6 2 3 2" xfId="41168"/>
    <cellStyle name="Normal 12 3 6 2 4" xfId="28863"/>
    <cellStyle name="Normal 12 3 6 3" xfId="12067"/>
    <cellStyle name="Normal 12 3 6 3 2" xfId="31950"/>
    <cellStyle name="Normal 12 3 6 4" xfId="18219"/>
    <cellStyle name="Normal 12 3 6 4 2" xfId="38102"/>
    <cellStyle name="Normal 12 3 6 5" xfId="25797"/>
    <cellStyle name="Normal 12 3 7" xfId="7405"/>
    <cellStyle name="Normal 12 3 7 2" xfId="13599"/>
    <cellStyle name="Normal 12 3 7 2 2" xfId="33482"/>
    <cellStyle name="Normal 12 3 7 3" xfId="19751"/>
    <cellStyle name="Normal 12 3 7 3 2" xfId="39634"/>
    <cellStyle name="Normal 12 3 7 4" xfId="27329"/>
    <cellStyle name="Normal 12 3 8" xfId="10533"/>
    <cellStyle name="Normal 12 3 8 2" xfId="30416"/>
    <cellStyle name="Normal 12 3 9" xfId="16685"/>
    <cellStyle name="Normal 12 3 9 2" xfId="36568"/>
    <cellStyle name="Normal 12 4" xfId="115"/>
    <cellStyle name="Normal 12 4 10" xfId="3476"/>
    <cellStyle name="Normal 12 4 10 2" xfId="24269"/>
    <cellStyle name="Normal 12 4 11" xfId="23221"/>
    <cellStyle name="Normal 12 4 12" xfId="23363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2 2" xfId="35793"/>
    <cellStyle name="Normal 12 4 2 2 2 2 2 3" xfId="22062"/>
    <cellStyle name="Normal 12 4 2 2 2 2 2 3 2" xfId="41945"/>
    <cellStyle name="Normal 12 4 2 2 2 2 2 4" xfId="29640"/>
    <cellStyle name="Normal 12 4 2 2 2 2 3" xfId="12844"/>
    <cellStyle name="Normal 12 4 2 2 2 2 3 2" xfId="32727"/>
    <cellStyle name="Normal 12 4 2 2 2 2 4" xfId="18996"/>
    <cellStyle name="Normal 12 4 2 2 2 2 4 2" xfId="38879"/>
    <cellStyle name="Normal 12 4 2 2 2 2 5" xfId="26574"/>
    <cellStyle name="Normal 12 4 2 2 2 3" xfId="8182"/>
    <cellStyle name="Normal 12 4 2 2 2 3 2" xfId="14376"/>
    <cellStyle name="Normal 12 4 2 2 2 3 2 2" xfId="34259"/>
    <cellStyle name="Normal 12 4 2 2 2 3 3" xfId="20528"/>
    <cellStyle name="Normal 12 4 2 2 2 3 3 2" xfId="40411"/>
    <cellStyle name="Normal 12 4 2 2 2 3 4" xfId="28106"/>
    <cellStyle name="Normal 12 4 2 2 2 4" xfId="11310"/>
    <cellStyle name="Normal 12 4 2 2 2 4 2" xfId="31193"/>
    <cellStyle name="Normal 12 4 2 2 2 5" xfId="17462"/>
    <cellStyle name="Normal 12 4 2 2 2 5 2" xfId="37345"/>
    <cellStyle name="Normal 12 4 2 2 2 6" xfId="25040"/>
    <cellStyle name="Normal 12 4 2 2 3" xfId="5848"/>
    <cellStyle name="Normal 12 4 2 2 3 2" xfId="8948"/>
    <cellStyle name="Normal 12 4 2 2 3 2 2" xfId="15141"/>
    <cellStyle name="Normal 12 4 2 2 3 2 2 2" xfId="35024"/>
    <cellStyle name="Normal 12 4 2 2 3 2 3" xfId="21293"/>
    <cellStyle name="Normal 12 4 2 2 3 2 3 2" xfId="41176"/>
    <cellStyle name="Normal 12 4 2 2 3 2 4" xfId="28871"/>
    <cellStyle name="Normal 12 4 2 2 3 3" xfId="12075"/>
    <cellStyle name="Normal 12 4 2 2 3 3 2" xfId="31958"/>
    <cellStyle name="Normal 12 4 2 2 3 4" xfId="18227"/>
    <cellStyle name="Normal 12 4 2 2 3 4 2" xfId="38110"/>
    <cellStyle name="Normal 12 4 2 2 3 5" xfId="25805"/>
    <cellStyle name="Normal 12 4 2 2 4" xfId="7413"/>
    <cellStyle name="Normal 12 4 2 2 4 2" xfId="13607"/>
    <cellStyle name="Normal 12 4 2 2 4 2 2" xfId="33490"/>
    <cellStyle name="Normal 12 4 2 2 4 3" xfId="19759"/>
    <cellStyle name="Normal 12 4 2 2 4 3 2" xfId="39642"/>
    <cellStyle name="Normal 12 4 2 2 4 4" xfId="27337"/>
    <cellStyle name="Normal 12 4 2 2 5" xfId="10541"/>
    <cellStyle name="Normal 12 4 2 2 5 2" xfId="30424"/>
    <cellStyle name="Normal 12 4 2 2 6" xfId="16693"/>
    <cellStyle name="Normal 12 4 2 2 6 2" xfId="36576"/>
    <cellStyle name="Normal 12 4 2 2 7" xfId="24271"/>
    <cellStyle name="Normal 12 4 2 3" xfId="5005"/>
    <cellStyle name="Normal 12 4 2 3 2" xfId="6630"/>
    <cellStyle name="Normal 12 4 2 3 2 2" xfId="9716"/>
    <cellStyle name="Normal 12 4 2 3 2 2 2" xfId="15909"/>
    <cellStyle name="Normal 12 4 2 3 2 2 2 2" xfId="35792"/>
    <cellStyle name="Normal 12 4 2 3 2 2 3" xfId="22061"/>
    <cellStyle name="Normal 12 4 2 3 2 2 3 2" xfId="41944"/>
    <cellStyle name="Normal 12 4 2 3 2 2 4" xfId="29639"/>
    <cellStyle name="Normal 12 4 2 3 2 3" xfId="12843"/>
    <cellStyle name="Normal 12 4 2 3 2 3 2" xfId="32726"/>
    <cellStyle name="Normal 12 4 2 3 2 4" xfId="18995"/>
    <cellStyle name="Normal 12 4 2 3 2 4 2" xfId="38878"/>
    <cellStyle name="Normal 12 4 2 3 2 5" xfId="26573"/>
    <cellStyle name="Normal 12 4 2 3 3" xfId="8181"/>
    <cellStyle name="Normal 12 4 2 3 3 2" xfId="14375"/>
    <cellStyle name="Normal 12 4 2 3 3 2 2" xfId="34258"/>
    <cellStyle name="Normal 12 4 2 3 3 3" xfId="20527"/>
    <cellStyle name="Normal 12 4 2 3 3 3 2" xfId="40410"/>
    <cellStyle name="Normal 12 4 2 3 3 4" xfId="28105"/>
    <cellStyle name="Normal 12 4 2 3 4" xfId="11309"/>
    <cellStyle name="Normal 12 4 2 3 4 2" xfId="31192"/>
    <cellStyle name="Normal 12 4 2 3 5" xfId="17461"/>
    <cellStyle name="Normal 12 4 2 3 5 2" xfId="37344"/>
    <cellStyle name="Normal 12 4 2 3 6" xfId="25039"/>
    <cellStyle name="Normal 12 4 2 4" xfId="5847"/>
    <cellStyle name="Normal 12 4 2 4 2" xfId="8947"/>
    <cellStyle name="Normal 12 4 2 4 2 2" xfId="15140"/>
    <cellStyle name="Normal 12 4 2 4 2 2 2" xfId="35023"/>
    <cellStyle name="Normal 12 4 2 4 2 3" xfId="21292"/>
    <cellStyle name="Normal 12 4 2 4 2 3 2" xfId="41175"/>
    <cellStyle name="Normal 12 4 2 4 2 4" xfId="28870"/>
    <cellStyle name="Normal 12 4 2 4 3" xfId="12074"/>
    <cellStyle name="Normal 12 4 2 4 3 2" xfId="31957"/>
    <cellStyle name="Normal 12 4 2 4 4" xfId="18226"/>
    <cellStyle name="Normal 12 4 2 4 4 2" xfId="38109"/>
    <cellStyle name="Normal 12 4 2 4 5" xfId="25804"/>
    <cellStyle name="Normal 12 4 2 5" xfId="7412"/>
    <cellStyle name="Normal 12 4 2 5 2" xfId="13606"/>
    <cellStyle name="Normal 12 4 2 5 2 2" xfId="33489"/>
    <cellStyle name="Normal 12 4 2 5 3" xfId="19758"/>
    <cellStyle name="Normal 12 4 2 5 3 2" xfId="39641"/>
    <cellStyle name="Normal 12 4 2 5 4" xfId="27336"/>
    <cellStyle name="Normal 12 4 2 6" xfId="10540"/>
    <cellStyle name="Normal 12 4 2 6 2" xfId="30423"/>
    <cellStyle name="Normal 12 4 2 7" xfId="16692"/>
    <cellStyle name="Normal 12 4 2 7 2" xfId="36575"/>
    <cellStyle name="Normal 12 4 2 8" xfId="24270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2 2" xfId="35795"/>
    <cellStyle name="Normal 12 4 3 2 2 2 2 3" xfId="22064"/>
    <cellStyle name="Normal 12 4 3 2 2 2 2 3 2" xfId="41947"/>
    <cellStyle name="Normal 12 4 3 2 2 2 2 4" xfId="29642"/>
    <cellStyle name="Normal 12 4 3 2 2 2 3" xfId="12846"/>
    <cellStyle name="Normal 12 4 3 2 2 2 3 2" xfId="32729"/>
    <cellStyle name="Normal 12 4 3 2 2 2 4" xfId="18998"/>
    <cellStyle name="Normal 12 4 3 2 2 2 4 2" xfId="38881"/>
    <cellStyle name="Normal 12 4 3 2 2 2 5" xfId="26576"/>
    <cellStyle name="Normal 12 4 3 2 2 3" xfId="8184"/>
    <cellStyle name="Normal 12 4 3 2 2 3 2" xfId="14378"/>
    <cellStyle name="Normal 12 4 3 2 2 3 2 2" xfId="34261"/>
    <cellStyle name="Normal 12 4 3 2 2 3 3" xfId="20530"/>
    <cellStyle name="Normal 12 4 3 2 2 3 3 2" xfId="40413"/>
    <cellStyle name="Normal 12 4 3 2 2 3 4" xfId="28108"/>
    <cellStyle name="Normal 12 4 3 2 2 4" xfId="11312"/>
    <cellStyle name="Normal 12 4 3 2 2 4 2" xfId="31195"/>
    <cellStyle name="Normal 12 4 3 2 2 5" xfId="17464"/>
    <cellStyle name="Normal 12 4 3 2 2 5 2" xfId="37347"/>
    <cellStyle name="Normal 12 4 3 2 2 6" xfId="25042"/>
    <cellStyle name="Normal 12 4 3 2 3" xfId="5850"/>
    <cellStyle name="Normal 12 4 3 2 3 2" xfId="8950"/>
    <cellStyle name="Normal 12 4 3 2 3 2 2" xfId="15143"/>
    <cellStyle name="Normal 12 4 3 2 3 2 2 2" xfId="35026"/>
    <cellStyle name="Normal 12 4 3 2 3 2 3" xfId="21295"/>
    <cellStyle name="Normal 12 4 3 2 3 2 3 2" xfId="41178"/>
    <cellStyle name="Normal 12 4 3 2 3 2 4" xfId="28873"/>
    <cellStyle name="Normal 12 4 3 2 3 3" xfId="12077"/>
    <cellStyle name="Normal 12 4 3 2 3 3 2" xfId="31960"/>
    <cellStyle name="Normal 12 4 3 2 3 4" xfId="18229"/>
    <cellStyle name="Normal 12 4 3 2 3 4 2" xfId="38112"/>
    <cellStyle name="Normal 12 4 3 2 3 5" xfId="25807"/>
    <cellStyle name="Normal 12 4 3 2 4" xfId="7415"/>
    <cellStyle name="Normal 12 4 3 2 4 2" xfId="13609"/>
    <cellStyle name="Normal 12 4 3 2 4 2 2" xfId="33492"/>
    <cellStyle name="Normal 12 4 3 2 4 3" xfId="19761"/>
    <cellStyle name="Normal 12 4 3 2 4 3 2" xfId="39644"/>
    <cellStyle name="Normal 12 4 3 2 4 4" xfId="27339"/>
    <cellStyle name="Normal 12 4 3 2 5" xfId="10543"/>
    <cellStyle name="Normal 12 4 3 2 5 2" xfId="30426"/>
    <cellStyle name="Normal 12 4 3 2 6" xfId="16695"/>
    <cellStyle name="Normal 12 4 3 2 6 2" xfId="36578"/>
    <cellStyle name="Normal 12 4 3 2 7" xfId="24273"/>
    <cellStyle name="Normal 12 4 3 3" xfId="5007"/>
    <cellStyle name="Normal 12 4 3 3 2" xfId="6632"/>
    <cellStyle name="Normal 12 4 3 3 2 2" xfId="9718"/>
    <cellStyle name="Normal 12 4 3 3 2 2 2" xfId="15911"/>
    <cellStyle name="Normal 12 4 3 3 2 2 2 2" xfId="35794"/>
    <cellStyle name="Normal 12 4 3 3 2 2 3" xfId="22063"/>
    <cellStyle name="Normal 12 4 3 3 2 2 3 2" xfId="41946"/>
    <cellStyle name="Normal 12 4 3 3 2 2 4" xfId="29641"/>
    <cellStyle name="Normal 12 4 3 3 2 3" xfId="12845"/>
    <cellStyle name="Normal 12 4 3 3 2 3 2" xfId="32728"/>
    <cellStyle name="Normal 12 4 3 3 2 4" xfId="18997"/>
    <cellStyle name="Normal 12 4 3 3 2 4 2" xfId="38880"/>
    <cellStyle name="Normal 12 4 3 3 2 5" xfId="26575"/>
    <cellStyle name="Normal 12 4 3 3 3" xfId="8183"/>
    <cellStyle name="Normal 12 4 3 3 3 2" xfId="14377"/>
    <cellStyle name="Normal 12 4 3 3 3 2 2" xfId="34260"/>
    <cellStyle name="Normal 12 4 3 3 3 3" xfId="20529"/>
    <cellStyle name="Normal 12 4 3 3 3 3 2" xfId="40412"/>
    <cellStyle name="Normal 12 4 3 3 3 4" xfId="28107"/>
    <cellStyle name="Normal 12 4 3 3 4" xfId="11311"/>
    <cellStyle name="Normal 12 4 3 3 4 2" xfId="31194"/>
    <cellStyle name="Normal 12 4 3 3 5" xfId="17463"/>
    <cellStyle name="Normal 12 4 3 3 5 2" xfId="37346"/>
    <cellStyle name="Normal 12 4 3 3 6" xfId="25041"/>
    <cellStyle name="Normal 12 4 3 4" xfId="5849"/>
    <cellStyle name="Normal 12 4 3 4 2" xfId="8949"/>
    <cellStyle name="Normal 12 4 3 4 2 2" xfId="15142"/>
    <cellStyle name="Normal 12 4 3 4 2 2 2" xfId="35025"/>
    <cellStyle name="Normal 12 4 3 4 2 3" xfId="21294"/>
    <cellStyle name="Normal 12 4 3 4 2 3 2" xfId="41177"/>
    <cellStyle name="Normal 12 4 3 4 2 4" xfId="28872"/>
    <cellStyle name="Normal 12 4 3 4 3" xfId="12076"/>
    <cellStyle name="Normal 12 4 3 4 3 2" xfId="31959"/>
    <cellStyle name="Normal 12 4 3 4 4" xfId="18228"/>
    <cellStyle name="Normal 12 4 3 4 4 2" xfId="38111"/>
    <cellStyle name="Normal 12 4 3 4 5" xfId="25806"/>
    <cellStyle name="Normal 12 4 3 5" xfId="7414"/>
    <cellStyle name="Normal 12 4 3 5 2" xfId="13608"/>
    <cellStyle name="Normal 12 4 3 5 2 2" xfId="33491"/>
    <cellStyle name="Normal 12 4 3 5 3" xfId="19760"/>
    <cellStyle name="Normal 12 4 3 5 3 2" xfId="39643"/>
    <cellStyle name="Normal 12 4 3 5 4" xfId="27338"/>
    <cellStyle name="Normal 12 4 3 6" xfId="10542"/>
    <cellStyle name="Normal 12 4 3 6 2" xfId="30425"/>
    <cellStyle name="Normal 12 4 3 7" xfId="16694"/>
    <cellStyle name="Normal 12 4 3 7 2" xfId="36577"/>
    <cellStyle name="Normal 12 4 3 8" xfId="24272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2 2" xfId="35796"/>
    <cellStyle name="Normal 12 4 4 2 2 2 3" xfId="22065"/>
    <cellStyle name="Normal 12 4 4 2 2 2 3 2" xfId="41948"/>
    <cellStyle name="Normal 12 4 4 2 2 2 4" xfId="29643"/>
    <cellStyle name="Normal 12 4 4 2 2 3" xfId="12847"/>
    <cellStyle name="Normal 12 4 4 2 2 3 2" xfId="32730"/>
    <cellStyle name="Normal 12 4 4 2 2 4" xfId="18999"/>
    <cellStyle name="Normal 12 4 4 2 2 4 2" xfId="38882"/>
    <cellStyle name="Normal 12 4 4 2 2 5" xfId="26577"/>
    <cellStyle name="Normal 12 4 4 2 3" xfId="8185"/>
    <cellStyle name="Normal 12 4 4 2 3 2" xfId="14379"/>
    <cellStyle name="Normal 12 4 4 2 3 2 2" xfId="34262"/>
    <cellStyle name="Normal 12 4 4 2 3 3" xfId="20531"/>
    <cellStyle name="Normal 12 4 4 2 3 3 2" xfId="40414"/>
    <cellStyle name="Normal 12 4 4 2 3 4" xfId="28109"/>
    <cellStyle name="Normal 12 4 4 2 4" xfId="11313"/>
    <cellStyle name="Normal 12 4 4 2 4 2" xfId="31196"/>
    <cellStyle name="Normal 12 4 4 2 5" xfId="17465"/>
    <cellStyle name="Normal 12 4 4 2 5 2" xfId="37348"/>
    <cellStyle name="Normal 12 4 4 2 6" xfId="25043"/>
    <cellStyle name="Normal 12 4 4 3" xfId="5851"/>
    <cellStyle name="Normal 12 4 4 3 2" xfId="8951"/>
    <cellStyle name="Normal 12 4 4 3 2 2" xfId="15144"/>
    <cellStyle name="Normal 12 4 4 3 2 2 2" xfId="35027"/>
    <cellStyle name="Normal 12 4 4 3 2 3" xfId="21296"/>
    <cellStyle name="Normal 12 4 4 3 2 3 2" xfId="41179"/>
    <cellStyle name="Normal 12 4 4 3 2 4" xfId="28874"/>
    <cellStyle name="Normal 12 4 4 3 3" xfId="12078"/>
    <cellStyle name="Normal 12 4 4 3 3 2" xfId="31961"/>
    <cellStyle name="Normal 12 4 4 3 4" xfId="18230"/>
    <cellStyle name="Normal 12 4 4 3 4 2" xfId="38113"/>
    <cellStyle name="Normal 12 4 4 3 5" xfId="25808"/>
    <cellStyle name="Normal 12 4 4 4" xfId="7416"/>
    <cellStyle name="Normal 12 4 4 4 2" xfId="13610"/>
    <cellStyle name="Normal 12 4 4 4 2 2" xfId="33493"/>
    <cellStyle name="Normal 12 4 4 4 3" xfId="19762"/>
    <cellStyle name="Normal 12 4 4 4 3 2" xfId="39645"/>
    <cellStyle name="Normal 12 4 4 4 4" xfId="27340"/>
    <cellStyle name="Normal 12 4 4 5" xfId="10544"/>
    <cellStyle name="Normal 12 4 4 5 2" xfId="30427"/>
    <cellStyle name="Normal 12 4 4 6" xfId="16696"/>
    <cellStyle name="Normal 12 4 4 6 2" xfId="36579"/>
    <cellStyle name="Normal 12 4 4 7" xfId="24274"/>
    <cellStyle name="Normal 12 4 5" xfId="5004"/>
    <cellStyle name="Normal 12 4 5 2" xfId="6629"/>
    <cellStyle name="Normal 12 4 5 2 2" xfId="9715"/>
    <cellStyle name="Normal 12 4 5 2 2 2" xfId="15908"/>
    <cellStyle name="Normal 12 4 5 2 2 2 2" xfId="35791"/>
    <cellStyle name="Normal 12 4 5 2 2 3" xfId="22060"/>
    <cellStyle name="Normal 12 4 5 2 2 3 2" xfId="41943"/>
    <cellStyle name="Normal 12 4 5 2 2 4" xfId="29638"/>
    <cellStyle name="Normal 12 4 5 2 3" xfId="12842"/>
    <cellStyle name="Normal 12 4 5 2 3 2" xfId="32725"/>
    <cellStyle name="Normal 12 4 5 2 4" xfId="18994"/>
    <cellStyle name="Normal 12 4 5 2 4 2" xfId="38877"/>
    <cellStyle name="Normal 12 4 5 2 5" xfId="26572"/>
    <cellStyle name="Normal 12 4 5 3" xfId="8180"/>
    <cellStyle name="Normal 12 4 5 3 2" xfId="14374"/>
    <cellStyle name="Normal 12 4 5 3 2 2" xfId="34257"/>
    <cellStyle name="Normal 12 4 5 3 3" xfId="20526"/>
    <cellStyle name="Normal 12 4 5 3 3 2" xfId="40409"/>
    <cellStyle name="Normal 12 4 5 3 4" xfId="28104"/>
    <cellStyle name="Normal 12 4 5 4" xfId="11308"/>
    <cellStyle name="Normal 12 4 5 4 2" xfId="31191"/>
    <cellStyle name="Normal 12 4 5 5" xfId="17460"/>
    <cellStyle name="Normal 12 4 5 5 2" xfId="37343"/>
    <cellStyle name="Normal 12 4 5 6" xfId="25038"/>
    <cellStyle name="Normal 12 4 6" xfId="5846"/>
    <cellStyle name="Normal 12 4 6 2" xfId="8946"/>
    <cellStyle name="Normal 12 4 6 2 2" xfId="15139"/>
    <cellStyle name="Normal 12 4 6 2 2 2" xfId="35022"/>
    <cellStyle name="Normal 12 4 6 2 3" xfId="21291"/>
    <cellStyle name="Normal 12 4 6 2 3 2" xfId="41174"/>
    <cellStyle name="Normal 12 4 6 2 4" xfId="28869"/>
    <cellStyle name="Normal 12 4 6 3" xfId="12073"/>
    <cellStyle name="Normal 12 4 6 3 2" xfId="31956"/>
    <cellStyle name="Normal 12 4 6 4" xfId="18225"/>
    <cellStyle name="Normal 12 4 6 4 2" xfId="38108"/>
    <cellStyle name="Normal 12 4 6 5" xfId="25803"/>
    <cellStyle name="Normal 12 4 7" xfId="7411"/>
    <cellStyle name="Normal 12 4 7 2" xfId="13605"/>
    <cellStyle name="Normal 12 4 7 2 2" xfId="33488"/>
    <cellStyle name="Normal 12 4 7 3" xfId="19757"/>
    <cellStyle name="Normal 12 4 7 3 2" xfId="39640"/>
    <cellStyle name="Normal 12 4 7 4" xfId="27335"/>
    <cellStyle name="Normal 12 4 8" xfId="10539"/>
    <cellStyle name="Normal 12 4 8 2" xfId="30422"/>
    <cellStyle name="Normal 12 4 9" xfId="16691"/>
    <cellStyle name="Normal 12 4 9 2" xfId="36574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2 2" xfId="35798"/>
    <cellStyle name="Normal 12 5 2 2 2 2 3" xfId="22067"/>
    <cellStyle name="Normal 12 5 2 2 2 2 3 2" xfId="41950"/>
    <cellStyle name="Normal 12 5 2 2 2 2 4" xfId="29645"/>
    <cellStyle name="Normal 12 5 2 2 2 3" xfId="12849"/>
    <cellStyle name="Normal 12 5 2 2 2 3 2" xfId="32732"/>
    <cellStyle name="Normal 12 5 2 2 2 4" xfId="19001"/>
    <cellStyle name="Normal 12 5 2 2 2 4 2" xfId="38884"/>
    <cellStyle name="Normal 12 5 2 2 2 5" xfId="26579"/>
    <cellStyle name="Normal 12 5 2 2 3" xfId="8187"/>
    <cellStyle name="Normal 12 5 2 2 3 2" xfId="14381"/>
    <cellStyle name="Normal 12 5 2 2 3 2 2" xfId="34264"/>
    <cellStyle name="Normal 12 5 2 2 3 3" xfId="20533"/>
    <cellStyle name="Normal 12 5 2 2 3 3 2" xfId="40416"/>
    <cellStyle name="Normal 12 5 2 2 3 4" xfId="28111"/>
    <cellStyle name="Normal 12 5 2 2 4" xfId="11315"/>
    <cellStyle name="Normal 12 5 2 2 4 2" xfId="31198"/>
    <cellStyle name="Normal 12 5 2 2 5" xfId="17467"/>
    <cellStyle name="Normal 12 5 2 2 5 2" xfId="37350"/>
    <cellStyle name="Normal 12 5 2 2 6" xfId="25045"/>
    <cellStyle name="Normal 12 5 2 3" xfId="5853"/>
    <cellStyle name="Normal 12 5 2 3 2" xfId="8953"/>
    <cellStyle name="Normal 12 5 2 3 2 2" xfId="15146"/>
    <cellStyle name="Normal 12 5 2 3 2 2 2" xfId="35029"/>
    <cellStyle name="Normal 12 5 2 3 2 3" xfId="21298"/>
    <cellStyle name="Normal 12 5 2 3 2 3 2" xfId="41181"/>
    <cellStyle name="Normal 12 5 2 3 2 4" xfId="28876"/>
    <cellStyle name="Normal 12 5 2 3 3" xfId="12080"/>
    <cellStyle name="Normal 12 5 2 3 3 2" xfId="31963"/>
    <cellStyle name="Normal 12 5 2 3 4" xfId="18232"/>
    <cellStyle name="Normal 12 5 2 3 4 2" xfId="38115"/>
    <cellStyle name="Normal 12 5 2 3 5" xfId="25810"/>
    <cellStyle name="Normal 12 5 2 4" xfId="7418"/>
    <cellStyle name="Normal 12 5 2 4 2" xfId="13612"/>
    <cellStyle name="Normal 12 5 2 4 2 2" xfId="33495"/>
    <cellStyle name="Normal 12 5 2 4 3" xfId="19764"/>
    <cellStyle name="Normal 12 5 2 4 3 2" xfId="39647"/>
    <cellStyle name="Normal 12 5 2 4 4" xfId="27342"/>
    <cellStyle name="Normal 12 5 2 5" xfId="10546"/>
    <cellStyle name="Normal 12 5 2 5 2" xfId="30429"/>
    <cellStyle name="Normal 12 5 2 6" xfId="16698"/>
    <cellStyle name="Normal 12 5 2 6 2" xfId="36581"/>
    <cellStyle name="Normal 12 5 2 7" xfId="24276"/>
    <cellStyle name="Normal 12 5 3" xfId="5010"/>
    <cellStyle name="Normal 12 5 3 2" xfId="6635"/>
    <cellStyle name="Normal 12 5 3 2 2" xfId="9721"/>
    <cellStyle name="Normal 12 5 3 2 2 2" xfId="15914"/>
    <cellStyle name="Normal 12 5 3 2 2 2 2" xfId="35797"/>
    <cellStyle name="Normal 12 5 3 2 2 3" xfId="22066"/>
    <cellStyle name="Normal 12 5 3 2 2 3 2" xfId="41949"/>
    <cellStyle name="Normal 12 5 3 2 2 4" xfId="29644"/>
    <cellStyle name="Normal 12 5 3 2 3" xfId="12848"/>
    <cellStyle name="Normal 12 5 3 2 3 2" xfId="32731"/>
    <cellStyle name="Normal 12 5 3 2 4" xfId="19000"/>
    <cellStyle name="Normal 12 5 3 2 4 2" xfId="38883"/>
    <cellStyle name="Normal 12 5 3 2 5" xfId="26578"/>
    <cellStyle name="Normal 12 5 3 3" xfId="8186"/>
    <cellStyle name="Normal 12 5 3 3 2" xfId="14380"/>
    <cellStyle name="Normal 12 5 3 3 2 2" xfId="34263"/>
    <cellStyle name="Normal 12 5 3 3 3" xfId="20532"/>
    <cellStyle name="Normal 12 5 3 3 3 2" xfId="40415"/>
    <cellStyle name="Normal 12 5 3 3 4" xfId="28110"/>
    <cellStyle name="Normal 12 5 3 4" xfId="11314"/>
    <cellStyle name="Normal 12 5 3 4 2" xfId="31197"/>
    <cellStyle name="Normal 12 5 3 5" xfId="17466"/>
    <cellStyle name="Normal 12 5 3 5 2" xfId="37349"/>
    <cellStyle name="Normal 12 5 3 6" xfId="25044"/>
    <cellStyle name="Normal 12 5 4" xfId="5852"/>
    <cellStyle name="Normal 12 5 4 2" xfId="8952"/>
    <cellStyle name="Normal 12 5 4 2 2" xfId="15145"/>
    <cellStyle name="Normal 12 5 4 2 2 2" xfId="35028"/>
    <cellStyle name="Normal 12 5 4 2 3" xfId="21297"/>
    <cellStyle name="Normal 12 5 4 2 3 2" xfId="41180"/>
    <cellStyle name="Normal 12 5 4 2 4" xfId="28875"/>
    <cellStyle name="Normal 12 5 4 3" xfId="12079"/>
    <cellStyle name="Normal 12 5 4 3 2" xfId="31962"/>
    <cellStyle name="Normal 12 5 4 4" xfId="18231"/>
    <cellStyle name="Normal 12 5 4 4 2" xfId="38114"/>
    <cellStyle name="Normal 12 5 4 5" xfId="25809"/>
    <cellStyle name="Normal 12 5 5" xfId="7417"/>
    <cellStyle name="Normal 12 5 5 2" xfId="13611"/>
    <cellStyle name="Normal 12 5 5 2 2" xfId="33494"/>
    <cellStyle name="Normal 12 5 5 3" xfId="19763"/>
    <cellStyle name="Normal 12 5 5 3 2" xfId="39646"/>
    <cellStyle name="Normal 12 5 5 4" xfId="27341"/>
    <cellStyle name="Normal 12 5 6" xfId="10545"/>
    <cellStyle name="Normal 12 5 6 2" xfId="30428"/>
    <cellStyle name="Normal 12 5 7" xfId="16697"/>
    <cellStyle name="Normal 12 5 7 2" xfId="36580"/>
    <cellStyle name="Normal 12 5 8" xfId="23222"/>
    <cellStyle name="Normal 12 5 9" xfId="24275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2 2" xfId="35800"/>
    <cellStyle name="Normal 12 6 2 2 2 2 3" xfId="22069"/>
    <cellStyle name="Normal 12 6 2 2 2 2 3 2" xfId="41952"/>
    <cellStyle name="Normal 12 6 2 2 2 2 4" xfId="29647"/>
    <cellStyle name="Normal 12 6 2 2 2 3" xfId="12851"/>
    <cellStyle name="Normal 12 6 2 2 2 3 2" xfId="32734"/>
    <cellStyle name="Normal 12 6 2 2 2 4" xfId="19003"/>
    <cellStyle name="Normal 12 6 2 2 2 4 2" xfId="38886"/>
    <cellStyle name="Normal 12 6 2 2 2 5" xfId="26581"/>
    <cellStyle name="Normal 12 6 2 2 3" xfId="8189"/>
    <cellStyle name="Normal 12 6 2 2 3 2" xfId="14383"/>
    <cellStyle name="Normal 12 6 2 2 3 2 2" xfId="34266"/>
    <cellStyle name="Normal 12 6 2 2 3 3" xfId="20535"/>
    <cellStyle name="Normal 12 6 2 2 3 3 2" xfId="40418"/>
    <cellStyle name="Normal 12 6 2 2 3 4" xfId="28113"/>
    <cellStyle name="Normal 12 6 2 2 4" xfId="11317"/>
    <cellStyle name="Normal 12 6 2 2 4 2" xfId="31200"/>
    <cellStyle name="Normal 12 6 2 2 5" xfId="17469"/>
    <cellStyle name="Normal 12 6 2 2 5 2" xfId="37352"/>
    <cellStyle name="Normal 12 6 2 2 6" xfId="25047"/>
    <cellStyle name="Normal 12 6 2 3" xfId="5855"/>
    <cellStyle name="Normal 12 6 2 3 2" xfId="8955"/>
    <cellStyle name="Normal 12 6 2 3 2 2" xfId="15148"/>
    <cellStyle name="Normal 12 6 2 3 2 2 2" xfId="35031"/>
    <cellStyle name="Normal 12 6 2 3 2 3" xfId="21300"/>
    <cellStyle name="Normal 12 6 2 3 2 3 2" xfId="41183"/>
    <cellStyle name="Normal 12 6 2 3 2 4" xfId="28878"/>
    <cellStyle name="Normal 12 6 2 3 3" xfId="12082"/>
    <cellStyle name="Normal 12 6 2 3 3 2" xfId="31965"/>
    <cellStyle name="Normal 12 6 2 3 4" xfId="18234"/>
    <cellStyle name="Normal 12 6 2 3 4 2" xfId="38117"/>
    <cellStyle name="Normal 12 6 2 3 5" xfId="25812"/>
    <cellStyle name="Normal 12 6 2 4" xfId="7420"/>
    <cellStyle name="Normal 12 6 2 4 2" xfId="13614"/>
    <cellStyle name="Normal 12 6 2 4 2 2" xfId="33497"/>
    <cellStyle name="Normal 12 6 2 4 3" xfId="19766"/>
    <cellStyle name="Normal 12 6 2 4 3 2" xfId="39649"/>
    <cellStyle name="Normal 12 6 2 4 4" xfId="27344"/>
    <cellStyle name="Normal 12 6 2 5" xfId="10548"/>
    <cellStyle name="Normal 12 6 2 5 2" xfId="30431"/>
    <cellStyle name="Normal 12 6 2 6" xfId="16700"/>
    <cellStyle name="Normal 12 6 2 6 2" xfId="36583"/>
    <cellStyle name="Normal 12 6 2 7" xfId="24278"/>
    <cellStyle name="Normal 12 6 3" xfId="5012"/>
    <cellStyle name="Normal 12 6 3 2" xfId="6637"/>
    <cellStyle name="Normal 12 6 3 2 2" xfId="9723"/>
    <cellStyle name="Normal 12 6 3 2 2 2" xfId="15916"/>
    <cellStyle name="Normal 12 6 3 2 2 2 2" xfId="35799"/>
    <cellStyle name="Normal 12 6 3 2 2 3" xfId="22068"/>
    <cellStyle name="Normal 12 6 3 2 2 3 2" xfId="41951"/>
    <cellStyle name="Normal 12 6 3 2 2 4" xfId="29646"/>
    <cellStyle name="Normal 12 6 3 2 3" xfId="12850"/>
    <cellStyle name="Normal 12 6 3 2 3 2" xfId="32733"/>
    <cellStyle name="Normal 12 6 3 2 4" xfId="19002"/>
    <cellStyle name="Normal 12 6 3 2 4 2" xfId="38885"/>
    <cellStyle name="Normal 12 6 3 2 5" xfId="26580"/>
    <cellStyle name="Normal 12 6 3 3" xfId="8188"/>
    <cellStyle name="Normal 12 6 3 3 2" xfId="14382"/>
    <cellStyle name="Normal 12 6 3 3 2 2" xfId="34265"/>
    <cellStyle name="Normal 12 6 3 3 3" xfId="20534"/>
    <cellStyle name="Normal 12 6 3 3 3 2" xfId="40417"/>
    <cellStyle name="Normal 12 6 3 3 4" xfId="28112"/>
    <cellStyle name="Normal 12 6 3 4" xfId="11316"/>
    <cellStyle name="Normal 12 6 3 4 2" xfId="31199"/>
    <cellStyle name="Normal 12 6 3 5" xfId="17468"/>
    <cellStyle name="Normal 12 6 3 5 2" xfId="37351"/>
    <cellStyle name="Normal 12 6 3 6" xfId="25046"/>
    <cellStyle name="Normal 12 6 4" xfId="5854"/>
    <cellStyle name="Normal 12 6 4 2" xfId="8954"/>
    <cellStyle name="Normal 12 6 4 2 2" xfId="15147"/>
    <cellStyle name="Normal 12 6 4 2 2 2" xfId="35030"/>
    <cellStyle name="Normal 12 6 4 2 3" xfId="21299"/>
    <cellStyle name="Normal 12 6 4 2 3 2" xfId="41182"/>
    <cellStyle name="Normal 12 6 4 2 4" xfId="28877"/>
    <cellStyle name="Normal 12 6 4 3" xfId="12081"/>
    <cellStyle name="Normal 12 6 4 3 2" xfId="31964"/>
    <cellStyle name="Normal 12 6 4 4" xfId="18233"/>
    <cellStyle name="Normal 12 6 4 4 2" xfId="38116"/>
    <cellStyle name="Normal 12 6 4 5" xfId="25811"/>
    <cellStyle name="Normal 12 6 5" xfId="7419"/>
    <cellStyle name="Normal 12 6 5 2" xfId="13613"/>
    <cellStyle name="Normal 12 6 5 2 2" xfId="33496"/>
    <cellStyle name="Normal 12 6 5 3" xfId="19765"/>
    <cellStyle name="Normal 12 6 5 3 2" xfId="39648"/>
    <cellStyle name="Normal 12 6 5 4" xfId="27343"/>
    <cellStyle name="Normal 12 6 6" xfId="10547"/>
    <cellStyle name="Normal 12 6 6 2" xfId="30430"/>
    <cellStyle name="Normal 12 6 7" xfId="16699"/>
    <cellStyle name="Normal 12 6 7 2" xfId="36582"/>
    <cellStyle name="Normal 12 6 8" xfId="24277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2 2" xfId="35801"/>
    <cellStyle name="Normal 12 7 2 2 2 3" xfId="22070"/>
    <cellStyle name="Normal 12 7 2 2 2 3 2" xfId="41953"/>
    <cellStyle name="Normal 12 7 2 2 2 4" xfId="29648"/>
    <cellStyle name="Normal 12 7 2 2 3" xfId="12852"/>
    <cellStyle name="Normal 12 7 2 2 3 2" xfId="32735"/>
    <cellStyle name="Normal 12 7 2 2 4" xfId="19004"/>
    <cellStyle name="Normal 12 7 2 2 4 2" xfId="38887"/>
    <cellStyle name="Normal 12 7 2 2 5" xfId="26582"/>
    <cellStyle name="Normal 12 7 2 3" xfId="8190"/>
    <cellStyle name="Normal 12 7 2 3 2" xfId="14384"/>
    <cellStyle name="Normal 12 7 2 3 2 2" xfId="34267"/>
    <cellStyle name="Normal 12 7 2 3 3" xfId="20536"/>
    <cellStyle name="Normal 12 7 2 3 3 2" xfId="40419"/>
    <cellStyle name="Normal 12 7 2 3 4" xfId="28114"/>
    <cellStyle name="Normal 12 7 2 4" xfId="11318"/>
    <cellStyle name="Normal 12 7 2 4 2" xfId="31201"/>
    <cellStyle name="Normal 12 7 2 5" xfId="17470"/>
    <cellStyle name="Normal 12 7 2 5 2" xfId="37353"/>
    <cellStyle name="Normal 12 7 2 6" xfId="25048"/>
    <cellStyle name="Normal 12 7 3" xfId="5856"/>
    <cellStyle name="Normal 12 7 3 2" xfId="8956"/>
    <cellStyle name="Normal 12 7 3 2 2" xfId="15149"/>
    <cellStyle name="Normal 12 7 3 2 2 2" xfId="35032"/>
    <cellStyle name="Normal 12 7 3 2 3" xfId="21301"/>
    <cellStyle name="Normal 12 7 3 2 3 2" xfId="41184"/>
    <cellStyle name="Normal 12 7 3 2 4" xfId="28879"/>
    <cellStyle name="Normal 12 7 3 3" xfId="12083"/>
    <cellStyle name="Normal 12 7 3 3 2" xfId="31966"/>
    <cellStyle name="Normal 12 7 3 4" xfId="18235"/>
    <cellStyle name="Normal 12 7 3 4 2" xfId="38118"/>
    <cellStyle name="Normal 12 7 3 5" xfId="25813"/>
    <cellStyle name="Normal 12 7 4" xfId="7421"/>
    <cellStyle name="Normal 12 7 4 2" xfId="13615"/>
    <cellStyle name="Normal 12 7 4 2 2" xfId="33498"/>
    <cellStyle name="Normal 12 7 4 3" xfId="19767"/>
    <cellStyle name="Normal 12 7 4 3 2" xfId="39650"/>
    <cellStyle name="Normal 12 7 4 4" xfId="27345"/>
    <cellStyle name="Normal 12 7 5" xfId="10549"/>
    <cellStyle name="Normal 12 7 5 2" xfId="30432"/>
    <cellStyle name="Normal 12 7 6" xfId="16701"/>
    <cellStyle name="Normal 12 7 6 2" xfId="36584"/>
    <cellStyle name="Normal 12 7 7" xfId="24279"/>
    <cellStyle name="Normal 12 8" xfId="4985"/>
    <cellStyle name="Normal 12 8 2" xfId="6610"/>
    <cellStyle name="Normal 12 8 2 2" xfId="9696"/>
    <cellStyle name="Normal 12 8 2 2 2" xfId="15889"/>
    <cellStyle name="Normal 12 8 2 2 2 2" xfId="35772"/>
    <cellStyle name="Normal 12 8 2 2 3" xfId="22041"/>
    <cellStyle name="Normal 12 8 2 2 3 2" xfId="41924"/>
    <cellStyle name="Normal 12 8 2 2 4" xfId="29619"/>
    <cellStyle name="Normal 12 8 2 3" xfId="12823"/>
    <cellStyle name="Normal 12 8 2 3 2" xfId="32706"/>
    <cellStyle name="Normal 12 8 2 4" xfId="18975"/>
    <cellStyle name="Normal 12 8 2 4 2" xfId="38858"/>
    <cellStyle name="Normal 12 8 2 5" xfId="26553"/>
    <cellStyle name="Normal 12 8 3" xfId="8161"/>
    <cellStyle name="Normal 12 8 3 2" xfId="14355"/>
    <cellStyle name="Normal 12 8 3 2 2" xfId="34238"/>
    <cellStyle name="Normal 12 8 3 3" xfId="20507"/>
    <cellStyle name="Normal 12 8 3 3 2" xfId="40390"/>
    <cellStyle name="Normal 12 8 3 4" xfId="28085"/>
    <cellStyle name="Normal 12 8 4" xfId="11289"/>
    <cellStyle name="Normal 12 8 4 2" xfId="31172"/>
    <cellStyle name="Normal 12 8 5" xfId="17441"/>
    <cellStyle name="Normal 12 8 5 2" xfId="37324"/>
    <cellStyle name="Normal 12 8 6" xfId="25019"/>
    <cellStyle name="Normal 12 9" xfId="5827"/>
    <cellStyle name="Normal 12 9 2" xfId="8927"/>
    <cellStyle name="Normal 12 9 2 2" xfId="15120"/>
    <cellStyle name="Normal 12 9 2 2 2" xfId="35003"/>
    <cellStyle name="Normal 12 9 2 3" xfId="21272"/>
    <cellStyle name="Normal 12 9 2 3 2" xfId="41155"/>
    <cellStyle name="Normal 12 9 2 4" xfId="28850"/>
    <cellStyle name="Normal 12 9 3" xfId="12054"/>
    <cellStyle name="Normal 12 9 3 2" xfId="31937"/>
    <cellStyle name="Normal 12 9 4" xfId="18206"/>
    <cellStyle name="Normal 12 9 4 2" xfId="38089"/>
    <cellStyle name="Normal 12 9 5" xfId="25784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0 2" xfId="36585"/>
    <cellStyle name="Normal 15 11" xfId="3488"/>
    <cellStyle name="Normal 15 11 2" xfId="24280"/>
    <cellStyle name="Normal 15 12" xfId="23228"/>
    <cellStyle name="Normal 15 12 2" xfId="43004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2 2" xfId="35803"/>
    <cellStyle name="Normal 15 3 2 2 2 3" xfId="22072"/>
    <cellStyle name="Normal 15 3 2 2 2 3 2" xfId="41955"/>
    <cellStyle name="Normal 15 3 2 2 2 4" xfId="29650"/>
    <cellStyle name="Normal 15 3 2 2 3" xfId="12854"/>
    <cellStyle name="Normal 15 3 2 2 3 2" xfId="32737"/>
    <cellStyle name="Normal 15 3 2 2 4" xfId="19006"/>
    <cellStyle name="Normal 15 3 2 2 4 2" xfId="38889"/>
    <cellStyle name="Normal 15 3 2 2 5" xfId="26584"/>
    <cellStyle name="Normal 15 3 2 3" xfId="8192"/>
    <cellStyle name="Normal 15 3 2 3 2" xfId="14386"/>
    <cellStyle name="Normal 15 3 2 3 2 2" xfId="34269"/>
    <cellStyle name="Normal 15 3 2 3 3" xfId="20538"/>
    <cellStyle name="Normal 15 3 2 3 3 2" xfId="40421"/>
    <cellStyle name="Normal 15 3 2 3 4" xfId="28116"/>
    <cellStyle name="Normal 15 3 2 4" xfId="11320"/>
    <cellStyle name="Normal 15 3 2 4 2" xfId="31203"/>
    <cellStyle name="Normal 15 3 2 5" xfId="17472"/>
    <cellStyle name="Normal 15 3 2 5 2" xfId="37355"/>
    <cellStyle name="Normal 15 3 2 6" xfId="25050"/>
    <cellStyle name="Normal 15 3 3" xfId="5858"/>
    <cellStyle name="Normal 15 3 3 2" xfId="8958"/>
    <cellStyle name="Normal 15 3 3 2 2" xfId="15151"/>
    <cellStyle name="Normal 15 3 3 2 2 2" xfId="35034"/>
    <cellStyle name="Normal 15 3 3 2 3" xfId="21303"/>
    <cellStyle name="Normal 15 3 3 2 3 2" xfId="41186"/>
    <cellStyle name="Normal 15 3 3 2 4" xfId="28881"/>
    <cellStyle name="Normal 15 3 3 3" xfId="12085"/>
    <cellStyle name="Normal 15 3 3 3 2" xfId="31968"/>
    <cellStyle name="Normal 15 3 3 4" xfId="18237"/>
    <cellStyle name="Normal 15 3 3 4 2" xfId="38120"/>
    <cellStyle name="Normal 15 3 3 5" xfId="25815"/>
    <cellStyle name="Normal 15 3 4" xfId="7423"/>
    <cellStyle name="Normal 15 3 4 2" xfId="13617"/>
    <cellStyle name="Normal 15 3 4 2 2" xfId="33500"/>
    <cellStyle name="Normal 15 3 4 3" xfId="19769"/>
    <cellStyle name="Normal 15 3 4 3 2" xfId="39652"/>
    <cellStyle name="Normal 15 3 4 4" xfId="27347"/>
    <cellStyle name="Normal 15 3 5" xfId="10551"/>
    <cellStyle name="Normal 15 3 5 2" xfId="30434"/>
    <cellStyle name="Normal 15 3 6" xfId="16703"/>
    <cellStyle name="Normal 15 3 6 2" xfId="36586"/>
    <cellStyle name="Normal 15 3 7" xfId="24281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2 2" xfId="35802"/>
    <cellStyle name="Normal 15 6 2 2 3" xfId="22071"/>
    <cellStyle name="Normal 15 6 2 2 3 2" xfId="41954"/>
    <cellStyle name="Normal 15 6 2 2 4" xfId="29649"/>
    <cellStyle name="Normal 15 6 2 3" xfId="12853"/>
    <cellStyle name="Normal 15 6 2 3 2" xfId="32736"/>
    <cellStyle name="Normal 15 6 2 4" xfId="19005"/>
    <cellStyle name="Normal 15 6 2 4 2" xfId="38888"/>
    <cellStyle name="Normal 15 6 2 5" xfId="26583"/>
    <cellStyle name="Normal 15 6 3" xfId="8191"/>
    <cellStyle name="Normal 15 6 3 2" xfId="14385"/>
    <cellStyle name="Normal 15 6 3 2 2" xfId="34268"/>
    <cellStyle name="Normal 15 6 3 3" xfId="20537"/>
    <cellStyle name="Normal 15 6 3 3 2" xfId="40420"/>
    <cellStyle name="Normal 15 6 3 4" xfId="28115"/>
    <cellStyle name="Normal 15 6 4" xfId="11319"/>
    <cellStyle name="Normal 15 6 4 2" xfId="31202"/>
    <cellStyle name="Normal 15 6 5" xfId="17471"/>
    <cellStyle name="Normal 15 6 5 2" xfId="37354"/>
    <cellStyle name="Normal 15 6 6" xfId="25049"/>
    <cellStyle name="Normal 15 7" xfId="5857"/>
    <cellStyle name="Normal 15 7 2" xfId="8957"/>
    <cellStyle name="Normal 15 7 2 2" xfId="15150"/>
    <cellStyle name="Normal 15 7 2 2 2" xfId="35033"/>
    <cellStyle name="Normal 15 7 2 3" xfId="21302"/>
    <cellStyle name="Normal 15 7 2 3 2" xfId="41185"/>
    <cellStyle name="Normal 15 7 2 4" xfId="28880"/>
    <cellStyle name="Normal 15 7 3" xfId="12084"/>
    <cellStyle name="Normal 15 7 3 2" xfId="31967"/>
    <cellStyle name="Normal 15 7 4" xfId="18236"/>
    <cellStyle name="Normal 15 7 4 2" xfId="38119"/>
    <cellStyle name="Normal 15 7 5" xfId="25814"/>
    <cellStyle name="Normal 15 8" xfId="7422"/>
    <cellStyle name="Normal 15 8 2" xfId="13616"/>
    <cellStyle name="Normal 15 8 2 2" xfId="33499"/>
    <cellStyle name="Normal 15 8 3" xfId="19768"/>
    <cellStyle name="Normal 15 8 3 2" xfId="39651"/>
    <cellStyle name="Normal 15 8 4" xfId="27346"/>
    <cellStyle name="Normal 15 9" xfId="10550"/>
    <cellStyle name="Normal 15 9 2" xfId="30433"/>
    <cellStyle name="Normal 16" xfId="3495"/>
    <cellStyle name="Normal 16 2" xfId="3496"/>
    <cellStyle name="Normal 16 2 10" xfId="23230"/>
    <cellStyle name="Normal 16 2 11" xfId="24282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2 2" xfId="35806"/>
    <cellStyle name="Normal 16 2 2 2 2 2 2 3" xfId="22075"/>
    <cellStyle name="Normal 16 2 2 2 2 2 2 3 2" xfId="41958"/>
    <cellStyle name="Normal 16 2 2 2 2 2 2 4" xfId="29653"/>
    <cellStyle name="Normal 16 2 2 2 2 2 3" xfId="12857"/>
    <cellStyle name="Normal 16 2 2 2 2 2 3 2" xfId="32740"/>
    <cellStyle name="Normal 16 2 2 2 2 2 4" xfId="19009"/>
    <cellStyle name="Normal 16 2 2 2 2 2 4 2" xfId="38892"/>
    <cellStyle name="Normal 16 2 2 2 2 2 5" xfId="26587"/>
    <cellStyle name="Normal 16 2 2 2 2 3" xfId="8195"/>
    <cellStyle name="Normal 16 2 2 2 2 3 2" xfId="14389"/>
    <cellStyle name="Normal 16 2 2 2 2 3 2 2" xfId="34272"/>
    <cellStyle name="Normal 16 2 2 2 2 3 3" xfId="20541"/>
    <cellStyle name="Normal 16 2 2 2 2 3 3 2" xfId="40424"/>
    <cellStyle name="Normal 16 2 2 2 2 3 4" xfId="28119"/>
    <cellStyle name="Normal 16 2 2 2 2 4" xfId="11323"/>
    <cellStyle name="Normal 16 2 2 2 2 4 2" xfId="31206"/>
    <cellStyle name="Normal 16 2 2 2 2 5" xfId="17475"/>
    <cellStyle name="Normal 16 2 2 2 2 5 2" xfId="37358"/>
    <cellStyle name="Normal 16 2 2 2 2 6" xfId="25053"/>
    <cellStyle name="Normal 16 2 2 2 3" xfId="5861"/>
    <cellStyle name="Normal 16 2 2 2 3 2" xfId="8961"/>
    <cellStyle name="Normal 16 2 2 2 3 2 2" xfId="15154"/>
    <cellStyle name="Normal 16 2 2 2 3 2 2 2" xfId="35037"/>
    <cellStyle name="Normal 16 2 2 2 3 2 3" xfId="21306"/>
    <cellStyle name="Normal 16 2 2 2 3 2 3 2" xfId="41189"/>
    <cellStyle name="Normal 16 2 2 2 3 2 4" xfId="28884"/>
    <cellStyle name="Normal 16 2 2 2 3 3" xfId="12088"/>
    <cellStyle name="Normal 16 2 2 2 3 3 2" xfId="31971"/>
    <cellStyle name="Normal 16 2 2 2 3 4" xfId="18240"/>
    <cellStyle name="Normal 16 2 2 2 3 4 2" xfId="38123"/>
    <cellStyle name="Normal 16 2 2 2 3 5" xfId="25818"/>
    <cellStyle name="Normal 16 2 2 2 4" xfId="7426"/>
    <cellStyle name="Normal 16 2 2 2 4 2" xfId="13620"/>
    <cellStyle name="Normal 16 2 2 2 4 2 2" xfId="33503"/>
    <cellStyle name="Normal 16 2 2 2 4 3" xfId="19772"/>
    <cellStyle name="Normal 16 2 2 2 4 3 2" xfId="39655"/>
    <cellStyle name="Normal 16 2 2 2 4 4" xfId="27350"/>
    <cellStyle name="Normal 16 2 2 2 5" xfId="10554"/>
    <cellStyle name="Normal 16 2 2 2 5 2" xfId="30437"/>
    <cellStyle name="Normal 16 2 2 2 6" xfId="16706"/>
    <cellStyle name="Normal 16 2 2 2 6 2" xfId="36589"/>
    <cellStyle name="Normal 16 2 2 2 7" xfId="24284"/>
    <cellStyle name="Normal 16 2 2 3" xfId="5018"/>
    <cellStyle name="Normal 16 2 2 3 2" xfId="6643"/>
    <cellStyle name="Normal 16 2 2 3 2 2" xfId="9729"/>
    <cellStyle name="Normal 16 2 2 3 2 2 2" xfId="15922"/>
    <cellStyle name="Normal 16 2 2 3 2 2 2 2" xfId="35805"/>
    <cellStyle name="Normal 16 2 2 3 2 2 3" xfId="22074"/>
    <cellStyle name="Normal 16 2 2 3 2 2 3 2" xfId="41957"/>
    <cellStyle name="Normal 16 2 2 3 2 2 4" xfId="29652"/>
    <cellStyle name="Normal 16 2 2 3 2 3" xfId="12856"/>
    <cellStyle name="Normal 16 2 2 3 2 3 2" xfId="32739"/>
    <cellStyle name="Normal 16 2 2 3 2 4" xfId="19008"/>
    <cellStyle name="Normal 16 2 2 3 2 4 2" xfId="38891"/>
    <cellStyle name="Normal 16 2 2 3 2 5" xfId="26586"/>
    <cellStyle name="Normal 16 2 2 3 3" xfId="8194"/>
    <cellStyle name="Normal 16 2 2 3 3 2" xfId="14388"/>
    <cellStyle name="Normal 16 2 2 3 3 2 2" xfId="34271"/>
    <cellStyle name="Normal 16 2 2 3 3 3" xfId="20540"/>
    <cellStyle name="Normal 16 2 2 3 3 3 2" xfId="40423"/>
    <cellStyle name="Normal 16 2 2 3 3 4" xfId="28118"/>
    <cellStyle name="Normal 16 2 2 3 4" xfId="11322"/>
    <cellStyle name="Normal 16 2 2 3 4 2" xfId="31205"/>
    <cellStyle name="Normal 16 2 2 3 5" xfId="17474"/>
    <cellStyle name="Normal 16 2 2 3 5 2" xfId="37357"/>
    <cellStyle name="Normal 16 2 2 3 6" xfId="25052"/>
    <cellStyle name="Normal 16 2 2 4" xfId="5860"/>
    <cellStyle name="Normal 16 2 2 4 2" xfId="8960"/>
    <cellStyle name="Normal 16 2 2 4 2 2" xfId="15153"/>
    <cellStyle name="Normal 16 2 2 4 2 2 2" xfId="35036"/>
    <cellStyle name="Normal 16 2 2 4 2 3" xfId="21305"/>
    <cellStyle name="Normal 16 2 2 4 2 3 2" xfId="41188"/>
    <cellStyle name="Normal 16 2 2 4 2 4" xfId="28883"/>
    <cellStyle name="Normal 16 2 2 4 3" xfId="12087"/>
    <cellStyle name="Normal 16 2 2 4 3 2" xfId="31970"/>
    <cellStyle name="Normal 16 2 2 4 4" xfId="18239"/>
    <cellStyle name="Normal 16 2 2 4 4 2" xfId="38122"/>
    <cellStyle name="Normal 16 2 2 4 5" xfId="25817"/>
    <cellStyle name="Normal 16 2 2 5" xfId="7425"/>
    <cellStyle name="Normal 16 2 2 5 2" xfId="13619"/>
    <cellStyle name="Normal 16 2 2 5 2 2" xfId="33502"/>
    <cellStyle name="Normal 16 2 2 5 3" xfId="19771"/>
    <cellStyle name="Normal 16 2 2 5 3 2" xfId="39654"/>
    <cellStyle name="Normal 16 2 2 5 4" xfId="27349"/>
    <cellStyle name="Normal 16 2 2 6" xfId="10553"/>
    <cellStyle name="Normal 16 2 2 6 2" xfId="30436"/>
    <cellStyle name="Normal 16 2 2 7" xfId="16705"/>
    <cellStyle name="Normal 16 2 2 7 2" xfId="36588"/>
    <cellStyle name="Normal 16 2 2 8" xfId="24283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2 2" xfId="35808"/>
    <cellStyle name="Normal 16 2 3 2 2 2 2 3" xfId="22077"/>
    <cellStyle name="Normal 16 2 3 2 2 2 2 3 2" xfId="41960"/>
    <cellStyle name="Normal 16 2 3 2 2 2 2 4" xfId="29655"/>
    <cellStyle name="Normal 16 2 3 2 2 2 3" xfId="12859"/>
    <cellStyle name="Normal 16 2 3 2 2 2 3 2" xfId="32742"/>
    <cellStyle name="Normal 16 2 3 2 2 2 4" xfId="19011"/>
    <cellStyle name="Normal 16 2 3 2 2 2 4 2" xfId="38894"/>
    <cellStyle name="Normal 16 2 3 2 2 2 5" xfId="26589"/>
    <cellStyle name="Normal 16 2 3 2 2 3" xfId="8197"/>
    <cellStyle name="Normal 16 2 3 2 2 3 2" xfId="14391"/>
    <cellStyle name="Normal 16 2 3 2 2 3 2 2" xfId="34274"/>
    <cellStyle name="Normal 16 2 3 2 2 3 3" xfId="20543"/>
    <cellStyle name="Normal 16 2 3 2 2 3 3 2" xfId="40426"/>
    <cellStyle name="Normal 16 2 3 2 2 3 4" xfId="28121"/>
    <cellStyle name="Normal 16 2 3 2 2 4" xfId="11325"/>
    <cellStyle name="Normal 16 2 3 2 2 4 2" xfId="31208"/>
    <cellStyle name="Normal 16 2 3 2 2 5" xfId="17477"/>
    <cellStyle name="Normal 16 2 3 2 2 5 2" xfId="37360"/>
    <cellStyle name="Normal 16 2 3 2 2 6" xfId="25055"/>
    <cellStyle name="Normal 16 2 3 2 3" xfId="5863"/>
    <cellStyle name="Normal 16 2 3 2 3 2" xfId="8963"/>
    <cellStyle name="Normal 16 2 3 2 3 2 2" xfId="15156"/>
    <cellStyle name="Normal 16 2 3 2 3 2 2 2" xfId="35039"/>
    <cellStyle name="Normal 16 2 3 2 3 2 3" xfId="21308"/>
    <cellStyle name="Normal 16 2 3 2 3 2 3 2" xfId="41191"/>
    <cellStyle name="Normal 16 2 3 2 3 2 4" xfId="28886"/>
    <cellStyle name="Normal 16 2 3 2 3 3" xfId="12090"/>
    <cellStyle name="Normal 16 2 3 2 3 3 2" xfId="31973"/>
    <cellStyle name="Normal 16 2 3 2 3 4" xfId="18242"/>
    <cellStyle name="Normal 16 2 3 2 3 4 2" xfId="38125"/>
    <cellStyle name="Normal 16 2 3 2 3 5" xfId="25820"/>
    <cellStyle name="Normal 16 2 3 2 4" xfId="7428"/>
    <cellStyle name="Normal 16 2 3 2 4 2" xfId="13622"/>
    <cellStyle name="Normal 16 2 3 2 4 2 2" xfId="33505"/>
    <cellStyle name="Normal 16 2 3 2 4 3" xfId="19774"/>
    <cellStyle name="Normal 16 2 3 2 4 3 2" xfId="39657"/>
    <cellStyle name="Normal 16 2 3 2 4 4" xfId="27352"/>
    <cellStyle name="Normal 16 2 3 2 5" xfId="10556"/>
    <cellStyle name="Normal 16 2 3 2 5 2" xfId="30439"/>
    <cellStyle name="Normal 16 2 3 2 6" xfId="16708"/>
    <cellStyle name="Normal 16 2 3 2 6 2" xfId="36591"/>
    <cellStyle name="Normal 16 2 3 2 7" xfId="24286"/>
    <cellStyle name="Normal 16 2 3 3" xfId="5020"/>
    <cellStyle name="Normal 16 2 3 3 2" xfId="6645"/>
    <cellStyle name="Normal 16 2 3 3 2 2" xfId="9731"/>
    <cellStyle name="Normal 16 2 3 3 2 2 2" xfId="15924"/>
    <cellStyle name="Normal 16 2 3 3 2 2 2 2" xfId="35807"/>
    <cellStyle name="Normal 16 2 3 3 2 2 3" xfId="22076"/>
    <cellStyle name="Normal 16 2 3 3 2 2 3 2" xfId="41959"/>
    <cellStyle name="Normal 16 2 3 3 2 2 4" xfId="29654"/>
    <cellStyle name="Normal 16 2 3 3 2 3" xfId="12858"/>
    <cellStyle name="Normal 16 2 3 3 2 3 2" xfId="32741"/>
    <cellStyle name="Normal 16 2 3 3 2 4" xfId="19010"/>
    <cellStyle name="Normal 16 2 3 3 2 4 2" xfId="38893"/>
    <cellStyle name="Normal 16 2 3 3 2 5" xfId="26588"/>
    <cellStyle name="Normal 16 2 3 3 3" xfId="8196"/>
    <cellStyle name="Normal 16 2 3 3 3 2" xfId="14390"/>
    <cellStyle name="Normal 16 2 3 3 3 2 2" xfId="34273"/>
    <cellStyle name="Normal 16 2 3 3 3 3" xfId="20542"/>
    <cellStyle name="Normal 16 2 3 3 3 3 2" xfId="40425"/>
    <cellStyle name="Normal 16 2 3 3 3 4" xfId="28120"/>
    <cellStyle name="Normal 16 2 3 3 4" xfId="11324"/>
    <cellStyle name="Normal 16 2 3 3 4 2" xfId="31207"/>
    <cellStyle name="Normal 16 2 3 3 5" xfId="17476"/>
    <cellStyle name="Normal 16 2 3 3 5 2" xfId="37359"/>
    <cellStyle name="Normal 16 2 3 3 6" xfId="25054"/>
    <cellStyle name="Normal 16 2 3 4" xfId="5862"/>
    <cellStyle name="Normal 16 2 3 4 2" xfId="8962"/>
    <cellStyle name="Normal 16 2 3 4 2 2" xfId="15155"/>
    <cellStyle name="Normal 16 2 3 4 2 2 2" xfId="35038"/>
    <cellStyle name="Normal 16 2 3 4 2 3" xfId="21307"/>
    <cellStyle name="Normal 16 2 3 4 2 3 2" xfId="41190"/>
    <cellStyle name="Normal 16 2 3 4 2 4" xfId="28885"/>
    <cellStyle name="Normal 16 2 3 4 3" xfId="12089"/>
    <cellStyle name="Normal 16 2 3 4 3 2" xfId="31972"/>
    <cellStyle name="Normal 16 2 3 4 4" xfId="18241"/>
    <cellStyle name="Normal 16 2 3 4 4 2" xfId="38124"/>
    <cellStyle name="Normal 16 2 3 4 5" xfId="25819"/>
    <cellStyle name="Normal 16 2 3 5" xfId="7427"/>
    <cellStyle name="Normal 16 2 3 5 2" xfId="13621"/>
    <cellStyle name="Normal 16 2 3 5 2 2" xfId="33504"/>
    <cellStyle name="Normal 16 2 3 5 3" xfId="19773"/>
    <cellStyle name="Normal 16 2 3 5 3 2" xfId="39656"/>
    <cellStyle name="Normal 16 2 3 5 4" xfId="27351"/>
    <cellStyle name="Normal 16 2 3 6" xfId="10555"/>
    <cellStyle name="Normal 16 2 3 6 2" xfId="30438"/>
    <cellStyle name="Normal 16 2 3 7" xfId="16707"/>
    <cellStyle name="Normal 16 2 3 7 2" xfId="36590"/>
    <cellStyle name="Normal 16 2 3 8" xfId="24285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2 2" xfId="35809"/>
    <cellStyle name="Normal 16 2 4 2 2 2 3" xfId="22078"/>
    <cellStyle name="Normal 16 2 4 2 2 2 3 2" xfId="41961"/>
    <cellStyle name="Normal 16 2 4 2 2 2 4" xfId="29656"/>
    <cellStyle name="Normal 16 2 4 2 2 3" xfId="12860"/>
    <cellStyle name="Normal 16 2 4 2 2 3 2" xfId="32743"/>
    <cellStyle name="Normal 16 2 4 2 2 4" xfId="19012"/>
    <cellStyle name="Normal 16 2 4 2 2 4 2" xfId="38895"/>
    <cellStyle name="Normal 16 2 4 2 2 5" xfId="26590"/>
    <cellStyle name="Normal 16 2 4 2 3" xfId="8198"/>
    <cellStyle name="Normal 16 2 4 2 3 2" xfId="14392"/>
    <cellStyle name="Normal 16 2 4 2 3 2 2" xfId="34275"/>
    <cellStyle name="Normal 16 2 4 2 3 3" xfId="20544"/>
    <cellStyle name="Normal 16 2 4 2 3 3 2" xfId="40427"/>
    <cellStyle name="Normal 16 2 4 2 3 4" xfId="28122"/>
    <cellStyle name="Normal 16 2 4 2 4" xfId="11326"/>
    <cellStyle name="Normal 16 2 4 2 4 2" xfId="31209"/>
    <cellStyle name="Normal 16 2 4 2 5" xfId="17478"/>
    <cellStyle name="Normal 16 2 4 2 5 2" xfId="37361"/>
    <cellStyle name="Normal 16 2 4 2 6" xfId="25056"/>
    <cellStyle name="Normal 16 2 4 3" xfId="5864"/>
    <cellStyle name="Normal 16 2 4 3 2" xfId="8964"/>
    <cellStyle name="Normal 16 2 4 3 2 2" xfId="15157"/>
    <cellStyle name="Normal 16 2 4 3 2 2 2" xfId="35040"/>
    <cellStyle name="Normal 16 2 4 3 2 3" xfId="21309"/>
    <cellStyle name="Normal 16 2 4 3 2 3 2" xfId="41192"/>
    <cellStyle name="Normal 16 2 4 3 2 4" xfId="28887"/>
    <cellStyle name="Normal 16 2 4 3 3" xfId="12091"/>
    <cellStyle name="Normal 16 2 4 3 3 2" xfId="31974"/>
    <cellStyle name="Normal 16 2 4 3 4" xfId="18243"/>
    <cellStyle name="Normal 16 2 4 3 4 2" xfId="38126"/>
    <cellStyle name="Normal 16 2 4 3 5" xfId="25821"/>
    <cellStyle name="Normal 16 2 4 4" xfId="7429"/>
    <cellStyle name="Normal 16 2 4 4 2" xfId="13623"/>
    <cellStyle name="Normal 16 2 4 4 2 2" xfId="33506"/>
    <cellStyle name="Normal 16 2 4 4 3" xfId="19775"/>
    <cellStyle name="Normal 16 2 4 4 3 2" xfId="39658"/>
    <cellStyle name="Normal 16 2 4 4 4" xfId="27353"/>
    <cellStyle name="Normal 16 2 4 5" xfId="10557"/>
    <cellStyle name="Normal 16 2 4 5 2" xfId="30440"/>
    <cellStyle name="Normal 16 2 4 6" xfId="16709"/>
    <cellStyle name="Normal 16 2 4 6 2" xfId="36592"/>
    <cellStyle name="Normal 16 2 4 7" xfId="24287"/>
    <cellStyle name="Normal 16 2 5" xfId="5017"/>
    <cellStyle name="Normal 16 2 5 2" xfId="6642"/>
    <cellStyle name="Normal 16 2 5 2 2" xfId="9728"/>
    <cellStyle name="Normal 16 2 5 2 2 2" xfId="15921"/>
    <cellStyle name="Normal 16 2 5 2 2 2 2" xfId="35804"/>
    <cellStyle name="Normal 16 2 5 2 2 3" xfId="22073"/>
    <cellStyle name="Normal 16 2 5 2 2 3 2" xfId="41956"/>
    <cellStyle name="Normal 16 2 5 2 2 4" xfId="29651"/>
    <cellStyle name="Normal 16 2 5 2 3" xfId="12855"/>
    <cellStyle name="Normal 16 2 5 2 3 2" xfId="32738"/>
    <cellStyle name="Normal 16 2 5 2 4" xfId="19007"/>
    <cellStyle name="Normal 16 2 5 2 4 2" xfId="38890"/>
    <cellStyle name="Normal 16 2 5 2 5" xfId="26585"/>
    <cellStyle name="Normal 16 2 5 3" xfId="8193"/>
    <cellStyle name="Normal 16 2 5 3 2" xfId="14387"/>
    <cellStyle name="Normal 16 2 5 3 2 2" xfId="34270"/>
    <cellStyle name="Normal 16 2 5 3 3" xfId="20539"/>
    <cellStyle name="Normal 16 2 5 3 3 2" xfId="40422"/>
    <cellStyle name="Normal 16 2 5 3 4" xfId="28117"/>
    <cellStyle name="Normal 16 2 5 4" xfId="11321"/>
    <cellStyle name="Normal 16 2 5 4 2" xfId="31204"/>
    <cellStyle name="Normal 16 2 5 5" xfId="17473"/>
    <cellStyle name="Normal 16 2 5 5 2" xfId="37356"/>
    <cellStyle name="Normal 16 2 5 6" xfId="25051"/>
    <cellStyle name="Normal 16 2 6" xfId="5859"/>
    <cellStyle name="Normal 16 2 6 2" xfId="8959"/>
    <cellStyle name="Normal 16 2 6 2 2" xfId="15152"/>
    <cellStyle name="Normal 16 2 6 2 2 2" xfId="35035"/>
    <cellStyle name="Normal 16 2 6 2 3" xfId="21304"/>
    <cellStyle name="Normal 16 2 6 2 3 2" xfId="41187"/>
    <cellStyle name="Normal 16 2 6 2 4" xfId="28882"/>
    <cellStyle name="Normal 16 2 6 3" xfId="12086"/>
    <cellStyle name="Normal 16 2 6 3 2" xfId="31969"/>
    <cellStyle name="Normal 16 2 6 4" xfId="18238"/>
    <cellStyle name="Normal 16 2 6 4 2" xfId="38121"/>
    <cellStyle name="Normal 16 2 6 5" xfId="25816"/>
    <cellStyle name="Normal 16 2 7" xfId="7424"/>
    <cellStyle name="Normal 16 2 7 2" xfId="13618"/>
    <cellStyle name="Normal 16 2 7 2 2" xfId="33501"/>
    <cellStyle name="Normal 16 2 7 3" xfId="19770"/>
    <cellStyle name="Normal 16 2 7 3 2" xfId="39653"/>
    <cellStyle name="Normal 16 2 7 4" xfId="27348"/>
    <cellStyle name="Normal 16 2 8" xfId="10552"/>
    <cellStyle name="Normal 16 2 8 2" xfId="30435"/>
    <cellStyle name="Normal 16 2 9" xfId="16704"/>
    <cellStyle name="Normal 16 2 9 2" xfId="36587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2 2" xfId="35811"/>
    <cellStyle name="Normal 16 3 2 2 2 2 3" xfId="22080"/>
    <cellStyle name="Normal 16 3 2 2 2 2 3 2" xfId="41963"/>
    <cellStyle name="Normal 16 3 2 2 2 2 4" xfId="29658"/>
    <cellStyle name="Normal 16 3 2 2 2 3" xfId="12862"/>
    <cellStyle name="Normal 16 3 2 2 2 3 2" xfId="32745"/>
    <cellStyle name="Normal 16 3 2 2 2 4" xfId="19014"/>
    <cellStyle name="Normal 16 3 2 2 2 4 2" xfId="38897"/>
    <cellStyle name="Normal 16 3 2 2 2 5" xfId="26592"/>
    <cellStyle name="Normal 16 3 2 2 3" xfId="8200"/>
    <cellStyle name="Normal 16 3 2 2 3 2" xfId="14394"/>
    <cellStyle name="Normal 16 3 2 2 3 2 2" xfId="34277"/>
    <cellStyle name="Normal 16 3 2 2 3 3" xfId="20546"/>
    <cellStyle name="Normal 16 3 2 2 3 3 2" xfId="40429"/>
    <cellStyle name="Normal 16 3 2 2 3 4" xfId="28124"/>
    <cellStyle name="Normal 16 3 2 2 4" xfId="11328"/>
    <cellStyle name="Normal 16 3 2 2 4 2" xfId="31211"/>
    <cellStyle name="Normal 16 3 2 2 5" xfId="17480"/>
    <cellStyle name="Normal 16 3 2 2 5 2" xfId="37363"/>
    <cellStyle name="Normal 16 3 2 2 6" xfId="25058"/>
    <cellStyle name="Normal 16 3 2 3" xfId="5866"/>
    <cellStyle name="Normal 16 3 2 3 2" xfId="8966"/>
    <cellStyle name="Normal 16 3 2 3 2 2" xfId="15159"/>
    <cellStyle name="Normal 16 3 2 3 2 2 2" xfId="35042"/>
    <cellStyle name="Normal 16 3 2 3 2 3" xfId="21311"/>
    <cellStyle name="Normal 16 3 2 3 2 3 2" xfId="41194"/>
    <cellStyle name="Normal 16 3 2 3 2 4" xfId="28889"/>
    <cellStyle name="Normal 16 3 2 3 3" xfId="12093"/>
    <cellStyle name="Normal 16 3 2 3 3 2" xfId="31976"/>
    <cellStyle name="Normal 16 3 2 3 4" xfId="18245"/>
    <cellStyle name="Normal 16 3 2 3 4 2" xfId="38128"/>
    <cellStyle name="Normal 16 3 2 3 5" xfId="25823"/>
    <cellStyle name="Normal 16 3 2 4" xfId="7431"/>
    <cellStyle name="Normal 16 3 2 4 2" xfId="13625"/>
    <cellStyle name="Normal 16 3 2 4 2 2" xfId="33508"/>
    <cellStyle name="Normal 16 3 2 4 3" xfId="19777"/>
    <cellStyle name="Normal 16 3 2 4 3 2" xfId="39660"/>
    <cellStyle name="Normal 16 3 2 4 4" xfId="27355"/>
    <cellStyle name="Normal 16 3 2 5" xfId="10559"/>
    <cellStyle name="Normal 16 3 2 5 2" xfId="30442"/>
    <cellStyle name="Normal 16 3 2 6" xfId="16711"/>
    <cellStyle name="Normal 16 3 2 6 2" xfId="36594"/>
    <cellStyle name="Normal 16 3 2 7" xfId="24289"/>
    <cellStyle name="Normal 16 3 3" xfId="5023"/>
    <cellStyle name="Normal 16 3 3 2" xfId="6648"/>
    <cellStyle name="Normal 16 3 3 2 2" xfId="9734"/>
    <cellStyle name="Normal 16 3 3 2 2 2" xfId="15927"/>
    <cellStyle name="Normal 16 3 3 2 2 2 2" xfId="35810"/>
    <cellStyle name="Normal 16 3 3 2 2 3" xfId="22079"/>
    <cellStyle name="Normal 16 3 3 2 2 3 2" xfId="41962"/>
    <cellStyle name="Normal 16 3 3 2 2 4" xfId="29657"/>
    <cellStyle name="Normal 16 3 3 2 3" xfId="12861"/>
    <cellStyle name="Normal 16 3 3 2 3 2" xfId="32744"/>
    <cellStyle name="Normal 16 3 3 2 4" xfId="19013"/>
    <cellStyle name="Normal 16 3 3 2 4 2" xfId="38896"/>
    <cellStyle name="Normal 16 3 3 2 5" xfId="26591"/>
    <cellStyle name="Normal 16 3 3 3" xfId="8199"/>
    <cellStyle name="Normal 16 3 3 3 2" xfId="14393"/>
    <cellStyle name="Normal 16 3 3 3 2 2" xfId="34276"/>
    <cellStyle name="Normal 16 3 3 3 3" xfId="20545"/>
    <cellStyle name="Normal 16 3 3 3 3 2" xfId="40428"/>
    <cellStyle name="Normal 16 3 3 3 4" xfId="28123"/>
    <cellStyle name="Normal 16 3 3 4" xfId="11327"/>
    <cellStyle name="Normal 16 3 3 4 2" xfId="31210"/>
    <cellStyle name="Normal 16 3 3 5" xfId="17479"/>
    <cellStyle name="Normal 16 3 3 5 2" xfId="37362"/>
    <cellStyle name="Normal 16 3 3 6" xfId="25057"/>
    <cellStyle name="Normal 16 3 4" xfId="5865"/>
    <cellStyle name="Normal 16 3 4 2" xfId="8965"/>
    <cellStyle name="Normal 16 3 4 2 2" xfId="15158"/>
    <cellStyle name="Normal 16 3 4 2 2 2" xfId="35041"/>
    <cellStyle name="Normal 16 3 4 2 3" xfId="21310"/>
    <cellStyle name="Normal 16 3 4 2 3 2" xfId="41193"/>
    <cellStyle name="Normal 16 3 4 2 4" xfId="28888"/>
    <cellStyle name="Normal 16 3 4 3" xfId="12092"/>
    <cellStyle name="Normal 16 3 4 3 2" xfId="31975"/>
    <cellStyle name="Normal 16 3 4 4" xfId="18244"/>
    <cellStyle name="Normal 16 3 4 4 2" xfId="38127"/>
    <cellStyle name="Normal 16 3 4 5" xfId="25822"/>
    <cellStyle name="Normal 16 3 5" xfId="7430"/>
    <cellStyle name="Normal 16 3 5 2" xfId="13624"/>
    <cellStyle name="Normal 16 3 5 2 2" xfId="33507"/>
    <cellStyle name="Normal 16 3 5 3" xfId="19776"/>
    <cellStyle name="Normal 16 3 5 3 2" xfId="39659"/>
    <cellStyle name="Normal 16 3 5 4" xfId="27354"/>
    <cellStyle name="Normal 16 3 6" xfId="10558"/>
    <cellStyle name="Normal 16 3 6 2" xfId="30441"/>
    <cellStyle name="Normal 16 3 7" xfId="16710"/>
    <cellStyle name="Normal 16 3 7 2" xfId="36593"/>
    <cellStyle name="Normal 16 3 8" xfId="24288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2 2" xfId="35813"/>
    <cellStyle name="Normal 16 4 2 2 2 2 3" xfId="22082"/>
    <cellStyle name="Normal 16 4 2 2 2 2 3 2" xfId="41965"/>
    <cellStyle name="Normal 16 4 2 2 2 2 4" xfId="29660"/>
    <cellStyle name="Normal 16 4 2 2 2 3" xfId="12864"/>
    <cellStyle name="Normal 16 4 2 2 2 3 2" xfId="32747"/>
    <cellStyle name="Normal 16 4 2 2 2 4" xfId="19016"/>
    <cellStyle name="Normal 16 4 2 2 2 4 2" xfId="38899"/>
    <cellStyle name="Normal 16 4 2 2 2 5" xfId="26594"/>
    <cellStyle name="Normal 16 4 2 2 3" xfId="8202"/>
    <cellStyle name="Normal 16 4 2 2 3 2" xfId="14396"/>
    <cellStyle name="Normal 16 4 2 2 3 2 2" xfId="34279"/>
    <cellStyle name="Normal 16 4 2 2 3 3" xfId="20548"/>
    <cellStyle name="Normal 16 4 2 2 3 3 2" xfId="40431"/>
    <cellStyle name="Normal 16 4 2 2 3 4" xfId="28126"/>
    <cellStyle name="Normal 16 4 2 2 4" xfId="11330"/>
    <cellStyle name="Normal 16 4 2 2 4 2" xfId="31213"/>
    <cellStyle name="Normal 16 4 2 2 5" xfId="17482"/>
    <cellStyle name="Normal 16 4 2 2 5 2" xfId="37365"/>
    <cellStyle name="Normal 16 4 2 2 6" xfId="25060"/>
    <cellStyle name="Normal 16 4 2 3" xfId="5868"/>
    <cellStyle name="Normal 16 4 2 3 2" xfId="8968"/>
    <cellStyle name="Normal 16 4 2 3 2 2" xfId="15161"/>
    <cellStyle name="Normal 16 4 2 3 2 2 2" xfId="35044"/>
    <cellStyle name="Normal 16 4 2 3 2 3" xfId="21313"/>
    <cellStyle name="Normal 16 4 2 3 2 3 2" xfId="41196"/>
    <cellStyle name="Normal 16 4 2 3 2 4" xfId="28891"/>
    <cellStyle name="Normal 16 4 2 3 3" xfId="12095"/>
    <cellStyle name="Normal 16 4 2 3 3 2" xfId="31978"/>
    <cellStyle name="Normal 16 4 2 3 4" xfId="18247"/>
    <cellStyle name="Normal 16 4 2 3 4 2" xfId="38130"/>
    <cellStyle name="Normal 16 4 2 3 5" xfId="25825"/>
    <cellStyle name="Normal 16 4 2 4" xfId="7433"/>
    <cellStyle name="Normal 16 4 2 4 2" xfId="13627"/>
    <cellStyle name="Normal 16 4 2 4 2 2" xfId="33510"/>
    <cellStyle name="Normal 16 4 2 4 3" xfId="19779"/>
    <cellStyle name="Normal 16 4 2 4 3 2" xfId="39662"/>
    <cellStyle name="Normal 16 4 2 4 4" xfId="27357"/>
    <cellStyle name="Normal 16 4 2 5" xfId="10561"/>
    <cellStyle name="Normal 16 4 2 5 2" xfId="30444"/>
    <cellStyle name="Normal 16 4 2 6" xfId="16713"/>
    <cellStyle name="Normal 16 4 2 6 2" xfId="36596"/>
    <cellStyle name="Normal 16 4 2 7" xfId="24291"/>
    <cellStyle name="Normal 16 4 3" xfId="5025"/>
    <cellStyle name="Normal 16 4 3 2" xfId="6650"/>
    <cellStyle name="Normal 16 4 3 2 2" xfId="9736"/>
    <cellStyle name="Normal 16 4 3 2 2 2" xfId="15929"/>
    <cellStyle name="Normal 16 4 3 2 2 2 2" xfId="35812"/>
    <cellStyle name="Normal 16 4 3 2 2 3" xfId="22081"/>
    <cellStyle name="Normal 16 4 3 2 2 3 2" xfId="41964"/>
    <cellStyle name="Normal 16 4 3 2 2 4" xfId="29659"/>
    <cellStyle name="Normal 16 4 3 2 3" xfId="12863"/>
    <cellStyle name="Normal 16 4 3 2 3 2" xfId="32746"/>
    <cellStyle name="Normal 16 4 3 2 4" xfId="19015"/>
    <cellStyle name="Normal 16 4 3 2 4 2" xfId="38898"/>
    <cellStyle name="Normal 16 4 3 2 5" xfId="26593"/>
    <cellStyle name="Normal 16 4 3 3" xfId="8201"/>
    <cellStyle name="Normal 16 4 3 3 2" xfId="14395"/>
    <cellStyle name="Normal 16 4 3 3 2 2" xfId="34278"/>
    <cellStyle name="Normal 16 4 3 3 3" xfId="20547"/>
    <cellStyle name="Normal 16 4 3 3 3 2" xfId="40430"/>
    <cellStyle name="Normal 16 4 3 3 4" xfId="28125"/>
    <cellStyle name="Normal 16 4 3 4" xfId="11329"/>
    <cellStyle name="Normal 16 4 3 4 2" xfId="31212"/>
    <cellStyle name="Normal 16 4 3 5" xfId="17481"/>
    <cellStyle name="Normal 16 4 3 5 2" xfId="37364"/>
    <cellStyle name="Normal 16 4 3 6" xfId="25059"/>
    <cellStyle name="Normal 16 4 4" xfId="5867"/>
    <cellStyle name="Normal 16 4 4 2" xfId="8967"/>
    <cellStyle name="Normal 16 4 4 2 2" xfId="15160"/>
    <cellStyle name="Normal 16 4 4 2 2 2" xfId="35043"/>
    <cellStyle name="Normal 16 4 4 2 3" xfId="21312"/>
    <cellStyle name="Normal 16 4 4 2 3 2" xfId="41195"/>
    <cellStyle name="Normal 16 4 4 2 4" xfId="28890"/>
    <cellStyle name="Normal 16 4 4 3" xfId="12094"/>
    <cellStyle name="Normal 16 4 4 3 2" xfId="31977"/>
    <cellStyle name="Normal 16 4 4 4" xfId="18246"/>
    <cellStyle name="Normal 16 4 4 4 2" xfId="38129"/>
    <cellStyle name="Normal 16 4 4 5" xfId="25824"/>
    <cellStyle name="Normal 16 4 5" xfId="7432"/>
    <cellStyle name="Normal 16 4 5 2" xfId="13626"/>
    <cellStyle name="Normal 16 4 5 2 2" xfId="33509"/>
    <cellStyle name="Normal 16 4 5 3" xfId="19778"/>
    <cellStyle name="Normal 16 4 5 3 2" xfId="39661"/>
    <cellStyle name="Normal 16 4 5 4" xfId="27356"/>
    <cellStyle name="Normal 16 4 6" xfId="10560"/>
    <cellStyle name="Normal 16 4 6 2" xfId="30443"/>
    <cellStyle name="Normal 16 4 7" xfId="16712"/>
    <cellStyle name="Normal 16 4 7 2" xfId="36595"/>
    <cellStyle name="Normal 16 4 8" xfId="24290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2 2" xfId="35814"/>
    <cellStyle name="Normal 16 5 2 2 2 2 3" xfId="22083"/>
    <cellStyle name="Normal 16 5 2 2 2 2 3 2" xfId="41966"/>
    <cellStyle name="Normal 16 5 2 2 2 2 4" xfId="29661"/>
    <cellStyle name="Normal 16 5 2 2 2 3" xfId="12865"/>
    <cellStyle name="Normal 16 5 2 2 2 3 2" xfId="32748"/>
    <cellStyle name="Normal 16 5 2 2 2 4" xfId="19017"/>
    <cellStyle name="Normal 16 5 2 2 2 4 2" xfId="38900"/>
    <cellStyle name="Normal 16 5 2 2 2 5" xfId="26595"/>
    <cellStyle name="Normal 16 5 2 2 3" xfId="8203"/>
    <cellStyle name="Normal 16 5 2 2 3 2" xfId="14397"/>
    <cellStyle name="Normal 16 5 2 2 3 2 2" xfId="34280"/>
    <cellStyle name="Normal 16 5 2 2 3 3" xfId="20549"/>
    <cellStyle name="Normal 16 5 2 2 3 3 2" xfId="40432"/>
    <cellStyle name="Normal 16 5 2 2 3 4" xfId="28127"/>
    <cellStyle name="Normal 16 5 2 2 4" xfId="11331"/>
    <cellStyle name="Normal 16 5 2 2 4 2" xfId="31214"/>
    <cellStyle name="Normal 16 5 2 2 5" xfId="17483"/>
    <cellStyle name="Normal 16 5 2 2 5 2" xfId="37366"/>
    <cellStyle name="Normal 16 5 2 2 6" xfId="25061"/>
    <cellStyle name="Normal 16 5 2 3" xfId="5869"/>
    <cellStyle name="Normal 16 5 2 3 2" xfId="8969"/>
    <cellStyle name="Normal 16 5 2 3 2 2" xfId="15162"/>
    <cellStyle name="Normal 16 5 2 3 2 2 2" xfId="35045"/>
    <cellStyle name="Normal 16 5 2 3 2 3" xfId="21314"/>
    <cellStyle name="Normal 16 5 2 3 2 3 2" xfId="41197"/>
    <cellStyle name="Normal 16 5 2 3 2 4" xfId="28892"/>
    <cellStyle name="Normal 16 5 2 3 3" xfId="12096"/>
    <cellStyle name="Normal 16 5 2 3 3 2" xfId="31979"/>
    <cellStyle name="Normal 16 5 2 3 4" xfId="18248"/>
    <cellStyle name="Normal 16 5 2 3 4 2" xfId="38131"/>
    <cellStyle name="Normal 16 5 2 3 5" xfId="25826"/>
    <cellStyle name="Normal 16 5 2 4" xfId="7434"/>
    <cellStyle name="Normal 16 5 2 4 2" xfId="13628"/>
    <cellStyle name="Normal 16 5 2 4 2 2" xfId="33511"/>
    <cellStyle name="Normal 16 5 2 4 3" xfId="19780"/>
    <cellStyle name="Normal 16 5 2 4 3 2" xfId="39663"/>
    <cellStyle name="Normal 16 5 2 4 4" xfId="27358"/>
    <cellStyle name="Normal 16 5 2 5" xfId="10562"/>
    <cellStyle name="Normal 16 5 2 5 2" xfId="30445"/>
    <cellStyle name="Normal 16 5 2 6" xfId="16714"/>
    <cellStyle name="Normal 16 5 2 6 2" xfId="36597"/>
    <cellStyle name="Normal 16 5 2 7" xfId="24292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2 2" xfId="35815"/>
    <cellStyle name="Normal 16 6 2 2 2 3" xfId="22084"/>
    <cellStyle name="Normal 16 6 2 2 2 3 2" xfId="41967"/>
    <cellStyle name="Normal 16 6 2 2 2 4" xfId="29662"/>
    <cellStyle name="Normal 16 6 2 2 3" xfId="12866"/>
    <cellStyle name="Normal 16 6 2 2 3 2" xfId="32749"/>
    <cellStyle name="Normal 16 6 2 2 4" xfId="19018"/>
    <cellStyle name="Normal 16 6 2 2 4 2" xfId="38901"/>
    <cellStyle name="Normal 16 6 2 2 5" xfId="26596"/>
    <cellStyle name="Normal 16 6 2 3" xfId="8204"/>
    <cellStyle name="Normal 16 6 2 3 2" xfId="14398"/>
    <cellStyle name="Normal 16 6 2 3 2 2" xfId="34281"/>
    <cellStyle name="Normal 16 6 2 3 3" xfId="20550"/>
    <cellStyle name="Normal 16 6 2 3 3 2" xfId="40433"/>
    <cellStyle name="Normal 16 6 2 3 4" xfId="28128"/>
    <cellStyle name="Normal 16 6 2 4" xfId="11332"/>
    <cellStyle name="Normal 16 6 2 4 2" xfId="31215"/>
    <cellStyle name="Normal 16 6 2 5" xfId="17484"/>
    <cellStyle name="Normal 16 6 2 5 2" xfId="37367"/>
    <cellStyle name="Normal 16 6 2 6" xfId="25062"/>
    <cellStyle name="Normal 16 6 3" xfId="5870"/>
    <cellStyle name="Normal 16 6 3 2" xfId="8970"/>
    <cellStyle name="Normal 16 6 3 2 2" xfId="15163"/>
    <cellStyle name="Normal 16 6 3 2 2 2" xfId="35046"/>
    <cellStyle name="Normal 16 6 3 2 3" xfId="21315"/>
    <cellStyle name="Normal 16 6 3 2 3 2" xfId="41198"/>
    <cellStyle name="Normal 16 6 3 2 4" xfId="28893"/>
    <cellStyle name="Normal 16 6 3 3" xfId="12097"/>
    <cellStyle name="Normal 16 6 3 3 2" xfId="31980"/>
    <cellStyle name="Normal 16 6 3 4" xfId="18249"/>
    <cellStyle name="Normal 16 6 3 4 2" xfId="38132"/>
    <cellStyle name="Normal 16 6 3 5" xfId="25827"/>
    <cellStyle name="Normal 16 6 4" xfId="7435"/>
    <cellStyle name="Normal 16 6 4 2" xfId="13629"/>
    <cellStyle name="Normal 16 6 4 2 2" xfId="33512"/>
    <cellStyle name="Normal 16 6 4 3" xfId="19781"/>
    <cellStyle name="Normal 16 6 4 3 2" xfId="39664"/>
    <cellStyle name="Normal 16 6 4 4" xfId="27359"/>
    <cellStyle name="Normal 16 6 5" xfId="10563"/>
    <cellStyle name="Normal 16 6 5 2" xfId="30446"/>
    <cellStyle name="Normal 16 6 6" xfId="16715"/>
    <cellStyle name="Normal 16 6 6 2" xfId="36598"/>
    <cellStyle name="Normal 16 6 7" xfId="24293"/>
    <cellStyle name="Normal 16 7" xfId="23229"/>
    <cellStyle name="Normal 16 7 2" xfId="43005"/>
    <cellStyle name="Normal 17" xfId="362"/>
    <cellStyle name="Normal 17 2" xfId="3509"/>
    <cellStyle name="Normal 17 2 10" xfId="23231"/>
    <cellStyle name="Normal 17 2 11" xfId="24294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2 2" xfId="35818"/>
    <cellStyle name="Normal 17 2 2 2 2 2 2 3" xfId="22087"/>
    <cellStyle name="Normal 17 2 2 2 2 2 2 3 2" xfId="41970"/>
    <cellStyle name="Normal 17 2 2 2 2 2 2 4" xfId="29665"/>
    <cellStyle name="Normal 17 2 2 2 2 2 3" xfId="12869"/>
    <cellStyle name="Normal 17 2 2 2 2 2 3 2" xfId="32752"/>
    <cellStyle name="Normal 17 2 2 2 2 2 4" xfId="19021"/>
    <cellStyle name="Normal 17 2 2 2 2 2 4 2" xfId="38904"/>
    <cellStyle name="Normal 17 2 2 2 2 2 5" xfId="26599"/>
    <cellStyle name="Normal 17 2 2 2 2 3" xfId="8207"/>
    <cellStyle name="Normal 17 2 2 2 2 3 2" xfId="14401"/>
    <cellStyle name="Normal 17 2 2 2 2 3 2 2" xfId="34284"/>
    <cellStyle name="Normal 17 2 2 2 2 3 3" xfId="20553"/>
    <cellStyle name="Normal 17 2 2 2 2 3 3 2" xfId="40436"/>
    <cellStyle name="Normal 17 2 2 2 2 3 4" xfId="28131"/>
    <cellStyle name="Normal 17 2 2 2 2 4" xfId="11335"/>
    <cellStyle name="Normal 17 2 2 2 2 4 2" xfId="31218"/>
    <cellStyle name="Normal 17 2 2 2 2 5" xfId="17487"/>
    <cellStyle name="Normal 17 2 2 2 2 5 2" xfId="37370"/>
    <cellStyle name="Normal 17 2 2 2 2 6" xfId="25065"/>
    <cellStyle name="Normal 17 2 2 2 3" xfId="5873"/>
    <cellStyle name="Normal 17 2 2 2 3 2" xfId="8973"/>
    <cellStyle name="Normal 17 2 2 2 3 2 2" xfId="15166"/>
    <cellStyle name="Normal 17 2 2 2 3 2 2 2" xfId="35049"/>
    <cellStyle name="Normal 17 2 2 2 3 2 3" xfId="21318"/>
    <cellStyle name="Normal 17 2 2 2 3 2 3 2" xfId="41201"/>
    <cellStyle name="Normal 17 2 2 2 3 2 4" xfId="28896"/>
    <cellStyle name="Normal 17 2 2 2 3 3" xfId="12100"/>
    <cellStyle name="Normal 17 2 2 2 3 3 2" xfId="31983"/>
    <cellStyle name="Normal 17 2 2 2 3 4" xfId="18252"/>
    <cellStyle name="Normal 17 2 2 2 3 4 2" xfId="38135"/>
    <cellStyle name="Normal 17 2 2 2 3 5" xfId="25830"/>
    <cellStyle name="Normal 17 2 2 2 4" xfId="7438"/>
    <cellStyle name="Normal 17 2 2 2 4 2" xfId="13632"/>
    <cellStyle name="Normal 17 2 2 2 4 2 2" xfId="33515"/>
    <cellStyle name="Normal 17 2 2 2 4 3" xfId="19784"/>
    <cellStyle name="Normal 17 2 2 2 4 3 2" xfId="39667"/>
    <cellStyle name="Normal 17 2 2 2 4 4" xfId="27362"/>
    <cellStyle name="Normal 17 2 2 2 5" xfId="10566"/>
    <cellStyle name="Normal 17 2 2 2 5 2" xfId="30449"/>
    <cellStyle name="Normal 17 2 2 2 6" xfId="16718"/>
    <cellStyle name="Normal 17 2 2 2 6 2" xfId="36601"/>
    <cellStyle name="Normal 17 2 2 2 7" xfId="24296"/>
    <cellStyle name="Normal 17 2 2 3" xfId="5030"/>
    <cellStyle name="Normal 17 2 2 3 2" xfId="6655"/>
    <cellStyle name="Normal 17 2 2 3 2 2" xfId="9741"/>
    <cellStyle name="Normal 17 2 2 3 2 2 2" xfId="15934"/>
    <cellStyle name="Normal 17 2 2 3 2 2 2 2" xfId="35817"/>
    <cellStyle name="Normal 17 2 2 3 2 2 3" xfId="22086"/>
    <cellStyle name="Normal 17 2 2 3 2 2 3 2" xfId="41969"/>
    <cellStyle name="Normal 17 2 2 3 2 2 4" xfId="29664"/>
    <cellStyle name="Normal 17 2 2 3 2 3" xfId="12868"/>
    <cellStyle name="Normal 17 2 2 3 2 3 2" xfId="32751"/>
    <cellStyle name="Normal 17 2 2 3 2 4" xfId="19020"/>
    <cellStyle name="Normal 17 2 2 3 2 4 2" xfId="38903"/>
    <cellStyle name="Normal 17 2 2 3 2 5" xfId="26598"/>
    <cellStyle name="Normal 17 2 2 3 3" xfId="8206"/>
    <cellStyle name="Normal 17 2 2 3 3 2" xfId="14400"/>
    <cellStyle name="Normal 17 2 2 3 3 2 2" xfId="34283"/>
    <cellStyle name="Normal 17 2 2 3 3 3" xfId="20552"/>
    <cellStyle name="Normal 17 2 2 3 3 3 2" xfId="40435"/>
    <cellStyle name="Normal 17 2 2 3 3 4" xfId="28130"/>
    <cellStyle name="Normal 17 2 2 3 4" xfId="11334"/>
    <cellStyle name="Normal 17 2 2 3 4 2" xfId="31217"/>
    <cellStyle name="Normal 17 2 2 3 5" xfId="17486"/>
    <cellStyle name="Normal 17 2 2 3 5 2" xfId="37369"/>
    <cellStyle name="Normal 17 2 2 3 6" xfId="25064"/>
    <cellStyle name="Normal 17 2 2 4" xfId="5872"/>
    <cellStyle name="Normal 17 2 2 4 2" xfId="8972"/>
    <cellStyle name="Normal 17 2 2 4 2 2" xfId="15165"/>
    <cellStyle name="Normal 17 2 2 4 2 2 2" xfId="35048"/>
    <cellStyle name="Normal 17 2 2 4 2 3" xfId="21317"/>
    <cellStyle name="Normal 17 2 2 4 2 3 2" xfId="41200"/>
    <cellStyle name="Normal 17 2 2 4 2 4" xfId="28895"/>
    <cellStyle name="Normal 17 2 2 4 3" xfId="12099"/>
    <cellStyle name="Normal 17 2 2 4 3 2" xfId="31982"/>
    <cellStyle name="Normal 17 2 2 4 4" xfId="18251"/>
    <cellStyle name="Normal 17 2 2 4 4 2" xfId="38134"/>
    <cellStyle name="Normal 17 2 2 4 5" xfId="25829"/>
    <cellStyle name="Normal 17 2 2 5" xfId="7437"/>
    <cellStyle name="Normal 17 2 2 5 2" xfId="13631"/>
    <cellStyle name="Normal 17 2 2 5 2 2" xfId="33514"/>
    <cellStyle name="Normal 17 2 2 5 3" xfId="19783"/>
    <cellStyle name="Normal 17 2 2 5 3 2" xfId="39666"/>
    <cellStyle name="Normal 17 2 2 5 4" xfId="27361"/>
    <cellStyle name="Normal 17 2 2 6" xfId="10565"/>
    <cellStyle name="Normal 17 2 2 6 2" xfId="30448"/>
    <cellStyle name="Normal 17 2 2 7" xfId="16717"/>
    <cellStyle name="Normal 17 2 2 7 2" xfId="36600"/>
    <cellStyle name="Normal 17 2 2 8" xfId="24295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2 2" xfId="35820"/>
    <cellStyle name="Normal 17 2 3 2 2 2 2 3" xfId="22089"/>
    <cellStyle name="Normal 17 2 3 2 2 2 2 3 2" xfId="41972"/>
    <cellStyle name="Normal 17 2 3 2 2 2 2 4" xfId="29667"/>
    <cellStyle name="Normal 17 2 3 2 2 2 3" xfId="12871"/>
    <cellStyle name="Normal 17 2 3 2 2 2 3 2" xfId="32754"/>
    <cellStyle name="Normal 17 2 3 2 2 2 4" xfId="19023"/>
    <cellStyle name="Normal 17 2 3 2 2 2 4 2" xfId="38906"/>
    <cellStyle name="Normal 17 2 3 2 2 2 5" xfId="26601"/>
    <cellStyle name="Normal 17 2 3 2 2 3" xfId="8209"/>
    <cellStyle name="Normal 17 2 3 2 2 3 2" xfId="14403"/>
    <cellStyle name="Normal 17 2 3 2 2 3 2 2" xfId="34286"/>
    <cellStyle name="Normal 17 2 3 2 2 3 3" xfId="20555"/>
    <cellStyle name="Normal 17 2 3 2 2 3 3 2" xfId="40438"/>
    <cellStyle name="Normal 17 2 3 2 2 3 4" xfId="28133"/>
    <cellStyle name="Normal 17 2 3 2 2 4" xfId="11337"/>
    <cellStyle name="Normal 17 2 3 2 2 4 2" xfId="31220"/>
    <cellStyle name="Normal 17 2 3 2 2 5" xfId="17489"/>
    <cellStyle name="Normal 17 2 3 2 2 5 2" xfId="37372"/>
    <cellStyle name="Normal 17 2 3 2 2 6" xfId="25067"/>
    <cellStyle name="Normal 17 2 3 2 3" xfId="5875"/>
    <cellStyle name="Normal 17 2 3 2 3 2" xfId="8975"/>
    <cellStyle name="Normal 17 2 3 2 3 2 2" xfId="15168"/>
    <cellStyle name="Normal 17 2 3 2 3 2 2 2" xfId="35051"/>
    <cellStyle name="Normal 17 2 3 2 3 2 3" xfId="21320"/>
    <cellStyle name="Normal 17 2 3 2 3 2 3 2" xfId="41203"/>
    <cellStyle name="Normal 17 2 3 2 3 2 4" xfId="28898"/>
    <cellStyle name="Normal 17 2 3 2 3 3" xfId="12102"/>
    <cellStyle name="Normal 17 2 3 2 3 3 2" xfId="31985"/>
    <cellStyle name="Normal 17 2 3 2 3 4" xfId="18254"/>
    <cellStyle name="Normal 17 2 3 2 3 4 2" xfId="38137"/>
    <cellStyle name="Normal 17 2 3 2 3 5" xfId="25832"/>
    <cellStyle name="Normal 17 2 3 2 4" xfId="7440"/>
    <cellStyle name="Normal 17 2 3 2 4 2" xfId="13634"/>
    <cellStyle name="Normal 17 2 3 2 4 2 2" xfId="33517"/>
    <cellStyle name="Normal 17 2 3 2 4 3" xfId="19786"/>
    <cellStyle name="Normal 17 2 3 2 4 3 2" xfId="39669"/>
    <cellStyle name="Normal 17 2 3 2 4 4" xfId="27364"/>
    <cellStyle name="Normal 17 2 3 2 5" xfId="10568"/>
    <cellStyle name="Normal 17 2 3 2 5 2" xfId="30451"/>
    <cellStyle name="Normal 17 2 3 2 6" xfId="16720"/>
    <cellStyle name="Normal 17 2 3 2 6 2" xfId="36603"/>
    <cellStyle name="Normal 17 2 3 2 7" xfId="24298"/>
    <cellStyle name="Normal 17 2 3 3" xfId="5032"/>
    <cellStyle name="Normal 17 2 3 3 2" xfId="6657"/>
    <cellStyle name="Normal 17 2 3 3 2 2" xfId="9743"/>
    <cellStyle name="Normal 17 2 3 3 2 2 2" xfId="15936"/>
    <cellStyle name="Normal 17 2 3 3 2 2 2 2" xfId="35819"/>
    <cellStyle name="Normal 17 2 3 3 2 2 3" xfId="22088"/>
    <cellStyle name="Normal 17 2 3 3 2 2 3 2" xfId="41971"/>
    <cellStyle name="Normal 17 2 3 3 2 2 4" xfId="29666"/>
    <cellStyle name="Normal 17 2 3 3 2 3" xfId="12870"/>
    <cellStyle name="Normal 17 2 3 3 2 3 2" xfId="32753"/>
    <cellStyle name="Normal 17 2 3 3 2 4" xfId="19022"/>
    <cellStyle name="Normal 17 2 3 3 2 4 2" xfId="38905"/>
    <cellStyle name="Normal 17 2 3 3 2 5" xfId="26600"/>
    <cellStyle name="Normal 17 2 3 3 3" xfId="8208"/>
    <cellStyle name="Normal 17 2 3 3 3 2" xfId="14402"/>
    <cellStyle name="Normal 17 2 3 3 3 2 2" xfId="34285"/>
    <cellStyle name="Normal 17 2 3 3 3 3" xfId="20554"/>
    <cellStyle name="Normal 17 2 3 3 3 3 2" xfId="40437"/>
    <cellStyle name="Normal 17 2 3 3 3 4" xfId="28132"/>
    <cellStyle name="Normal 17 2 3 3 4" xfId="11336"/>
    <cellStyle name="Normal 17 2 3 3 4 2" xfId="31219"/>
    <cellStyle name="Normal 17 2 3 3 5" xfId="17488"/>
    <cellStyle name="Normal 17 2 3 3 5 2" xfId="37371"/>
    <cellStyle name="Normal 17 2 3 3 6" xfId="25066"/>
    <cellStyle name="Normal 17 2 3 4" xfId="5874"/>
    <cellStyle name="Normal 17 2 3 4 2" xfId="8974"/>
    <cellStyle name="Normal 17 2 3 4 2 2" xfId="15167"/>
    <cellStyle name="Normal 17 2 3 4 2 2 2" xfId="35050"/>
    <cellStyle name="Normal 17 2 3 4 2 3" xfId="21319"/>
    <cellStyle name="Normal 17 2 3 4 2 3 2" xfId="41202"/>
    <cellStyle name="Normal 17 2 3 4 2 4" xfId="28897"/>
    <cellStyle name="Normal 17 2 3 4 3" xfId="12101"/>
    <cellStyle name="Normal 17 2 3 4 3 2" xfId="31984"/>
    <cellStyle name="Normal 17 2 3 4 4" xfId="18253"/>
    <cellStyle name="Normal 17 2 3 4 4 2" xfId="38136"/>
    <cellStyle name="Normal 17 2 3 4 5" xfId="25831"/>
    <cellStyle name="Normal 17 2 3 5" xfId="7439"/>
    <cellStyle name="Normal 17 2 3 5 2" xfId="13633"/>
    <cellStyle name="Normal 17 2 3 5 2 2" xfId="33516"/>
    <cellStyle name="Normal 17 2 3 5 3" xfId="19785"/>
    <cellStyle name="Normal 17 2 3 5 3 2" xfId="39668"/>
    <cellStyle name="Normal 17 2 3 5 4" xfId="27363"/>
    <cellStyle name="Normal 17 2 3 6" xfId="10567"/>
    <cellStyle name="Normal 17 2 3 6 2" xfId="30450"/>
    <cellStyle name="Normal 17 2 3 7" xfId="16719"/>
    <cellStyle name="Normal 17 2 3 7 2" xfId="36602"/>
    <cellStyle name="Normal 17 2 3 8" xfId="24297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2 2" xfId="35821"/>
    <cellStyle name="Normal 17 2 4 2 2 2 3" xfId="22090"/>
    <cellStyle name="Normal 17 2 4 2 2 2 3 2" xfId="41973"/>
    <cellStyle name="Normal 17 2 4 2 2 2 4" xfId="29668"/>
    <cellStyle name="Normal 17 2 4 2 2 3" xfId="12872"/>
    <cellStyle name="Normal 17 2 4 2 2 3 2" xfId="32755"/>
    <cellStyle name="Normal 17 2 4 2 2 4" xfId="19024"/>
    <cellStyle name="Normal 17 2 4 2 2 4 2" xfId="38907"/>
    <cellStyle name="Normal 17 2 4 2 2 5" xfId="26602"/>
    <cellStyle name="Normal 17 2 4 2 3" xfId="8210"/>
    <cellStyle name="Normal 17 2 4 2 3 2" xfId="14404"/>
    <cellStyle name="Normal 17 2 4 2 3 2 2" xfId="34287"/>
    <cellStyle name="Normal 17 2 4 2 3 3" xfId="20556"/>
    <cellStyle name="Normal 17 2 4 2 3 3 2" xfId="40439"/>
    <cellStyle name="Normal 17 2 4 2 3 4" xfId="28134"/>
    <cellStyle name="Normal 17 2 4 2 4" xfId="11338"/>
    <cellStyle name="Normal 17 2 4 2 4 2" xfId="31221"/>
    <cellStyle name="Normal 17 2 4 2 5" xfId="17490"/>
    <cellStyle name="Normal 17 2 4 2 5 2" xfId="37373"/>
    <cellStyle name="Normal 17 2 4 2 6" xfId="25068"/>
    <cellStyle name="Normal 17 2 4 3" xfId="5876"/>
    <cellStyle name="Normal 17 2 4 3 2" xfId="8976"/>
    <cellStyle name="Normal 17 2 4 3 2 2" xfId="15169"/>
    <cellStyle name="Normal 17 2 4 3 2 2 2" xfId="35052"/>
    <cellStyle name="Normal 17 2 4 3 2 3" xfId="21321"/>
    <cellStyle name="Normal 17 2 4 3 2 3 2" xfId="41204"/>
    <cellStyle name="Normal 17 2 4 3 2 4" xfId="28899"/>
    <cellStyle name="Normal 17 2 4 3 3" xfId="12103"/>
    <cellStyle name="Normal 17 2 4 3 3 2" xfId="31986"/>
    <cellStyle name="Normal 17 2 4 3 4" xfId="18255"/>
    <cellStyle name="Normal 17 2 4 3 4 2" xfId="38138"/>
    <cellStyle name="Normal 17 2 4 3 5" xfId="25833"/>
    <cellStyle name="Normal 17 2 4 4" xfId="7441"/>
    <cellStyle name="Normal 17 2 4 4 2" xfId="13635"/>
    <cellStyle name="Normal 17 2 4 4 2 2" xfId="33518"/>
    <cellStyle name="Normal 17 2 4 4 3" xfId="19787"/>
    <cellStyle name="Normal 17 2 4 4 3 2" xfId="39670"/>
    <cellStyle name="Normal 17 2 4 4 4" xfId="27365"/>
    <cellStyle name="Normal 17 2 4 5" xfId="10569"/>
    <cellStyle name="Normal 17 2 4 5 2" xfId="30452"/>
    <cellStyle name="Normal 17 2 4 6" xfId="16721"/>
    <cellStyle name="Normal 17 2 4 6 2" xfId="36604"/>
    <cellStyle name="Normal 17 2 4 7" xfId="24299"/>
    <cellStyle name="Normal 17 2 5" xfId="5029"/>
    <cellStyle name="Normal 17 2 5 2" xfId="6654"/>
    <cellStyle name="Normal 17 2 5 2 2" xfId="9740"/>
    <cellStyle name="Normal 17 2 5 2 2 2" xfId="15933"/>
    <cellStyle name="Normal 17 2 5 2 2 2 2" xfId="35816"/>
    <cellStyle name="Normal 17 2 5 2 2 3" xfId="22085"/>
    <cellStyle name="Normal 17 2 5 2 2 3 2" xfId="41968"/>
    <cellStyle name="Normal 17 2 5 2 2 4" xfId="29663"/>
    <cellStyle name="Normal 17 2 5 2 3" xfId="12867"/>
    <cellStyle name="Normal 17 2 5 2 3 2" xfId="32750"/>
    <cellStyle name="Normal 17 2 5 2 4" xfId="19019"/>
    <cellStyle name="Normal 17 2 5 2 4 2" xfId="38902"/>
    <cellStyle name="Normal 17 2 5 2 5" xfId="26597"/>
    <cellStyle name="Normal 17 2 5 3" xfId="8205"/>
    <cellStyle name="Normal 17 2 5 3 2" xfId="14399"/>
    <cellStyle name="Normal 17 2 5 3 2 2" xfId="34282"/>
    <cellStyle name="Normal 17 2 5 3 3" xfId="20551"/>
    <cellStyle name="Normal 17 2 5 3 3 2" xfId="40434"/>
    <cellStyle name="Normal 17 2 5 3 4" xfId="28129"/>
    <cellStyle name="Normal 17 2 5 4" xfId="11333"/>
    <cellStyle name="Normal 17 2 5 4 2" xfId="31216"/>
    <cellStyle name="Normal 17 2 5 5" xfId="17485"/>
    <cellStyle name="Normal 17 2 5 5 2" xfId="37368"/>
    <cellStyle name="Normal 17 2 5 6" xfId="25063"/>
    <cellStyle name="Normal 17 2 6" xfId="5871"/>
    <cellStyle name="Normal 17 2 6 2" xfId="8971"/>
    <cellStyle name="Normal 17 2 6 2 2" xfId="15164"/>
    <cellStyle name="Normal 17 2 6 2 2 2" xfId="35047"/>
    <cellStyle name="Normal 17 2 6 2 3" xfId="21316"/>
    <cellStyle name="Normal 17 2 6 2 3 2" xfId="41199"/>
    <cellStyle name="Normal 17 2 6 2 4" xfId="28894"/>
    <cellStyle name="Normal 17 2 6 3" xfId="12098"/>
    <cellStyle name="Normal 17 2 6 3 2" xfId="31981"/>
    <cellStyle name="Normal 17 2 6 4" xfId="18250"/>
    <cellStyle name="Normal 17 2 6 4 2" xfId="38133"/>
    <cellStyle name="Normal 17 2 6 5" xfId="25828"/>
    <cellStyle name="Normal 17 2 7" xfId="7436"/>
    <cellStyle name="Normal 17 2 7 2" xfId="13630"/>
    <cellStyle name="Normal 17 2 7 2 2" xfId="33513"/>
    <cellStyle name="Normal 17 2 7 3" xfId="19782"/>
    <cellStyle name="Normal 17 2 7 3 2" xfId="39665"/>
    <cellStyle name="Normal 17 2 7 4" xfId="27360"/>
    <cellStyle name="Normal 17 2 8" xfId="10564"/>
    <cellStyle name="Normal 17 2 8 2" xfId="30447"/>
    <cellStyle name="Normal 17 2 9" xfId="16716"/>
    <cellStyle name="Normal 17 2 9 2" xfId="36599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2 2" xfId="35823"/>
    <cellStyle name="Normal 17 3 2 2 2 2 3" xfId="22092"/>
    <cellStyle name="Normal 17 3 2 2 2 2 3 2" xfId="41975"/>
    <cellStyle name="Normal 17 3 2 2 2 2 4" xfId="29670"/>
    <cellStyle name="Normal 17 3 2 2 2 3" xfId="12874"/>
    <cellStyle name="Normal 17 3 2 2 2 3 2" xfId="32757"/>
    <cellStyle name="Normal 17 3 2 2 2 4" xfId="19026"/>
    <cellStyle name="Normal 17 3 2 2 2 4 2" xfId="38909"/>
    <cellStyle name="Normal 17 3 2 2 2 5" xfId="26604"/>
    <cellStyle name="Normal 17 3 2 2 3" xfId="8212"/>
    <cellStyle name="Normal 17 3 2 2 3 2" xfId="14406"/>
    <cellStyle name="Normal 17 3 2 2 3 2 2" xfId="34289"/>
    <cellStyle name="Normal 17 3 2 2 3 3" xfId="20558"/>
    <cellStyle name="Normal 17 3 2 2 3 3 2" xfId="40441"/>
    <cellStyle name="Normal 17 3 2 2 3 4" xfId="28136"/>
    <cellStyle name="Normal 17 3 2 2 4" xfId="11340"/>
    <cellStyle name="Normal 17 3 2 2 4 2" xfId="31223"/>
    <cellStyle name="Normal 17 3 2 2 5" xfId="17492"/>
    <cellStyle name="Normal 17 3 2 2 5 2" xfId="37375"/>
    <cellStyle name="Normal 17 3 2 2 6" xfId="25070"/>
    <cellStyle name="Normal 17 3 2 3" xfId="5878"/>
    <cellStyle name="Normal 17 3 2 3 2" xfId="8978"/>
    <cellStyle name="Normal 17 3 2 3 2 2" xfId="15171"/>
    <cellStyle name="Normal 17 3 2 3 2 2 2" xfId="35054"/>
    <cellStyle name="Normal 17 3 2 3 2 3" xfId="21323"/>
    <cellStyle name="Normal 17 3 2 3 2 3 2" xfId="41206"/>
    <cellStyle name="Normal 17 3 2 3 2 4" xfId="28901"/>
    <cellStyle name="Normal 17 3 2 3 3" xfId="12105"/>
    <cellStyle name="Normal 17 3 2 3 3 2" xfId="31988"/>
    <cellStyle name="Normal 17 3 2 3 4" xfId="18257"/>
    <cellStyle name="Normal 17 3 2 3 4 2" xfId="38140"/>
    <cellStyle name="Normal 17 3 2 3 5" xfId="25835"/>
    <cellStyle name="Normal 17 3 2 4" xfId="7443"/>
    <cellStyle name="Normal 17 3 2 4 2" xfId="13637"/>
    <cellStyle name="Normal 17 3 2 4 2 2" xfId="33520"/>
    <cellStyle name="Normal 17 3 2 4 3" xfId="19789"/>
    <cellStyle name="Normal 17 3 2 4 3 2" xfId="39672"/>
    <cellStyle name="Normal 17 3 2 4 4" xfId="27367"/>
    <cellStyle name="Normal 17 3 2 5" xfId="10571"/>
    <cellStyle name="Normal 17 3 2 5 2" xfId="30454"/>
    <cellStyle name="Normal 17 3 2 6" xfId="16723"/>
    <cellStyle name="Normal 17 3 2 6 2" xfId="36606"/>
    <cellStyle name="Normal 17 3 2 7" xfId="24301"/>
    <cellStyle name="Normal 17 3 3" xfId="5035"/>
    <cellStyle name="Normal 17 3 3 2" xfId="6660"/>
    <cellStyle name="Normal 17 3 3 2 2" xfId="9746"/>
    <cellStyle name="Normal 17 3 3 2 2 2" xfId="15939"/>
    <cellStyle name="Normal 17 3 3 2 2 2 2" xfId="35822"/>
    <cellStyle name="Normal 17 3 3 2 2 3" xfId="22091"/>
    <cellStyle name="Normal 17 3 3 2 2 3 2" xfId="41974"/>
    <cellStyle name="Normal 17 3 3 2 2 4" xfId="29669"/>
    <cellStyle name="Normal 17 3 3 2 3" xfId="12873"/>
    <cellStyle name="Normal 17 3 3 2 3 2" xfId="32756"/>
    <cellStyle name="Normal 17 3 3 2 4" xfId="19025"/>
    <cellStyle name="Normal 17 3 3 2 4 2" xfId="38908"/>
    <cellStyle name="Normal 17 3 3 2 5" xfId="26603"/>
    <cellStyle name="Normal 17 3 3 3" xfId="8211"/>
    <cellStyle name="Normal 17 3 3 3 2" xfId="14405"/>
    <cellStyle name="Normal 17 3 3 3 2 2" xfId="34288"/>
    <cellStyle name="Normal 17 3 3 3 3" xfId="20557"/>
    <cellStyle name="Normal 17 3 3 3 3 2" xfId="40440"/>
    <cellStyle name="Normal 17 3 3 3 4" xfId="28135"/>
    <cellStyle name="Normal 17 3 3 4" xfId="11339"/>
    <cellStyle name="Normal 17 3 3 4 2" xfId="31222"/>
    <cellStyle name="Normal 17 3 3 5" xfId="17491"/>
    <cellStyle name="Normal 17 3 3 5 2" xfId="37374"/>
    <cellStyle name="Normal 17 3 3 6" xfId="25069"/>
    <cellStyle name="Normal 17 3 4" xfId="5877"/>
    <cellStyle name="Normal 17 3 4 2" xfId="8977"/>
    <cellStyle name="Normal 17 3 4 2 2" xfId="15170"/>
    <cellStyle name="Normal 17 3 4 2 2 2" xfId="35053"/>
    <cellStyle name="Normal 17 3 4 2 3" xfId="21322"/>
    <cellStyle name="Normal 17 3 4 2 3 2" xfId="41205"/>
    <cellStyle name="Normal 17 3 4 2 4" xfId="28900"/>
    <cellStyle name="Normal 17 3 4 3" xfId="12104"/>
    <cellStyle name="Normal 17 3 4 3 2" xfId="31987"/>
    <cellStyle name="Normal 17 3 4 4" xfId="18256"/>
    <cellStyle name="Normal 17 3 4 4 2" xfId="38139"/>
    <cellStyle name="Normal 17 3 4 5" xfId="25834"/>
    <cellStyle name="Normal 17 3 5" xfId="7442"/>
    <cellStyle name="Normal 17 3 5 2" xfId="13636"/>
    <cellStyle name="Normal 17 3 5 2 2" xfId="33519"/>
    <cellStyle name="Normal 17 3 5 3" xfId="19788"/>
    <cellStyle name="Normal 17 3 5 3 2" xfId="39671"/>
    <cellStyle name="Normal 17 3 5 4" xfId="27366"/>
    <cellStyle name="Normal 17 3 6" xfId="10570"/>
    <cellStyle name="Normal 17 3 6 2" xfId="30453"/>
    <cellStyle name="Normal 17 3 7" xfId="16722"/>
    <cellStyle name="Normal 17 3 7 2" xfId="36605"/>
    <cellStyle name="Normal 17 3 8" xfId="24300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2 2" xfId="35825"/>
    <cellStyle name="Normal 17 4 2 2 2 2 3" xfId="22094"/>
    <cellStyle name="Normal 17 4 2 2 2 2 3 2" xfId="41977"/>
    <cellStyle name="Normal 17 4 2 2 2 2 4" xfId="29672"/>
    <cellStyle name="Normal 17 4 2 2 2 3" xfId="12876"/>
    <cellStyle name="Normal 17 4 2 2 2 3 2" xfId="32759"/>
    <cellStyle name="Normal 17 4 2 2 2 4" xfId="19028"/>
    <cellStyle name="Normal 17 4 2 2 2 4 2" xfId="38911"/>
    <cellStyle name="Normal 17 4 2 2 2 5" xfId="26606"/>
    <cellStyle name="Normal 17 4 2 2 3" xfId="8214"/>
    <cellStyle name="Normal 17 4 2 2 3 2" xfId="14408"/>
    <cellStyle name="Normal 17 4 2 2 3 2 2" xfId="34291"/>
    <cellStyle name="Normal 17 4 2 2 3 3" xfId="20560"/>
    <cellStyle name="Normal 17 4 2 2 3 3 2" xfId="40443"/>
    <cellStyle name="Normal 17 4 2 2 3 4" xfId="28138"/>
    <cellStyle name="Normal 17 4 2 2 4" xfId="11342"/>
    <cellStyle name="Normal 17 4 2 2 4 2" xfId="31225"/>
    <cellStyle name="Normal 17 4 2 2 5" xfId="17494"/>
    <cellStyle name="Normal 17 4 2 2 5 2" xfId="37377"/>
    <cellStyle name="Normal 17 4 2 2 6" xfId="25072"/>
    <cellStyle name="Normal 17 4 2 3" xfId="5880"/>
    <cellStyle name="Normal 17 4 2 3 2" xfId="8980"/>
    <cellStyle name="Normal 17 4 2 3 2 2" xfId="15173"/>
    <cellStyle name="Normal 17 4 2 3 2 2 2" xfId="35056"/>
    <cellStyle name="Normal 17 4 2 3 2 3" xfId="21325"/>
    <cellStyle name="Normal 17 4 2 3 2 3 2" xfId="41208"/>
    <cellStyle name="Normal 17 4 2 3 2 4" xfId="28903"/>
    <cellStyle name="Normal 17 4 2 3 3" xfId="12107"/>
    <cellStyle name="Normal 17 4 2 3 3 2" xfId="31990"/>
    <cellStyle name="Normal 17 4 2 3 4" xfId="18259"/>
    <cellStyle name="Normal 17 4 2 3 4 2" xfId="38142"/>
    <cellStyle name="Normal 17 4 2 3 5" xfId="25837"/>
    <cellStyle name="Normal 17 4 2 4" xfId="7445"/>
    <cellStyle name="Normal 17 4 2 4 2" xfId="13639"/>
    <cellStyle name="Normal 17 4 2 4 2 2" xfId="33522"/>
    <cellStyle name="Normal 17 4 2 4 3" xfId="19791"/>
    <cellStyle name="Normal 17 4 2 4 3 2" xfId="39674"/>
    <cellStyle name="Normal 17 4 2 4 4" xfId="27369"/>
    <cellStyle name="Normal 17 4 2 5" xfId="10573"/>
    <cellStyle name="Normal 17 4 2 5 2" xfId="30456"/>
    <cellStyle name="Normal 17 4 2 6" xfId="16725"/>
    <cellStyle name="Normal 17 4 2 6 2" xfId="36608"/>
    <cellStyle name="Normal 17 4 2 7" xfId="24303"/>
    <cellStyle name="Normal 17 4 3" xfId="5037"/>
    <cellStyle name="Normal 17 4 3 2" xfId="6662"/>
    <cellStyle name="Normal 17 4 3 2 2" xfId="9748"/>
    <cellStyle name="Normal 17 4 3 2 2 2" xfId="15941"/>
    <cellStyle name="Normal 17 4 3 2 2 2 2" xfId="35824"/>
    <cellStyle name="Normal 17 4 3 2 2 3" xfId="22093"/>
    <cellStyle name="Normal 17 4 3 2 2 3 2" xfId="41976"/>
    <cellStyle name="Normal 17 4 3 2 2 4" xfId="29671"/>
    <cellStyle name="Normal 17 4 3 2 3" xfId="12875"/>
    <cellStyle name="Normal 17 4 3 2 3 2" xfId="32758"/>
    <cellStyle name="Normal 17 4 3 2 4" xfId="19027"/>
    <cellStyle name="Normal 17 4 3 2 4 2" xfId="38910"/>
    <cellStyle name="Normal 17 4 3 2 5" xfId="26605"/>
    <cellStyle name="Normal 17 4 3 3" xfId="8213"/>
    <cellStyle name="Normal 17 4 3 3 2" xfId="14407"/>
    <cellStyle name="Normal 17 4 3 3 2 2" xfId="34290"/>
    <cellStyle name="Normal 17 4 3 3 3" xfId="20559"/>
    <cellStyle name="Normal 17 4 3 3 3 2" xfId="40442"/>
    <cellStyle name="Normal 17 4 3 3 4" xfId="28137"/>
    <cellStyle name="Normal 17 4 3 4" xfId="11341"/>
    <cellStyle name="Normal 17 4 3 4 2" xfId="31224"/>
    <cellStyle name="Normal 17 4 3 5" xfId="17493"/>
    <cellStyle name="Normal 17 4 3 5 2" xfId="37376"/>
    <cellStyle name="Normal 17 4 3 6" xfId="25071"/>
    <cellStyle name="Normal 17 4 4" xfId="5879"/>
    <cellStyle name="Normal 17 4 4 2" xfId="8979"/>
    <cellStyle name="Normal 17 4 4 2 2" xfId="15172"/>
    <cellStyle name="Normal 17 4 4 2 2 2" xfId="35055"/>
    <cellStyle name="Normal 17 4 4 2 3" xfId="21324"/>
    <cellStyle name="Normal 17 4 4 2 3 2" xfId="41207"/>
    <cellStyle name="Normal 17 4 4 2 4" xfId="28902"/>
    <cellStyle name="Normal 17 4 4 3" xfId="12106"/>
    <cellStyle name="Normal 17 4 4 3 2" xfId="31989"/>
    <cellStyle name="Normal 17 4 4 4" xfId="18258"/>
    <cellStyle name="Normal 17 4 4 4 2" xfId="38141"/>
    <cellStyle name="Normal 17 4 4 5" xfId="25836"/>
    <cellStyle name="Normal 17 4 5" xfId="7444"/>
    <cellStyle name="Normal 17 4 5 2" xfId="13638"/>
    <cellStyle name="Normal 17 4 5 2 2" xfId="33521"/>
    <cellStyle name="Normal 17 4 5 3" xfId="19790"/>
    <cellStyle name="Normal 17 4 5 3 2" xfId="39673"/>
    <cellStyle name="Normal 17 4 5 4" xfId="27368"/>
    <cellStyle name="Normal 17 4 6" xfId="10572"/>
    <cellStyle name="Normal 17 4 6 2" xfId="30455"/>
    <cellStyle name="Normal 17 4 7" xfId="16724"/>
    <cellStyle name="Normal 17 4 7 2" xfId="36607"/>
    <cellStyle name="Normal 17 4 8" xfId="24302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2 2" xfId="35826"/>
    <cellStyle name="Normal 17 5 2 2 2 2 3" xfId="22095"/>
    <cellStyle name="Normal 17 5 2 2 2 2 3 2" xfId="41978"/>
    <cellStyle name="Normal 17 5 2 2 2 2 4" xfId="29673"/>
    <cellStyle name="Normal 17 5 2 2 2 3" xfId="12877"/>
    <cellStyle name="Normal 17 5 2 2 2 3 2" xfId="32760"/>
    <cellStyle name="Normal 17 5 2 2 2 4" xfId="19029"/>
    <cellStyle name="Normal 17 5 2 2 2 4 2" xfId="38912"/>
    <cellStyle name="Normal 17 5 2 2 2 5" xfId="26607"/>
    <cellStyle name="Normal 17 5 2 2 3" xfId="8215"/>
    <cellStyle name="Normal 17 5 2 2 3 2" xfId="14409"/>
    <cellStyle name="Normal 17 5 2 2 3 2 2" xfId="34292"/>
    <cellStyle name="Normal 17 5 2 2 3 3" xfId="20561"/>
    <cellStyle name="Normal 17 5 2 2 3 3 2" xfId="40444"/>
    <cellStyle name="Normal 17 5 2 2 3 4" xfId="28139"/>
    <cellStyle name="Normal 17 5 2 2 4" xfId="11343"/>
    <cellStyle name="Normal 17 5 2 2 4 2" xfId="31226"/>
    <cellStyle name="Normal 17 5 2 2 5" xfId="17495"/>
    <cellStyle name="Normal 17 5 2 2 5 2" xfId="37378"/>
    <cellStyle name="Normal 17 5 2 2 6" xfId="25073"/>
    <cellStyle name="Normal 17 5 2 3" xfId="5881"/>
    <cellStyle name="Normal 17 5 2 3 2" xfId="8981"/>
    <cellStyle name="Normal 17 5 2 3 2 2" xfId="15174"/>
    <cellStyle name="Normal 17 5 2 3 2 2 2" xfId="35057"/>
    <cellStyle name="Normal 17 5 2 3 2 3" xfId="21326"/>
    <cellStyle name="Normal 17 5 2 3 2 3 2" xfId="41209"/>
    <cellStyle name="Normal 17 5 2 3 2 4" xfId="28904"/>
    <cellStyle name="Normal 17 5 2 3 3" xfId="12108"/>
    <cellStyle name="Normal 17 5 2 3 3 2" xfId="31991"/>
    <cellStyle name="Normal 17 5 2 3 4" xfId="18260"/>
    <cellStyle name="Normal 17 5 2 3 4 2" xfId="38143"/>
    <cellStyle name="Normal 17 5 2 3 5" xfId="25838"/>
    <cellStyle name="Normal 17 5 2 4" xfId="7446"/>
    <cellStyle name="Normal 17 5 2 4 2" xfId="13640"/>
    <cellStyle name="Normal 17 5 2 4 2 2" xfId="33523"/>
    <cellStyle name="Normal 17 5 2 4 3" xfId="19792"/>
    <cellStyle name="Normal 17 5 2 4 3 2" xfId="39675"/>
    <cellStyle name="Normal 17 5 2 4 4" xfId="27370"/>
    <cellStyle name="Normal 17 5 2 5" xfId="10574"/>
    <cellStyle name="Normal 17 5 2 5 2" xfId="30457"/>
    <cellStyle name="Normal 17 5 2 6" xfId="16726"/>
    <cellStyle name="Normal 17 5 2 6 2" xfId="36609"/>
    <cellStyle name="Normal 17 5 2 7" xfId="24304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2 2" xfId="35827"/>
    <cellStyle name="Normal 17 6 2 2 2 3" xfId="22096"/>
    <cellStyle name="Normal 17 6 2 2 2 3 2" xfId="41979"/>
    <cellStyle name="Normal 17 6 2 2 2 4" xfId="29674"/>
    <cellStyle name="Normal 17 6 2 2 3" xfId="12878"/>
    <cellStyle name="Normal 17 6 2 2 3 2" xfId="32761"/>
    <cellStyle name="Normal 17 6 2 2 4" xfId="19030"/>
    <cellStyle name="Normal 17 6 2 2 4 2" xfId="38913"/>
    <cellStyle name="Normal 17 6 2 2 5" xfId="26608"/>
    <cellStyle name="Normal 17 6 2 3" xfId="8216"/>
    <cellStyle name="Normal 17 6 2 3 2" xfId="14410"/>
    <cellStyle name="Normal 17 6 2 3 2 2" xfId="34293"/>
    <cellStyle name="Normal 17 6 2 3 3" xfId="20562"/>
    <cellStyle name="Normal 17 6 2 3 3 2" xfId="40445"/>
    <cellStyle name="Normal 17 6 2 3 4" xfId="28140"/>
    <cellStyle name="Normal 17 6 2 4" xfId="11344"/>
    <cellStyle name="Normal 17 6 2 4 2" xfId="31227"/>
    <cellStyle name="Normal 17 6 2 5" xfId="17496"/>
    <cellStyle name="Normal 17 6 2 5 2" xfId="37379"/>
    <cellStyle name="Normal 17 6 2 6" xfId="25074"/>
    <cellStyle name="Normal 17 6 3" xfId="5882"/>
    <cellStyle name="Normal 17 6 3 2" xfId="8982"/>
    <cellStyle name="Normal 17 6 3 2 2" xfId="15175"/>
    <cellStyle name="Normal 17 6 3 2 2 2" xfId="35058"/>
    <cellStyle name="Normal 17 6 3 2 3" xfId="21327"/>
    <cellStyle name="Normal 17 6 3 2 3 2" xfId="41210"/>
    <cellStyle name="Normal 17 6 3 2 4" xfId="28905"/>
    <cellStyle name="Normal 17 6 3 3" xfId="12109"/>
    <cellStyle name="Normal 17 6 3 3 2" xfId="31992"/>
    <cellStyle name="Normal 17 6 3 4" xfId="18261"/>
    <cellStyle name="Normal 17 6 3 4 2" xfId="38144"/>
    <cellStyle name="Normal 17 6 3 5" xfId="25839"/>
    <cellStyle name="Normal 17 6 4" xfId="7447"/>
    <cellStyle name="Normal 17 6 4 2" xfId="13641"/>
    <cellStyle name="Normal 17 6 4 2 2" xfId="33524"/>
    <cellStyle name="Normal 17 6 4 3" xfId="19793"/>
    <cellStyle name="Normal 17 6 4 3 2" xfId="39676"/>
    <cellStyle name="Normal 17 6 4 4" xfId="27371"/>
    <cellStyle name="Normal 17 6 5" xfId="10575"/>
    <cellStyle name="Normal 17 6 5 2" xfId="30458"/>
    <cellStyle name="Normal 17 6 6" xfId="16727"/>
    <cellStyle name="Normal 17 6 6 2" xfId="36610"/>
    <cellStyle name="Normal 17 6 7" xfId="24305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2 2" xfId="35828"/>
    <cellStyle name="Normal 2 10 3 2 2 2 3" xfId="22097"/>
    <cellStyle name="Normal 2 10 3 2 2 2 3 2" xfId="41980"/>
    <cellStyle name="Normal 2 10 3 2 2 2 4" xfId="29675"/>
    <cellStyle name="Normal 2 10 3 2 2 3" xfId="12879"/>
    <cellStyle name="Normal 2 10 3 2 2 3 2" xfId="32762"/>
    <cellStyle name="Normal 2 10 3 2 2 4" xfId="19031"/>
    <cellStyle name="Normal 2 10 3 2 2 4 2" xfId="38914"/>
    <cellStyle name="Normal 2 10 3 2 2 5" xfId="26609"/>
    <cellStyle name="Normal 2 10 3 2 3" xfId="8217"/>
    <cellStyle name="Normal 2 10 3 2 3 2" xfId="14411"/>
    <cellStyle name="Normal 2 10 3 2 3 2 2" xfId="34294"/>
    <cellStyle name="Normal 2 10 3 2 3 3" xfId="20563"/>
    <cellStyle name="Normal 2 10 3 2 3 3 2" xfId="40446"/>
    <cellStyle name="Normal 2 10 3 2 3 4" xfId="28141"/>
    <cellStyle name="Normal 2 10 3 2 4" xfId="11345"/>
    <cellStyle name="Normal 2 10 3 2 4 2" xfId="31228"/>
    <cellStyle name="Normal 2 10 3 2 5" xfId="17497"/>
    <cellStyle name="Normal 2 10 3 2 5 2" xfId="37380"/>
    <cellStyle name="Normal 2 10 3 2 6" xfId="25075"/>
    <cellStyle name="Normal 2 10 3 3" xfId="5883"/>
    <cellStyle name="Normal 2 10 3 3 2" xfId="8983"/>
    <cellStyle name="Normal 2 10 3 3 2 2" xfId="15176"/>
    <cellStyle name="Normal 2 10 3 3 2 2 2" xfId="35059"/>
    <cellStyle name="Normal 2 10 3 3 2 3" xfId="21328"/>
    <cellStyle name="Normal 2 10 3 3 2 3 2" xfId="41211"/>
    <cellStyle name="Normal 2 10 3 3 2 4" xfId="28906"/>
    <cellStyle name="Normal 2 10 3 3 3" xfId="12110"/>
    <cellStyle name="Normal 2 10 3 3 3 2" xfId="31993"/>
    <cellStyle name="Normal 2 10 3 3 4" xfId="18262"/>
    <cellStyle name="Normal 2 10 3 3 4 2" xfId="38145"/>
    <cellStyle name="Normal 2 10 3 3 5" xfId="25840"/>
    <cellStyle name="Normal 2 10 3 4" xfId="7448"/>
    <cellStyle name="Normal 2 10 3 4 2" xfId="13642"/>
    <cellStyle name="Normal 2 10 3 4 2 2" xfId="33525"/>
    <cellStyle name="Normal 2 10 3 4 3" xfId="19794"/>
    <cellStyle name="Normal 2 10 3 4 3 2" xfId="39677"/>
    <cellStyle name="Normal 2 10 3 4 4" xfId="27372"/>
    <cellStyle name="Normal 2 10 3 5" xfId="10576"/>
    <cellStyle name="Normal 2 10 3 5 2" xfId="30459"/>
    <cellStyle name="Normal 2 10 3 6" xfId="16728"/>
    <cellStyle name="Normal 2 10 3 6 2" xfId="36611"/>
    <cellStyle name="Normal 2 10 3 7" xfId="24306"/>
    <cellStyle name="Normal 2 10 3 8" xfId="43039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2 2" xfId="35829"/>
    <cellStyle name="Normal 2 11 3 2 2 2 3" xfId="22098"/>
    <cellStyle name="Normal 2 11 3 2 2 2 3 2" xfId="41981"/>
    <cellStyle name="Normal 2 11 3 2 2 2 4" xfId="29676"/>
    <cellStyle name="Normal 2 11 3 2 2 3" xfId="12880"/>
    <cellStyle name="Normal 2 11 3 2 2 3 2" xfId="32763"/>
    <cellStyle name="Normal 2 11 3 2 2 4" xfId="19032"/>
    <cellStyle name="Normal 2 11 3 2 2 4 2" xfId="38915"/>
    <cellStyle name="Normal 2 11 3 2 2 5" xfId="26610"/>
    <cellStyle name="Normal 2 11 3 2 3" xfId="8218"/>
    <cellStyle name="Normal 2 11 3 2 3 2" xfId="14412"/>
    <cellStyle name="Normal 2 11 3 2 3 2 2" xfId="34295"/>
    <cellStyle name="Normal 2 11 3 2 3 3" xfId="20564"/>
    <cellStyle name="Normal 2 11 3 2 3 3 2" xfId="40447"/>
    <cellStyle name="Normal 2 11 3 2 3 4" xfId="28142"/>
    <cellStyle name="Normal 2 11 3 2 4" xfId="11346"/>
    <cellStyle name="Normal 2 11 3 2 4 2" xfId="31229"/>
    <cellStyle name="Normal 2 11 3 2 5" xfId="17498"/>
    <cellStyle name="Normal 2 11 3 2 5 2" xfId="37381"/>
    <cellStyle name="Normal 2 11 3 2 6" xfId="25076"/>
    <cellStyle name="Normal 2 11 3 3" xfId="5884"/>
    <cellStyle name="Normal 2 11 3 3 2" xfId="8984"/>
    <cellStyle name="Normal 2 11 3 3 2 2" xfId="15177"/>
    <cellStyle name="Normal 2 11 3 3 2 2 2" xfId="35060"/>
    <cellStyle name="Normal 2 11 3 3 2 3" xfId="21329"/>
    <cellStyle name="Normal 2 11 3 3 2 3 2" xfId="41212"/>
    <cellStyle name="Normal 2 11 3 3 2 4" xfId="28907"/>
    <cellStyle name="Normal 2 11 3 3 3" xfId="12111"/>
    <cellStyle name="Normal 2 11 3 3 3 2" xfId="31994"/>
    <cellStyle name="Normal 2 11 3 3 4" xfId="18263"/>
    <cellStyle name="Normal 2 11 3 3 4 2" xfId="38146"/>
    <cellStyle name="Normal 2 11 3 3 5" xfId="25841"/>
    <cellStyle name="Normal 2 11 3 4" xfId="7449"/>
    <cellStyle name="Normal 2 11 3 4 2" xfId="13643"/>
    <cellStyle name="Normal 2 11 3 4 2 2" xfId="33526"/>
    <cellStyle name="Normal 2 11 3 4 3" xfId="19795"/>
    <cellStyle name="Normal 2 11 3 4 3 2" xfId="39678"/>
    <cellStyle name="Normal 2 11 3 4 4" xfId="27373"/>
    <cellStyle name="Normal 2 11 3 5" xfId="10577"/>
    <cellStyle name="Normal 2 11 3 5 2" xfId="30460"/>
    <cellStyle name="Normal 2 11 3 6" xfId="16729"/>
    <cellStyle name="Normal 2 11 3 6 2" xfId="36612"/>
    <cellStyle name="Normal 2 11 3 7" xfId="24307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2 2" xfId="35830"/>
    <cellStyle name="Normal 2 12 3 2 2 2 3" xfId="22099"/>
    <cellStyle name="Normal 2 12 3 2 2 2 3 2" xfId="41982"/>
    <cellStyle name="Normal 2 12 3 2 2 2 4" xfId="29677"/>
    <cellStyle name="Normal 2 12 3 2 2 3" xfId="12881"/>
    <cellStyle name="Normal 2 12 3 2 2 3 2" xfId="32764"/>
    <cellStyle name="Normal 2 12 3 2 2 4" xfId="19033"/>
    <cellStyle name="Normal 2 12 3 2 2 4 2" xfId="38916"/>
    <cellStyle name="Normal 2 12 3 2 2 5" xfId="26611"/>
    <cellStyle name="Normal 2 12 3 2 3" xfId="8219"/>
    <cellStyle name="Normal 2 12 3 2 3 2" xfId="14413"/>
    <cellStyle name="Normal 2 12 3 2 3 2 2" xfId="34296"/>
    <cellStyle name="Normal 2 12 3 2 3 3" xfId="20565"/>
    <cellStyle name="Normal 2 12 3 2 3 3 2" xfId="40448"/>
    <cellStyle name="Normal 2 12 3 2 3 4" xfId="28143"/>
    <cellStyle name="Normal 2 12 3 2 4" xfId="11347"/>
    <cellStyle name="Normal 2 12 3 2 4 2" xfId="31230"/>
    <cellStyle name="Normal 2 12 3 2 5" xfId="17499"/>
    <cellStyle name="Normal 2 12 3 2 5 2" xfId="37382"/>
    <cellStyle name="Normal 2 12 3 2 6" xfId="25077"/>
    <cellStyle name="Normal 2 12 3 3" xfId="5885"/>
    <cellStyle name="Normal 2 12 3 3 2" xfId="8985"/>
    <cellStyle name="Normal 2 12 3 3 2 2" xfId="15178"/>
    <cellStyle name="Normal 2 12 3 3 2 2 2" xfId="35061"/>
    <cellStyle name="Normal 2 12 3 3 2 3" xfId="21330"/>
    <cellStyle name="Normal 2 12 3 3 2 3 2" xfId="41213"/>
    <cellStyle name="Normal 2 12 3 3 2 4" xfId="28908"/>
    <cellStyle name="Normal 2 12 3 3 3" xfId="12112"/>
    <cellStyle name="Normal 2 12 3 3 3 2" xfId="31995"/>
    <cellStyle name="Normal 2 12 3 3 4" xfId="18264"/>
    <cellStyle name="Normal 2 12 3 3 4 2" xfId="38147"/>
    <cellStyle name="Normal 2 12 3 3 5" xfId="25842"/>
    <cellStyle name="Normal 2 12 3 4" xfId="7450"/>
    <cellStyle name="Normal 2 12 3 4 2" xfId="13644"/>
    <cellStyle name="Normal 2 12 3 4 2 2" xfId="33527"/>
    <cellStyle name="Normal 2 12 3 4 3" xfId="19796"/>
    <cellStyle name="Normal 2 12 3 4 3 2" xfId="39679"/>
    <cellStyle name="Normal 2 12 3 4 4" xfId="27374"/>
    <cellStyle name="Normal 2 12 3 5" xfId="10578"/>
    <cellStyle name="Normal 2 12 3 5 2" xfId="30461"/>
    <cellStyle name="Normal 2 12 3 6" xfId="16730"/>
    <cellStyle name="Normal 2 12 3 6 2" xfId="36613"/>
    <cellStyle name="Normal 2 12 3 7" xfId="24308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2 2" xfId="35831"/>
    <cellStyle name="Normal 2 13 3 2 2 2 3" xfId="22100"/>
    <cellStyle name="Normal 2 13 3 2 2 2 3 2" xfId="41983"/>
    <cellStyle name="Normal 2 13 3 2 2 2 4" xfId="29678"/>
    <cellStyle name="Normal 2 13 3 2 2 3" xfId="12882"/>
    <cellStyle name="Normal 2 13 3 2 2 3 2" xfId="32765"/>
    <cellStyle name="Normal 2 13 3 2 2 4" xfId="19034"/>
    <cellStyle name="Normal 2 13 3 2 2 4 2" xfId="38917"/>
    <cellStyle name="Normal 2 13 3 2 2 5" xfId="26612"/>
    <cellStyle name="Normal 2 13 3 2 3" xfId="8220"/>
    <cellStyle name="Normal 2 13 3 2 3 2" xfId="14414"/>
    <cellStyle name="Normal 2 13 3 2 3 2 2" xfId="34297"/>
    <cellStyle name="Normal 2 13 3 2 3 3" xfId="20566"/>
    <cellStyle name="Normal 2 13 3 2 3 3 2" xfId="40449"/>
    <cellStyle name="Normal 2 13 3 2 3 4" xfId="28144"/>
    <cellStyle name="Normal 2 13 3 2 4" xfId="11348"/>
    <cellStyle name="Normal 2 13 3 2 4 2" xfId="31231"/>
    <cellStyle name="Normal 2 13 3 2 5" xfId="17500"/>
    <cellStyle name="Normal 2 13 3 2 5 2" xfId="37383"/>
    <cellStyle name="Normal 2 13 3 2 6" xfId="25078"/>
    <cellStyle name="Normal 2 13 3 3" xfId="5886"/>
    <cellStyle name="Normal 2 13 3 3 2" xfId="8986"/>
    <cellStyle name="Normal 2 13 3 3 2 2" xfId="15179"/>
    <cellStyle name="Normal 2 13 3 3 2 2 2" xfId="35062"/>
    <cellStyle name="Normal 2 13 3 3 2 3" xfId="21331"/>
    <cellStyle name="Normal 2 13 3 3 2 3 2" xfId="41214"/>
    <cellStyle name="Normal 2 13 3 3 2 4" xfId="28909"/>
    <cellStyle name="Normal 2 13 3 3 3" xfId="12113"/>
    <cellStyle name="Normal 2 13 3 3 3 2" xfId="31996"/>
    <cellStyle name="Normal 2 13 3 3 4" xfId="18265"/>
    <cellStyle name="Normal 2 13 3 3 4 2" xfId="38148"/>
    <cellStyle name="Normal 2 13 3 3 5" xfId="25843"/>
    <cellStyle name="Normal 2 13 3 4" xfId="7451"/>
    <cellStyle name="Normal 2 13 3 4 2" xfId="13645"/>
    <cellStyle name="Normal 2 13 3 4 2 2" xfId="33528"/>
    <cellStyle name="Normal 2 13 3 4 3" xfId="19797"/>
    <cellStyle name="Normal 2 13 3 4 3 2" xfId="39680"/>
    <cellStyle name="Normal 2 13 3 4 4" xfId="27375"/>
    <cellStyle name="Normal 2 13 3 5" xfId="10579"/>
    <cellStyle name="Normal 2 13 3 5 2" xfId="30462"/>
    <cellStyle name="Normal 2 13 3 6" xfId="16731"/>
    <cellStyle name="Normal 2 13 3 6 2" xfId="36614"/>
    <cellStyle name="Normal 2 13 3 7" xfId="24309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2 2" xfId="35832"/>
    <cellStyle name="Normal 2 14 3 2 2 2 3" xfId="22101"/>
    <cellStyle name="Normal 2 14 3 2 2 2 3 2" xfId="41984"/>
    <cellStyle name="Normal 2 14 3 2 2 2 4" xfId="29679"/>
    <cellStyle name="Normal 2 14 3 2 2 3" xfId="12883"/>
    <cellStyle name="Normal 2 14 3 2 2 3 2" xfId="32766"/>
    <cellStyle name="Normal 2 14 3 2 2 4" xfId="19035"/>
    <cellStyle name="Normal 2 14 3 2 2 4 2" xfId="38918"/>
    <cellStyle name="Normal 2 14 3 2 2 5" xfId="26613"/>
    <cellStyle name="Normal 2 14 3 2 3" xfId="8221"/>
    <cellStyle name="Normal 2 14 3 2 3 2" xfId="14415"/>
    <cellStyle name="Normal 2 14 3 2 3 2 2" xfId="34298"/>
    <cellStyle name="Normal 2 14 3 2 3 3" xfId="20567"/>
    <cellStyle name="Normal 2 14 3 2 3 3 2" xfId="40450"/>
    <cellStyle name="Normal 2 14 3 2 3 4" xfId="28145"/>
    <cellStyle name="Normal 2 14 3 2 4" xfId="11349"/>
    <cellStyle name="Normal 2 14 3 2 4 2" xfId="31232"/>
    <cellStyle name="Normal 2 14 3 2 5" xfId="17501"/>
    <cellStyle name="Normal 2 14 3 2 5 2" xfId="37384"/>
    <cellStyle name="Normal 2 14 3 2 6" xfId="25079"/>
    <cellStyle name="Normal 2 14 3 3" xfId="5887"/>
    <cellStyle name="Normal 2 14 3 3 2" xfId="8987"/>
    <cellStyle name="Normal 2 14 3 3 2 2" xfId="15180"/>
    <cellStyle name="Normal 2 14 3 3 2 2 2" xfId="35063"/>
    <cellStyle name="Normal 2 14 3 3 2 3" xfId="21332"/>
    <cellStyle name="Normal 2 14 3 3 2 3 2" xfId="41215"/>
    <cellStyle name="Normal 2 14 3 3 2 4" xfId="28910"/>
    <cellStyle name="Normal 2 14 3 3 3" xfId="12114"/>
    <cellStyle name="Normal 2 14 3 3 3 2" xfId="31997"/>
    <cellStyle name="Normal 2 14 3 3 4" xfId="18266"/>
    <cellStyle name="Normal 2 14 3 3 4 2" xfId="38149"/>
    <cellStyle name="Normal 2 14 3 3 5" xfId="25844"/>
    <cellStyle name="Normal 2 14 3 4" xfId="7452"/>
    <cellStyle name="Normal 2 14 3 4 2" xfId="13646"/>
    <cellStyle name="Normal 2 14 3 4 2 2" xfId="33529"/>
    <cellStyle name="Normal 2 14 3 4 3" xfId="19798"/>
    <cellStyle name="Normal 2 14 3 4 3 2" xfId="39681"/>
    <cellStyle name="Normal 2 14 3 4 4" xfId="27376"/>
    <cellStyle name="Normal 2 14 3 5" xfId="10580"/>
    <cellStyle name="Normal 2 14 3 5 2" xfId="30463"/>
    <cellStyle name="Normal 2 14 3 6" xfId="16732"/>
    <cellStyle name="Normal 2 14 3 6 2" xfId="36615"/>
    <cellStyle name="Normal 2 14 3 7" xfId="24310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2 2" xfId="35833"/>
    <cellStyle name="Normal 2 15 3 2 2 2 3" xfId="22102"/>
    <cellStyle name="Normal 2 15 3 2 2 2 3 2" xfId="41985"/>
    <cellStyle name="Normal 2 15 3 2 2 2 4" xfId="29680"/>
    <cellStyle name="Normal 2 15 3 2 2 3" xfId="12884"/>
    <cellStyle name="Normal 2 15 3 2 2 3 2" xfId="32767"/>
    <cellStyle name="Normal 2 15 3 2 2 4" xfId="19036"/>
    <cellStyle name="Normal 2 15 3 2 2 4 2" xfId="38919"/>
    <cellStyle name="Normal 2 15 3 2 2 5" xfId="26614"/>
    <cellStyle name="Normal 2 15 3 2 3" xfId="8222"/>
    <cellStyle name="Normal 2 15 3 2 3 2" xfId="14416"/>
    <cellStyle name="Normal 2 15 3 2 3 2 2" xfId="34299"/>
    <cellStyle name="Normal 2 15 3 2 3 3" xfId="20568"/>
    <cellStyle name="Normal 2 15 3 2 3 3 2" xfId="40451"/>
    <cellStyle name="Normal 2 15 3 2 3 4" xfId="28146"/>
    <cellStyle name="Normal 2 15 3 2 4" xfId="11350"/>
    <cellStyle name="Normal 2 15 3 2 4 2" xfId="31233"/>
    <cellStyle name="Normal 2 15 3 2 5" xfId="17502"/>
    <cellStyle name="Normal 2 15 3 2 5 2" xfId="37385"/>
    <cellStyle name="Normal 2 15 3 2 6" xfId="25080"/>
    <cellStyle name="Normal 2 15 3 3" xfId="5888"/>
    <cellStyle name="Normal 2 15 3 3 2" xfId="8988"/>
    <cellStyle name="Normal 2 15 3 3 2 2" xfId="15181"/>
    <cellStyle name="Normal 2 15 3 3 2 2 2" xfId="35064"/>
    <cellStyle name="Normal 2 15 3 3 2 3" xfId="21333"/>
    <cellStyle name="Normal 2 15 3 3 2 3 2" xfId="41216"/>
    <cellStyle name="Normal 2 15 3 3 2 4" xfId="28911"/>
    <cellStyle name="Normal 2 15 3 3 3" xfId="12115"/>
    <cellStyle name="Normal 2 15 3 3 3 2" xfId="31998"/>
    <cellStyle name="Normal 2 15 3 3 4" xfId="18267"/>
    <cellStyle name="Normal 2 15 3 3 4 2" xfId="38150"/>
    <cellStyle name="Normal 2 15 3 3 5" xfId="25845"/>
    <cellStyle name="Normal 2 15 3 4" xfId="7453"/>
    <cellStyle name="Normal 2 15 3 4 2" xfId="13647"/>
    <cellStyle name="Normal 2 15 3 4 2 2" xfId="33530"/>
    <cellStyle name="Normal 2 15 3 4 3" xfId="19799"/>
    <cellStyle name="Normal 2 15 3 4 3 2" xfId="39682"/>
    <cellStyle name="Normal 2 15 3 4 4" xfId="27377"/>
    <cellStyle name="Normal 2 15 3 5" xfId="10581"/>
    <cellStyle name="Normal 2 15 3 5 2" xfId="30464"/>
    <cellStyle name="Normal 2 15 3 6" xfId="16733"/>
    <cellStyle name="Normal 2 15 3 6 2" xfId="36616"/>
    <cellStyle name="Normal 2 15 3 7" xfId="24311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2 2" xfId="35834"/>
    <cellStyle name="Normal 2 16 3 2 2 2 3" xfId="22103"/>
    <cellStyle name="Normal 2 16 3 2 2 2 3 2" xfId="41986"/>
    <cellStyle name="Normal 2 16 3 2 2 2 4" xfId="29681"/>
    <cellStyle name="Normal 2 16 3 2 2 3" xfId="12885"/>
    <cellStyle name="Normal 2 16 3 2 2 3 2" xfId="32768"/>
    <cellStyle name="Normal 2 16 3 2 2 4" xfId="19037"/>
    <cellStyle name="Normal 2 16 3 2 2 4 2" xfId="38920"/>
    <cellStyle name="Normal 2 16 3 2 2 5" xfId="26615"/>
    <cellStyle name="Normal 2 16 3 2 3" xfId="8223"/>
    <cellStyle name="Normal 2 16 3 2 3 2" xfId="14417"/>
    <cellStyle name="Normal 2 16 3 2 3 2 2" xfId="34300"/>
    <cellStyle name="Normal 2 16 3 2 3 3" xfId="20569"/>
    <cellStyle name="Normal 2 16 3 2 3 3 2" xfId="40452"/>
    <cellStyle name="Normal 2 16 3 2 3 4" xfId="28147"/>
    <cellStyle name="Normal 2 16 3 2 4" xfId="11351"/>
    <cellStyle name="Normal 2 16 3 2 4 2" xfId="31234"/>
    <cellStyle name="Normal 2 16 3 2 5" xfId="17503"/>
    <cellStyle name="Normal 2 16 3 2 5 2" xfId="37386"/>
    <cellStyle name="Normal 2 16 3 2 6" xfId="25081"/>
    <cellStyle name="Normal 2 16 3 3" xfId="5889"/>
    <cellStyle name="Normal 2 16 3 3 2" xfId="8989"/>
    <cellStyle name="Normal 2 16 3 3 2 2" xfId="15182"/>
    <cellStyle name="Normal 2 16 3 3 2 2 2" xfId="35065"/>
    <cellStyle name="Normal 2 16 3 3 2 3" xfId="21334"/>
    <cellStyle name="Normal 2 16 3 3 2 3 2" xfId="41217"/>
    <cellStyle name="Normal 2 16 3 3 2 4" xfId="28912"/>
    <cellStyle name="Normal 2 16 3 3 3" xfId="12116"/>
    <cellStyle name="Normal 2 16 3 3 3 2" xfId="31999"/>
    <cellStyle name="Normal 2 16 3 3 4" xfId="18268"/>
    <cellStyle name="Normal 2 16 3 3 4 2" xfId="38151"/>
    <cellStyle name="Normal 2 16 3 3 5" xfId="25846"/>
    <cellStyle name="Normal 2 16 3 4" xfId="7454"/>
    <cellStyle name="Normal 2 16 3 4 2" xfId="13648"/>
    <cellStyle name="Normal 2 16 3 4 2 2" xfId="33531"/>
    <cellStyle name="Normal 2 16 3 4 3" xfId="19800"/>
    <cellStyle name="Normal 2 16 3 4 3 2" xfId="39683"/>
    <cellStyle name="Normal 2 16 3 4 4" xfId="27378"/>
    <cellStyle name="Normal 2 16 3 5" xfId="10582"/>
    <cellStyle name="Normal 2 16 3 5 2" xfId="30465"/>
    <cellStyle name="Normal 2 16 3 6" xfId="16734"/>
    <cellStyle name="Normal 2 16 3 6 2" xfId="36617"/>
    <cellStyle name="Normal 2 16 3 7" xfId="24312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2 2" xfId="35835"/>
    <cellStyle name="Normal 2 17 3 2 2 2 3" xfId="22104"/>
    <cellStyle name="Normal 2 17 3 2 2 2 3 2" xfId="41987"/>
    <cellStyle name="Normal 2 17 3 2 2 2 4" xfId="29682"/>
    <cellStyle name="Normal 2 17 3 2 2 3" xfId="12886"/>
    <cellStyle name="Normal 2 17 3 2 2 3 2" xfId="32769"/>
    <cellStyle name="Normal 2 17 3 2 2 4" xfId="19038"/>
    <cellStyle name="Normal 2 17 3 2 2 4 2" xfId="38921"/>
    <cellStyle name="Normal 2 17 3 2 2 5" xfId="26616"/>
    <cellStyle name="Normal 2 17 3 2 3" xfId="8224"/>
    <cellStyle name="Normal 2 17 3 2 3 2" xfId="14418"/>
    <cellStyle name="Normal 2 17 3 2 3 2 2" xfId="34301"/>
    <cellStyle name="Normal 2 17 3 2 3 3" xfId="20570"/>
    <cellStyle name="Normal 2 17 3 2 3 3 2" xfId="40453"/>
    <cellStyle name="Normal 2 17 3 2 3 4" xfId="28148"/>
    <cellStyle name="Normal 2 17 3 2 4" xfId="11352"/>
    <cellStyle name="Normal 2 17 3 2 4 2" xfId="31235"/>
    <cellStyle name="Normal 2 17 3 2 5" xfId="17504"/>
    <cellStyle name="Normal 2 17 3 2 5 2" xfId="37387"/>
    <cellStyle name="Normal 2 17 3 2 6" xfId="25082"/>
    <cellStyle name="Normal 2 17 3 3" xfId="5890"/>
    <cellStyle name="Normal 2 17 3 3 2" xfId="8990"/>
    <cellStyle name="Normal 2 17 3 3 2 2" xfId="15183"/>
    <cellStyle name="Normal 2 17 3 3 2 2 2" xfId="35066"/>
    <cellStyle name="Normal 2 17 3 3 2 3" xfId="21335"/>
    <cellStyle name="Normal 2 17 3 3 2 3 2" xfId="41218"/>
    <cellStyle name="Normal 2 17 3 3 2 4" xfId="28913"/>
    <cellStyle name="Normal 2 17 3 3 3" xfId="12117"/>
    <cellStyle name="Normal 2 17 3 3 3 2" xfId="32000"/>
    <cellStyle name="Normal 2 17 3 3 4" xfId="18269"/>
    <cellStyle name="Normal 2 17 3 3 4 2" xfId="38152"/>
    <cellStyle name="Normal 2 17 3 3 5" xfId="25847"/>
    <cellStyle name="Normal 2 17 3 4" xfId="7455"/>
    <cellStyle name="Normal 2 17 3 4 2" xfId="13649"/>
    <cellStyle name="Normal 2 17 3 4 2 2" xfId="33532"/>
    <cellStyle name="Normal 2 17 3 4 3" xfId="19801"/>
    <cellStyle name="Normal 2 17 3 4 3 2" xfId="39684"/>
    <cellStyle name="Normal 2 17 3 4 4" xfId="27379"/>
    <cellStyle name="Normal 2 17 3 5" xfId="10583"/>
    <cellStyle name="Normal 2 17 3 5 2" xfId="30466"/>
    <cellStyle name="Normal 2 17 3 6" xfId="16735"/>
    <cellStyle name="Normal 2 17 3 6 2" xfId="36618"/>
    <cellStyle name="Normal 2 17 3 7" xfId="24313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2 2" xfId="35836"/>
    <cellStyle name="Normal 2 18 3 2 2 2 3" xfId="22105"/>
    <cellStyle name="Normal 2 18 3 2 2 2 3 2" xfId="41988"/>
    <cellStyle name="Normal 2 18 3 2 2 2 4" xfId="29683"/>
    <cellStyle name="Normal 2 18 3 2 2 3" xfId="12887"/>
    <cellStyle name="Normal 2 18 3 2 2 3 2" xfId="32770"/>
    <cellStyle name="Normal 2 18 3 2 2 4" xfId="19039"/>
    <cellStyle name="Normal 2 18 3 2 2 4 2" xfId="38922"/>
    <cellStyle name="Normal 2 18 3 2 2 5" xfId="26617"/>
    <cellStyle name="Normal 2 18 3 2 3" xfId="8225"/>
    <cellStyle name="Normal 2 18 3 2 3 2" xfId="14419"/>
    <cellStyle name="Normal 2 18 3 2 3 2 2" xfId="34302"/>
    <cellStyle name="Normal 2 18 3 2 3 3" xfId="20571"/>
    <cellStyle name="Normal 2 18 3 2 3 3 2" xfId="40454"/>
    <cellStyle name="Normal 2 18 3 2 3 4" xfId="28149"/>
    <cellStyle name="Normal 2 18 3 2 4" xfId="11353"/>
    <cellStyle name="Normal 2 18 3 2 4 2" xfId="31236"/>
    <cellStyle name="Normal 2 18 3 2 5" xfId="17505"/>
    <cellStyle name="Normal 2 18 3 2 5 2" xfId="37388"/>
    <cellStyle name="Normal 2 18 3 2 6" xfId="25083"/>
    <cellStyle name="Normal 2 18 3 3" xfId="5891"/>
    <cellStyle name="Normal 2 18 3 3 2" xfId="8991"/>
    <cellStyle name="Normal 2 18 3 3 2 2" xfId="15184"/>
    <cellStyle name="Normal 2 18 3 3 2 2 2" xfId="35067"/>
    <cellStyle name="Normal 2 18 3 3 2 3" xfId="21336"/>
    <cellStyle name="Normal 2 18 3 3 2 3 2" xfId="41219"/>
    <cellStyle name="Normal 2 18 3 3 2 4" xfId="28914"/>
    <cellStyle name="Normal 2 18 3 3 3" xfId="12118"/>
    <cellStyle name="Normal 2 18 3 3 3 2" xfId="32001"/>
    <cellStyle name="Normal 2 18 3 3 4" xfId="18270"/>
    <cellStyle name="Normal 2 18 3 3 4 2" xfId="38153"/>
    <cellStyle name="Normal 2 18 3 3 5" xfId="25848"/>
    <cellStyle name="Normal 2 18 3 4" xfId="7456"/>
    <cellStyle name="Normal 2 18 3 4 2" xfId="13650"/>
    <cellStyle name="Normal 2 18 3 4 2 2" xfId="33533"/>
    <cellStyle name="Normal 2 18 3 4 3" xfId="19802"/>
    <cellStyle name="Normal 2 18 3 4 3 2" xfId="39685"/>
    <cellStyle name="Normal 2 18 3 4 4" xfId="27380"/>
    <cellStyle name="Normal 2 18 3 5" xfId="10584"/>
    <cellStyle name="Normal 2 18 3 5 2" xfId="30467"/>
    <cellStyle name="Normal 2 18 3 6" xfId="16736"/>
    <cellStyle name="Normal 2 18 3 6 2" xfId="36619"/>
    <cellStyle name="Normal 2 18 3 7" xfId="24314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2 2" xfId="35837"/>
    <cellStyle name="Normal 2 19 3 2 2 2 3" xfId="22106"/>
    <cellStyle name="Normal 2 19 3 2 2 2 3 2" xfId="41989"/>
    <cellStyle name="Normal 2 19 3 2 2 2 4" xfId="29684"/>
    <cellStyle name="Normal 2 19 3 2 2 3" xfId="12888"/>
    <cellStyle name="Normal 2 19 3 2 2 3 2" xfId="32771"/>
    <cellStyle name="Normal 2 19 3 2 2 4" xfId="19040"/>
    <cellStyle name="Normal 2 19 3 2 2 4 2" xfId="38923"/>
    <cellStyle name="Normal 2 19 3 2 2 5" xfId="26618"/>
    <cellStyle name="Normal 2 19 3 2 3" xfId="8226"/>
    <cellStyle name="Normal 2 19 3 2 3 2" xfId="14420"/>
    <cellStyle name="Normal 2 19 3 2 3 2 2" xfId="34303"/>
    <cellStyle name="Normal 2 19 3 2 3 3" xfId="20572"/>
    <cellStyle name="Normal 2 19 3 2 3 3 2" xfId="40455"/>
    <cellStyle name="Normal 2 19 3 2 3 4" xfId="28150"/>
    <cellStyle name="Normal 2 19 3 2 4" xfId="11354"/>
    <cellStyle name="Normal 2 19 3 2 4 2" xfId="31237"/>
    <cellStyle name="Normal 2 19 3 2 5" xfId="17506"/>
    <cellStyle name="Normal 2 19 3 2 5 2" xfId="37389"/>
    <cellStyle name="Normal 2 19 3 2 6" xfId="25084"/>
    <cellStyle name="Normal 2 19 3 3" xfId="5892"/>
    <cellStyle name="Normal 2 19 3 3 2" xfId="8992"/>
    <cellStyle name="Normal 2 19 3 3 2 2" xfId="15185"/>
    <cellStyle name="Normal 2 19 3 3 2 2 2" xfId="35068"/>
    <cellStyle name="Normal 2 19 3 3 2 3" xfId="21337"/>
    <cellStyle name="Normal 2 19 3 3 2 3 2" xfId="41220"/>
    <cellStyle name="Normal 2 19 3 3 2 4" xfId="28915"/>
    <cellStyle name="Normal 2 19 3 3 3" xfId="12119"/>
    <cellStyle name="Normal 2 19 3 3 3 2" xfId="32002"/>
    <cellStyle name="Normal 2 19 3 3 4" xfId="18271"/>
    <cellStyle name="Normal 2 19 3 3 4 2" xfId="38154"/>
    <cellStyle name="Normal 2 19 3 3 5" xfId="25849"/>
    <cellStyle name="Normal 2 19 3 4" xfId="7457"/>
    <cellStyle name="Normal 2 19 3 4 2" xfId="13651"/>
    <cellStyle name="Normal 2 19 3 4 2 2" xfId="33534"/>
    <cellStyle name="Normal 2 19 3 4 3" xfId="19803"/>
    <cellStyle name="Normal 2 19 3 4 3 2" xfId="39686"/>
    <cellStyle name="Normal 2 19 3 4 4" xfId="27381"/>
    <cellStyle name="Normal 2 19 3 5" xfId="10585"/>
    <cellStyle name="Normal 2 19 3 5 2" xfId="30468"/>
    <cellStyle name="Normal 2 19 3 6" xfId="16737"/>
    <cellStyle name="Normal 2 19 3 6 2" xfId="36620"/>
    <cellStyle name="Normal 2 19 3 7" xfId="24315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2 2" xfId="35838"/>
    <cellStyle name="Normal 2 2 10 2 2 2 3" xfId="22107"/>
    <cellStyle name="Normal 2 2 10 2 2 2 3 2" xfId="41990"/>
    <cellStyle name="Normal 2 2 10 2 2 2 4" xfId="29685"/>
    <cellStyle name="Normal 2 2 10 2 2 3" xfId="12889"/>
    <cellStyle name="Normal 2 2 10 2 2 3 2" xfId="32772"/>
    <cellStyle name="Normal 2 2 10 2 2 4" xfId="19041"/>
    <cellStyle name="Normal 2 2 10 2 2 4 2" xfId="38924"/>
    <cellStyle name="Normal 2 2 10 2 2 5" xfId="26619"/>
    <cellStyle name="Normal 2 2 10 2 3" xfId="8227"/>
    <cellStyle name="Normal 2 2 10 2 3 2" xfId="14421"/>
    <cellStyle name="Normal 2 2 10 2 3 2 2" xfId="34304"/>
    <cellStyle name="Normal 2 2 10 2 3 3" xfId="20573"/>
    <cellStyle name="Normal 2 2 10 2 3 3 2" xfId="40456"/>
    <cellStyle name="Normal 2 2 10 2 3 4" xfId="28151"/>
    <cellStyle name="Normal 2 2 10 2 4" xfId="11355"/>
    <cellStyle name="Normal 2 2 10 2 4 2" xfId="31238"/>
    <cellStyle name="Normal 2 2 10 2 5" xfId="17507"/>
    <cellStyle name="Normal 2 2 10 2 5 2" xfId="37390"/>
    <cellStyle name="Normal 2 2 10 2 6" xfId="25085"/>
    <cellStyle name="Normal 2 2 10 3" xfId="5893"/>
    <cellStyle name="Normal 2 2 10 3 2" xfId="8993"/>
    <cellStyle name="Normal 2 2 10 3 2 2" xfId="15186"/>
    <cellStyle name="Normal 2 2 10 3 2 2 2" xfId="35069"/>
    <cellStyle name="Normal 2 2 10 3 2 3" xfId="21338"/>
    <cellStyle name="Normal 2 2 10 3 2 3 2" xfId="41221"/>
    <cellStyle name="Normal 2 2 10 3 2 4" xfId="28916"/>
    <cellStyle name="Normal 2 2 10 3 3" xfId="12120"/>
    <cellStyle name="Normal 2 2 10 3 3 2" xfId="32003"/>
    <cellStyle name="Normal 2 2 10 3 4" xfId="18272"/>
    <cellStyle name="Normal 2 2 10 3 4 2" xfId="38155"/>
    <cellStyle name="Normal 2 2 10 3 5" xfId="25850"/>
    <cellStyle name="Normal 2 2 10 4" xfId="7458"/>
    <cellStyle name="Normal 2 2 10 4 2" xfId="13652"/>
    <cellStyle name="Normal 2 2 10 4 2 2" xfId="33535"/>
    <cellStyle name="Normal 2 2 10 4 3" xfId="19804"/>
    <cellStyle name="Normal 2 2 10 4 3 2" xfId="39687"/>
    <cellStyle name="Normal 2 2 10 4 4" xfId="27382"/>
    <cellStyle name="Normal 2 2 10 5" xfId="10586"/>
    <cellStyle name="Normal 2 2 10 5 2" xfId="30469"/>
    <cellStyle name="Normal 2 2 10 6" xfId="16738"/>
    <cellStyle name="Normal 2 2 10 6 2" xfId="36621"/>
    <cellStyle name="Normal 2 2 10 7" xfId="3538"/>
    <cellStyle name="Normal 2 2 10 7 2" xfId="24316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2 2" xfId="35839"/>
    <cellStyle name="Normal 2 2 11 2 2 2 3" xfId="22108"/>
    <cellStyle name="Normal 2 2 11 2 2 2 3 2" xfId="41991"/>
    <cellStyle name="Normal 2 2 11 2 2 2 4" xfId="29686"/>
    <cellStyle name="Normal 2 2 11 2 2 3" xfId="12890"/>
    <cellStyle name="Normal 2 2 11 2 2 3 2" xfId="32773"/>
    <cellStyle name="Normal 2 2 11 2 2 4" xfId="19042"/>
    <cellStyle name="Normal 2 2 11 2 2 4 2" xfId="38925"/>
    <cellStyle name="Normal 2 2 11 2 2 5" xfId="26620"/>
    <cellStyle name="Normal 2 2 11 2 3" xfId="8228"/>
    <cellStyle name="Normal 2 2 11 2 3 2" xfId="14422"/>
    <cellStyle name="Normal 2 2 11 2 3 2 2" xfId="34305"/>
    <cellStyle name="Normal 2 2 11 2 3 3" xfId="20574"/>
    <cellStyle name="Normal 2 2 11 2 3 3 2" xfId="40457"/>
    <cellStyle name="Normal 2 2 11 2 3 4" xfId="28152"/>
    <cellStyle name="Normal 2 2 11 2 4" xfId="11356"/>
    <cellStyle name="Normal 2 2 11 2 4 2" xfId="31239"/>
    <cellStyle name="Normal 2 2 11 2 5" xfId="17508"/>
    <cellStyle name="Normal 2 2 11 2 5 2" xfId="37391"/>
    <cellStyle name="Normal 2 2 11 2 6" xfId="25086"/>
    <cellStyle name="Normal 2 2 11 3" xfId="5894"/>
    <cellStyle name="Normal 2 2 11 3 2" xfId="8994"/>
    <cellStyle name="Normal 2 2 11 3 2 2" xfId="15187"/>
    <cellStyle name="Normal 2 2 11 3 2 2 2" xfId="35070"/>
    <cellStyle name="Normal 2 2 11 3 2 3" xfId="21339"/>
    <cellStyle name="Normal 2 2 11 3 2 3 2" xfId="41222"/>
    <cellStyle name="Normal 2 2 11 3 2 4" xfId="28917"/>
    <cellStyle name="Normal 2 2 11 3 3" xfId="12121"/>
    <cellStyle name="Normal 2 2 11 3 3 2" xfId="32004"/>
    <cellStyle name="Normal 2 2 11 3 4" xfId="18273"/>
    <cellStyle name="Normal 2 2 11 3 4 2" xfId="38156"/>
    <cellStyle name="Normal 2 2 11 3 5" xfId="25851"/>
    <cellStyle name="Normal 2 2 11 4" xfId="7459"/>
    <cellStyle name="Normal 2 2 11 4 2" xfId="13653"/>
    <cellStyle name="Normal 2 2 11 4 2 2" xfId="33536"/>
    <cellStyle name="Normal 2 2 11 4 3" xfId="19805"/>
    <cellStyle name="Normal 2 2 11 4 3 2" xfId="39688"/>
    <cellStyle name="Normal 2 2 11 4 4" xfId="27383"/>
    <cellStyle name="Normal 2 2 11 5" xfId="10587"/>
    <cellStyle name="Normal 2 2 11 5 2" xfId="30470"/>
    <cellStyle name="Normal 2 2 11 6" xfId="16739"/>
    <cellStyle name="Normal 2 2 11 6 2" xfId="36622"/>
    <cellStyle name="Normal 2 2 11 7" xfId="3539"/>
    <cellStyle name="Normal 2 2 11 7 2" xfId="24317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2 2" xfId="35840"/>
    <cellStyle name="Normal 2 2 12 2 2 2 3" xfId="22109"/>
    <cellStyle name="Normal 2 2 12 2 2 2 3 2" xfId="41992"/>
    <cellStyle name="Normal 2 2 12 2 2 2 4" xfId="29687"/>
    <cellStyle name="Normal 2 2 12 2 2 3" xfId="12891"/>
    <cellStyle name="Normal 2 2 12 2 2 3 2" xfId="32774"/>
    <cellStyle name="Normal 2 2 12 2 2 4" xfId="19043"/>
    <cellStyle name="Normal 2 2 12 2 2 4 2" xfId="38926"/>
    <cellStyle name="Normal 2 2 12 2 2 5" xfId="26621"/>
    <cellStyle name="Normal 2 2 12 2 3" xfId="8229"/>
    <cellStyle name="Normal 2 2 12 2 3 2" xfId="14423"/>
    <cellStyle name="Normal 2 2 12 2 3 2 2" xfId="34306"/>
    <cellStyle name="Normal 2 2 12 2 3 3" xfId="20575"/>
    <cellStyle name="Normal 2 2 12 2 3 3 2" xfId="40458"/>
    <cellStyle name="Normal 2 2 12 2 3 4" xfId="28153"/>
    <cellStyle name="Normal 2 2 12 2 4" xfId="11357"/>
    <cellStyle name="Normal 2 2 12 2 4 2" xfId="31240"/>
    <cellStyle name="Normal 2 2 12 2 5" xfId="17509"/>
    <cellStyle name="Normal 2 2 12 2 5 2" xfId="37392"/>
    <cellStyle name="Normal 2 2 12 2 6" xfId="25087"/>
    <cellStyle name="Normal 2 2 12 3" xfId="5895"/>
    <cellStyle name="Normal 2 2 12 3 2" xfId="8995"/>
    <cellStyle name="Normal 2 2 12 3 2 2" xfId="15188"/>
    <cellStyle name="Normal 2 2 12 3 2 2 2" xfId="35071"/>
    <cellStyle name="Normal 2 2 12 3 2 3" xfId="21340"/>
    <cellStyle name="Normal 2 2 12 3 2 3 2" xfId="41223"/>
    <cellStyle name="Normal 2 2 12 3 2 4" xfId="28918"/>
    <cellStyle name="Normal 2 2 12 3 3" xfId="12122"/>
    <cellStyle name="Normal 2 2 12 3 3 2" xfId="32005"/>
    <cellStyle name="Normal 2 2 12 3 4" xfId="18274"/>
    <cellStyle name="Normal 2 2 12 3 4 2" xfId="38157"/>
    <cellStyle name="Normal 2 2 12 3 5" xfId="25852"/>
    <cellStyle name="Normal 2 2 12 4" xfId="7460"/>
    <cellStyle name="Normal 2 2 12 4 2" xfId="13654"/>
    <cellStyle name="Normal 2 2 12 4 2 2" xfId="33537"/>
    <cellStyle name="Normal 2 2 12 4 3" xfId="19806"/>
    <cellStyle name="Normal 2 2 12 4 3 2" xfId="39689"/>
    <cellStyle name="Normal 2 2 12 4 4" xfId="27384"/>
    <cellStyle name="Normal 2 2 12 5" xfId="10588"/>
    <cellStyle name="Normal 2 2 12 5 2" xfId="30471"/>
    <cellStyle name="Normal 2 2 12 6" xfId="16740"/>
    <cellStyle name="Normal 2 2 12 6 2" xfId="36623"/>
    <cellStyle name="Normal 2 2 12 7" xfId="3540"/>
    <cellStyle name="Normal 2 2 12 7 2" xfId="24318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2 2" xfId="35841"/>
    <cellStyle name="Normal 2 2 13 2 2 2 3" xfId="22110"/>
    <cellStyle name="Normal 2 2 13 2 2 2 3 2" xfId="41993"/>
    <cellStyle name="Normal 2 2 13 2 2 2 4" xfId="29688"/>
    <cellStyle name="Normal 2 2 13 2 2 3" xfId="12892"/>
    <cellStyle name="Normal 2 2 13 2 2 3 2" xfId="32775"/>
    <cellStyle name="Normal 2 2 13 2 2 4" xfId="19044"/>
    <cellStyle name="Normal 2 2 13 2 2 4 2" xfId="38927"/>
    <cellStyle name="Normal 2 2 13 2 2 5" xfId="26622"/>
    <cellStyle name="Normal 2 2 13 2 3" xfId="8230"/>
    <cellStyle name="Normal 2 2 13 2 3 2" xfId="14424"/>
    <cellStyle name="Normal 2 2 13 2 3 2 2" xfId="34307"/>
    <cellStyle name="Normal 2 2 13 2 3 3" xfId="20576"/>
    <cellStyle name="Normal 2 2 13 2 3 3 2" xfId="40459"/>
    <cellStyle name="Normal 2 2 13 2 3 4" xfId="28154"/>
    <cellStyle name="Normal 2 2 13 2 4" xfId="11358"/>
    <cellStyle name="Normal 2 2 13 2 4 2" xfId="31241"/>
    <cellStyle name="Normal 2 2 13 2 5" xfId="17510"/>
    <cellStyle name="Normal 2 2 13 2 5 2" xfId="37393"/>
    <cellStyle name="Normal 2 2 13 2 6" xfId="25088"/>
    <cellStyle name="Normal 2 2 13 3" xfId="5896"/>
    <cellStyle name="Normal 2 2 13 3 2" xfId="8996"/>
    <cellStyle name="Normal 2 2 13 3 2 2" xfId="15189"/>
    <cellStyle name="Normal 2 2 13 3 2 2 2" xfId="35072"/>
    <cellStyle name="Normal 2 2 13 3 2 3" xfId="21341"/>
    <cellStyle name="Normal 2 2 13 3 2 3 2" xfId="41224"/>
    <cellStyle name="Normal 2 2 13 3 2 4" xfId="28919"/>
    <cellStyle name="Normal 2 2 13 3 3" xfId="12123"/>
    <cellStyle name="Normal 2 2 13 3 3 2" xfId="32006"/>
    <cellStyle name="Normal 2 2 13 3 4" xfId="18275"/>
    <cellStyle name="Normal 2 2 13 3 4 2" xfId="38158"/>
    <cellStyle name="Normal 2 2 13 3 5" xfId="25853"/>
    <cellStyle name="Normal 2 2 13 4" xfId="7461"/>
    <cellStyle name="Normal 2 2 13 4 2" xfId="13655"/>
    <cellStyle name="Normal 2 2 13 4 2 2" xfId="33538"/>
    <cellStyle name="Normal 2 2 13 4 3" xfId="19807"/>
    <cellStyle name="Normal 2 2 13 4 3 2" xfId="39690"/>
    <cellStyle name="Normal 2 2 13 4 4" xfId="27385"/>
    <cellStyle name="Normal 2 2 13 5" xfId="10589"/>
    <cellStyle name="Normal 2 2 13 5 2" xfId="30472"/>
    <cellStyle name="Normal 2 2 13 6" xfId="16741"/>
    <cellStyle name="Normal 2 2 13 6 2" xfId="36624"/>
    <cellStyle name="Normal 2 2 13 7" xfId="3541"/>
    <cellStyle name="Normal 2 2 13 7 2" xfId="24319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2 2" xfId="35842"/>
    <cellStyle name="Normal 2 2 14 2 2 2 3" xfId="22111"/>
    <cellStyle name="Normal 2 2 14 2 2 2 3 2" xfId="41994"/>
    <cellStyle name="Normal 2 2 14 2 2 2 4" xfId="29689"/>
    <cellStyle name="Normal 2 2 14 2 2 3" xfId="12893"/>
    <cellStyle name="Normal 2 2 14 2 2 3 2" xfId="32776"/>
    <cellStyle name="Normal 2 2 14 2 2 4" xfId="19045"/>
    <cellStyle name="Normal 2 2 14 2 2 4 2" xfId="38928"/>
    <cellStyle name="Normal 2 2 14 2 2 5" xfId="26623"/>
    <cellStyle name="Normal 2 2 14 2 3" xfId="8231"/>
    <cellStyle name="Normal 2 2 14 2 3 2" xfId="14425"/>
    <cellStyle name="Normal 2 2 14 2 3 2 2" xfId="34308"/>
    <cellStyle name="Normal 2 2 14 2 3 3" xfId="20577"/>
    <cellStyle name="Normal 2 2 14 2 3 3 2" xfId="40460"/>
    <cellStyle name="Normal 2 2 14 2 3 4" xfId="28155"/>
    <cellStyle name="Normal 2 2 14 2 4" xfId="11359"/>
    <cellStyle name="Normal 2 2 14 2 4 2" xfId="31242"/>
    <cellStyle name="Normal 2 2 14 2 5" xfId="17511"/>
    <cellStyle name="Normal 2 2 14 2 5 2" xfId="37394"/>
    <cellStyle name="Normal 2 2 14 2 6" xfId="25089"/>
    <cellStyle name="Normal 2 2 14 3" xfId="5897"/>
    <cellStyle name="Normal 2 2 14 3 2" xfId="8997"/>
    <cellStyle name="Normal 2 2 14 3 2 2" xfId="15190"/>
    <cellStyle name="Normal 2 2 14 3 2 2 2" xfId="35073"/>
    <cellStyle name="Normal 2 2 14 3 2 3" xfId="21342"/>
    <cellStyle name="Normal 2 2 14 3 2 3 2" xfId="41225"/>
    <cellStyle name="Normal 2 2 14 3 2 4" xfId="28920"/>
    <cellStyle name="Normal 2 2 14 3 3" xfId="12124"/>
    <cellStyle name="Normal 2 2 14 3 3 2" xfId="32007"/>
    <cellStyle name="Normal 2 2 14 3 4" xfId="18276"/>
    <cellStyle name="Normal 2 2 14 3 4 2" xfId="38159"/>
    <cellStyle name="Normal 2 2 14 3 5" xfId="25854"/>
    <cellStyle name="Normal 2 2 14 4" xfId="7462"/>
    <cellStyle name="Normal 2 2 14 4 2" xfId="13656"/>
    <cellStyle name="Normal 2 2 14 4 2 2" xfId="33539"/>
    <cellStyle name="Normal 2 2 14 4 3" xfId="19808"/>
    <cellStyle name="Normal 2 2 14 4 3 2" xfId="39691"/>
    <cellStyle name="Normal 2 2 14 4 4" xfId="27386"/>
    <cellStyle name="Normal 2 2 14 5" xfId="10590"/>
    <cellStyle name="Normal 2 2 14 5 2" xfId="30473"/>
    <cellStyle name="Normal 2 2 14 6" xfId="16742"/>
    <cellStyle name="Normal 2 2 14 6 2" xfId="36625"/>
    <cellStyle name="Normal 2 2 14 7" xfId="3542"/>
    <cellStyle name="Normal 2 2 14 7 2" xfId="24320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2 2" xfId="35843"/>
    <cellStyle name="Normal 2 2 15 2 2 2 3" xfId="22112"/>
    <cellStyle name="Normal 2 2 15 2 2 2 3 2" xfId="41995"/>
    <cellStyle name="Normal 2 2 15 2 2 2 4" xfId="29690"/>
    <cellStyle name="Normal 2 2 15 2 2 3" xfId="12894"/>
    <cellStyle name="Normal 2 2 15 2 2 3 2" xfId="32777"/>
    <cellStyle name="Normal 2 2 15 2 2 4" xfId="19046"/>
    <cellStyle name="Normal 2 2 15 2 2 4 2" xfId="38929"/>
    <cellStyle name="Normal 2 2 15 2 2 5" xfId="26624"/>
    <cellStyle name="Normal 2 2 15 2 3" xfId="8232"/>
    <cellStyle name="Normal 2 2 15 2 3 2" xfId="14426"/>
    <cellStyle name="Normal 2 2 15 2 3 2 2" xfId="34309"/>
    <cellStyle name="Normal 2 2 15 2 3 3" xfId="20578"/>
    <cellStyle name="Normal 2 2 15 2 3 3 2" xfId="40461"/>
    <cellStyle name="Normal 2 2 15 2 3 4" xfId="28156"/>
    <cellStyle name="Normal 2 2 15 2 4" xfId="11360"/>
    <cellStyle name="Normal 2 2 15 2 4 2" xfId="31243"/>
    <cellStyle name="Normal 2 2 15 2 5" xfId="17512"/>
    <cellStyle name="Normal 2 2 15 2 5 2" xfId="37395"/>
    <cellStyle name="Normal 2 2 15 2 6" xfId="25090"/>
    <cellStyle name="Normal 2 2 15 3" xfId="5898"/>
    <cellStyle name="Normal 2 2 15 3 2" xfId="8998"/>
    <cellStyle name="Normal 2 2 15 3 2 2" xfId="15191"/>
    <cellStyle name="Normal 2 2 15 3 2 2 2" xfId="35074"/>
    <cellStyle name="Normal 2 2 15 3 2 3" xfId="21343"/>
    <cellStyle name="Normal 2 2 15 3 2 3 2" xfId="41226"/>
    <cellStyle name="Normal 2 2 15 3 2 4" xfId="28921"/>
    <cellStyle name="Normal 2 2 15 3 3" xfId="12125"/>
    <cellStyle name="Normal 2 2 15 3 3 2" xfId="32008"/>
    <cellStyle name="Normal 2 2 15 3 4" xfId="18277"/>
    <cellStyle name="Normal 2 2 15 3 4 2" xfId="38160"/>
    <cellStyle name="Normal 2 2 15 3 5" xfId="25855"/>
    <cellStyle name="Normal 2 2 15 4" xfId="7463"/>
    <cellStyle name="Normal 2 2 15 4 2" xfId="13657"/>
    <cellStyle name="Normal 2 2 15 4 2 2" xfId="33540"/>
    <cellStyle name="Normal 2 2 15 4 3" xfId="19809"/>
    <cellStyle name="Normal 2 2 15 4 3 2" xfId="39692"/>
    <cellStyle name="Normal 2 2 15 4 4" xfId="27387"/>
    <cellStyle name="Normal 2 2 15 5" xfId="10591"/>
    <cellStyle name="Normal 2 2 15 5 2" xfId="30474"/>
    <cellStyle name="Normal 2 2 15 6" xfId="16743"/>
    <cellStyle name="Normal 2 2 15 6 2" xfId="36626"/>
    <cellStyle name="Normal 2 2 15 7" xfId="3543"/>
    <cellStyle name="Normal 2 2 15 7 2" xfId="24321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2 2" xfId="35844"/>
    <cellStyle name="Normal 2 2 16 2 2 2 3" xfId="22113"/>
    <cellStyle name="Normal 2 2 16 2 2 2 3 2" xfId="41996"/>
    <cellStyle name="Normal 2 2 16 2 2 2 4" xfId="29691"/>
    <cellStyle name="Normal 2 2 16 2 2 3" xfId="12895"/>
    <cellStyle name="Normal 2 2 16 2 2 3 2" xfId="32778"/>
    <cellStyle name="Normal 2 2 16 2 2 4" xfId="19047"/>
    <cellStyle name="Normal 2 2 16 2 2 4 2" xfId="38930"/>
    <cellStyle name="Normal 2 2 16 2 2 5" xfId="26625"/>
    <cellStyle name="Normal 2 2 16 2 3" xfId="8233"/>
    <cellStyle name="Normal 2 2 16 2 3 2" xfId="14427"/>
    <cellStyle name="Normal 2 2 16 2 3 2 2" xfId="34310"/>
    <cellStyle name="Normal 2 2 16 2 3 3" xfId="20579"/>
    <cellStyle name="Normal 2 2 16 2 3 3 2" xfId="40462"/>
    <cellStyle name="Normal 2 2 16 2 3 4" xfId="28157"/>
    <cellStyle name="Normal 2 2 16 2 4" xfId="11361"/>
    <cellStyle name="Normal 2 2 16 2 4 2" xfId="31244"/>
    <cellStyle name="Normal 2 2 16 2 5" xfId="17513"/>
    <cellStyle name="Normal 2 2 16 2 5 2" xfId="37396"/>
    <cellStyle name="Normal 2 2 16 2 6" xfId="25091"/>
    <cellStyle name="Normal 2 2 16 3" xfId="5899"/>
    <cellStyle name="Normal 2 2 16 3 2" xfId="8999"/>
    <cellStyle name="Normal 2 2 16 3 2 2" xfId="15192"/>
    <cellStyle name="Normal 2 2 16 3 2 2 2" xfId="35075"/>
    <cellStyle name="Normal 2 2 16 3 2 3" xfId="21344"/>
    <cellStyle name="Normal 2 2 16 3 2 3 2" xfId="41227"/>
    <cellStyle name="Normal 2 2 16 3 2 4" xfId="28922"/>
    <cellStyle name="Normal 2 2 16 3 3" xfId="12126"/>
    <cellStyle name="Normal 2 2 16 3 3 2" xfId="32009"/>
    <cellStyle name="Normal 2 2 16 3 4" xfId="18278"/>
    <cellStyle name="Normal 2 2 16 3 4 2" xfId="38161"/>
    <cellStyle name="Normal 2 2 16 3 5" xfId="25856"/>
    <cellStyle name="Normal 2 2 16 4" xfId="7464"/>
    <cellStyle name="Normal 2 2 16 4 2" xfId="13658"/>
    <cellStyle name="Normal 2 2 16 4 2 2" xfId="33541"/>
    <cellStyle name="Normal 2 2 16 4 3" xfId="19810"/>
    <cellStyle name="Normal 2 2 16 4 3 2" xfId="39693"/>
    <cellStyle name="Normal 2 2 16 4 4" xfId="27388"/>
    <cellStyle name="Normal 2 2 16 5" xfId="10592"/>
    <cellStyle name="Normal 2 2 16 5 2" xfId="30475"/>
    <cellStyle name="Normal 2 2 16 6" xfId="16744"/>
    <cellStyle name="Normal 2 2 16 6 2" xfId="36627"/>
    <cellStyle name="Normal 2 2 16 7" xfId="3544"/>
    <cellStyle name="Normal 2 2 16 7 2" xfId="24322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2 2" xfId="35845"/>
    <cellStyle name="Normal 2 2 17 2 2 2 3" xfId="22114"/>
    <cellStyle name="Normal 2 2 17 2 2 2 3 2" xfId="41997"/>
    <cellStyle name="Normal 2 2 17 2 2 2 4" xfId="29692"/>
    <cellStyle name="Normal 2 2 17 2 2 3" xfId="12896"/>
    <cellStyle name="Normal 2 2 17 2 2 3 2" xfId="32779"/>
    <cellStyle name="Normal 2 2 17 2 2 4" xfId="19048"/>
    <cellStyle name="Normal 2 2 17 2 2 4 2" xfId="38931"/>
    <cellStyle name="Normal 2 2 17 2 2 5" xfId="26626"/>
    <cellStyle name="Normal 2 2 17 2 3" xfId="8234"/>
    <cellStyle name="Normal 2 2 17 2 3 2" xfId="14428"/>
    <cellStyle name="Normal 2 2 17 2 3 2 2" xfId="34311"/>
    <cellStyle name="Normal 2 2 17 2 3 3" xfId="20580"/>
    <cellStyle name="Normal 2 2 17 2 3 3 2" xfId="40463"/>
    <cellStyle name="Normal 2 2 17 2 3 4" xfId="28158"/>
    <cellStyle name="Normal 2 2 17 2 4" xfId="11362"/>
    <cellStyle name="Normal 2 2 17 2 4 2" xfId="31245"/>
    <cellStyle name="Normal 2 2 17 2 5" xfId="17514"/>
    <cellStyle name="Normal 2 2 17 2 5 2" xfId="37397"/>
    <cellStyle name="Normal 2 2 17 2 6" xfId="25092"/>
    <cellStyle name="Normal 2 2 17 3" xfId="5900"/>
    <cellStyle name="Normal 2 2 17 3 2" xfId="9000"/>
    <cellStyle name="Normal 2 2 17 3 2 2" xfId="15193"/>
    <cellStyle name="Normal 2 2 17 3 2 2 2" xfId="35076"/>
    <cellStyle name="Normal 2 2 17 3 2 3" xfId="21345"/>
    <cellStyle name="Normal 2 2 17 3 2 3 2" xfId="41228"/>
    <cellStyle name="Normal 2 2 17 3 2 4" xfId="28923"/>
    <cellStyle name="Normal 2 2 17 3 3" xfId="12127"/>
    <cellStyle name="Normal 2 2 17 3 3 2" xfId="32010"/>
    <cellStyle name="Normal 2 2 17 3 4" xfId="18279"/>
    <cellStyle name="Normal 2 2 17 3 4 2" xfId="38162"/>
    <cellStyle name="Normal 2 2 17 3 5" xfId="25857"/>
    <cellStyle name="Normal 2 2 17 4" xfId="7465"/>
    <cellStyle name="Normal 2 2 17 4 2" xfId="13659"/>
    <cellStyle name="Normal 2 2 17 4 2 2" xfId="33542"/>
    <cellStyle name="Normal 2 2 17 4 3" xfId="19811"/>
    <cellStyle name="Normal 2 2 17 4 3 2" xfId="39694"/>
    <cellStyle name="Normal 2 2 17 4 4" xfId="27389"/>
    <cellStyle name="Normal 2 2 17 5" xfId="10593"/>
    <cellStyle name="Normal 2 2 17 5 2" xfId="30476"/>
    <cellStyle name="Normal 2 2 17 6" xfId="16745"/>
    <cellStyle name="Normal 2 2 17 6 2" xfId="36628"/>
    <cellStyle name="Normal 2 2 17 7" xfId="3545"/>
    <cellStyle name="Normal 2 2 17 7 2" xfId="24323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2 2" xfId="35846"/>
    <cellStyle name="Normal 2 2 18 2 2 2 3" xfId="22115"/>
    <cellStyle name="Normal 2 2 18 2 2 2 3 2" xfId="41998"/>
    <cellStyle name="Normal 2 2 18 2 2 2 4" xfId="29693"/>
    <cellStyle name="Normal 2 2 18 2 2 3" xfId="12897"/>
    <cellStyle name="Normal 2 2 18 2 2 3 2" xfId="32780"/>
    <cellStyle name="Normal 2 2 18 2 2 4" xfId="19049"/>
    <cellStyle name="Normal 2 2 18 2 2 4 2" xfId="38932"/>
    <cellStyle name="Normal 2 2 18 2 2 5" xfId="26627"/>
    <cellStyle name="Normal 2 2 18 2 3" xfId="8235"/>
    <cellStyle name="Normal 2 2 18 2 3 2" xfId="14429"/>
    <cellStyle name="Normal 2 2 18 2 3 2 2" xfId="34312"/>
    <cellStyle name="Normal 2 2 18 2 3 3" xfId="20581"/>
    <cellStyle name="Normal 2 2 18 2 3 3 2" xfId="40464"/>
    <cellStyle name="Normal 2 2 18 2 3 4" xfId="28159"/>
    <cellStyle name="Normal 2 2 18 2 4" xfId="11363"/>
    <cellStyle name="Normal 2 2 18 2 4 2" xfId="31246"/>
    <cellStyle name="Normal 2 2 18 2 5" xfId="17515"/>
    <cellStyle name="Normal 2 2 18 2 5 2" xfId="37398"/>
    <cellStyle name="Normal 2 2 18 2 6" xfId="25093"/>
    <cellStyle name="Normal 2 2 18 3" xfId="5901"/>
    <cellStyle name="Normal 2 2 18 3 2" xfId="9001"/>
    <cellStyle name="Normal 2 2 18 3 2 2" xfId="15194"/>
    <cellStyle name="Normal 2 2 18 3 2 2 2" xfId="35077"/>
    <cellStyle name="Normal 2 2 18 3 2 3" xfId="21346"/>
    <cellStyle name="Normal 2 2 18 3 2 3 2" xfId="41229"/>
    <cellStyle name="Normal 2 2 18 3 2 4" xfId="28924"/>
    <cellStyle name="Normal 2 2 18 3 3" xfId="12128"/>
    <cellStyle name="Normal 2 2 18 3 3 2" xfId="32011"/>
    <cellStyle name="Normal 2 2 18 3 4" xfId="18280"/>
    <cellStyle name="Normal 2 2 18 3 4 2" xfId="38163"/>
    <cellStyle name="Normal 2 2 18 3 5" xfId="25858"/>
    <cellStyle name="Normal 2 2 18 4" xfId="7466"/>
    <cellStyle name="Normal 2 2 18 4 2" xfId="13660"/>
    <cellStyle name="Normal 2 2 18 4 2 2" xfId="33543"/>
    <cellStyle name="Normal 2 2 18 4 3" xfId="19812"/>
    <cellStyle name="Normal 2 2 18 4 3 2" xfId="39695"/>
    <cellStyle name="Normal 2 2 18 4 4" xfId="27390"/>
    <cellStyle name="Normal 2 2 18 5" xfId="10594"/>
    <cellStyle name="Normal 2 2 18 5 2" xfId="30477"/>
    <cellStyle name="Normal 2 2 18 6" xfId="16746"/>
    <cellStyle name="Normal 2 2 18 6 2" xfId="36629"/>
    <cellStyle name="Normal 2 2 18 7" xfId="3546"/>
    <cellStyle name="Normal 2 2 18 7 2" xfId="24324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2 2" xfId="35847"/>
    <cellStyle name="Normal 2 2 19 2 2 2 3" xfId="22116"/>
    <cellStyle name="Normal 2 2 19 2 2 2 3 2" xfId="41999"/>
    <cellStyle name="Normal 2 2 19 2 2 2 4" xfId="29694"/>
    <cellStyle name="Normal 2 2 19 2 2 3" xfId="12898"/>
    <cellStyle name="Normal 2 2 19 2 2 3 2" xfId="32781"/>
    <cellStyle name="Normal 2 2 19 2 2 4" xfId="19050"/>
    <cellStyle name="Normal 2 2 19 2 2 4 2" xfId="38933"/>
    <cellStyle name="Normal 2 2 19 2 2 5" xfId="26628"/>
    <cellStyle name="Normal 2 2 19 2 3" xfId="8236"/>
    <cellStyle name="Normal 2 2 19 2 3 2" xfId="14430"/>
    <cellStyle name="Normal 2 2 19 2 3 2 2" xfId="34313"/>
    <cellStyle name="Normal 2 2 19 2 3 3" xfId="20582"/>
    <cellStyle name="Normal 2 2 19 2 3 3 2" xfId="40465"/>
    <cellStyle name="Normal 2 2 19 2 3 4" xfId="28160"/>
    <cellStyle name="Normal 2 2 19 2 4" xfId="11364"/>
    <cellStyle name="Normal 2 2 19 2 4 2" xfId="31247"/>
    <cellStyle name="Normal 2 2 19 2 5" xfId="17516"/>
    <cellStyle name="Normal 2 2 19 2 5 2" xfId="37399"/>
    <cellStyle name="Normal 2 2 19 2 6" xfId="25094"/>
    <cellStyle name="Normal 2 2 19 3" xfId="5902"/>
    <cellStyle name="Normal 2 2 19 3 2" xfId="9002"/>
    <cellStyle name="Normal 2 2 19 3 2 2" xfId="15195"/>
    <cellStyle name="Normal 2 2 19 3 2 2 2" xfId="35078"/>
    <cellStyle name="Normal 2 2 19 3 2 3" xfId="21347"/>
    <cellStyle name="Normal 2 2 19 3 2 3 2" xfId="41230"/>
    <cellStyle name="Normal 2 2 19 3 2 4" xfId="28925"/>
    <cellStyle name="Normal 2 2 19 3 3" xfId="12129"/>
    <cellStyle name="Normal 2 2 19 3 3 2" xfId="32012"/>
    <cellStyle name="Normal 2 2 19 3 4" xfId="18281"/>
    <cellStyle name="Normal 2 2 19 3 4 2" xfId="38164"/>
    <cellStyle name="Normal 2 2 19 3 5" xfId="25859"/>
    <cellStyle name="Normal 2 2 19 4" xfId="7467"/>
    <cellStyle name="Normal 2 2 19 4 2" xfId="13661"/>
    <cellStyle name="Normal 2 2 19 4 2 2" xfId="33544"/>
    <cellStyle name="Normal 2 2 19 4 3" xfId="19813"/>
    <cellStyle name="Normal 2 2 19 4 3 2" xfId="39696"/>
    <cellStyle name="Normal 2 2 19 4 4" xfId="27391"/>
    <cellStyle name="Normal 2 2 19 5" xfId="10595"/>
    <cellStyle name="Normal 2 2 19 5 2" xfId="30478"/>
    <cellStyle name="Normal 2 2 19 6" xfId="16747"/>
    <cellStyle name="Normal 2 2 19 6 2" xfId="36630"/>
    <cellStyle name="Normal 2 2 19 7" xfId="3547"/>
    <cellStyle name="Normal 2 2 19 7 2" xfId="24325"/>
    <cellStyle name="Normal 2 2 2" xfId="75"/>
    <cellStyle name="Normal 2 2 2 2" xfId="222"/>
    <cellStyle name="Normal 2 2 2 2 10" xfId="16748"/>
    <cellStyle name="Normal 2 2 2 2 10 2" xfId="36631"/>
    <cellStyle name="Normal 2 2 2 2 11" xfId="3549"/>
    <cellStyle name="Normal 2 2 2 2 11 2" xfId="24326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2 2" xfId="35850"/>
    <cellStyle name="Normal 2 2 2 2 2 2 2 2 2 3" xfId="22119"/>
    <cellStyle name="Normal 2 2 2 2 2 2 2 2 2 3 2" xfId="42002"/>
    <cellStyle name="Normal 2 2 2 2 2 2 2 2 2 4" xfId="29697"/>
    <cellStyle name="Normal 2 2 2 2 2 2 2 2 3" xfId="12901"/>
    <cellStyle name="Normal 2 2 2 2 2 2 2 2 3 2" xfId="32784"/>
    <cellStyle name="Normal 2 2 2 2 2 2 2 2 4" xfId="19053"/>
    <cellStyle name="Normal 2 2 2 2 2 2 2 2 4 2" xfId="38936"/>
    <cellStyle name="Normal 2 2 2 2 2 2 2 2 5" xfId="26631"/>
    <cellStyle name="Normal 2 2 2 2 2 2 2 3" xfId="8239"/>
    <cellStyle name="Normal 2 2 2 2 2 2 2 3 2" xfId="14433"/>
    <cellStyle name="Normal 2 2 2 2 2 2 2 3 2 2" xfId="34316"/>
    <cellStyle name="Normal 2 2 2 2 2 2 2 3 3" xfId="20585"/>
    <cellStyle name="Normal 2 2 2 2 2 2 2 3 3 2" xfId="40468"/>
    <cellStyle name="Normal 2 2 2 2 2 2 2 3 4" xfId="28163"/>
    <cellStyle name="Normal 2 2 2 2 2 2 2 4" xfId="11367"/>
    <cellStyle name="Normal 2 2 2 2 2 2 2 4 2" xfId="31250"/>
    <cellStyle name="Normal 2 2 2 2 2 2 2 5" xfId="17519"/>
    <cellStyle name="Normal 2 2 2 2 2 2 2 5 2" xfId="37402"/>
    <cellStyle name="Normal 2 2 2 2 2 2 2 6" xfId="25097"/>
    <cellStyle name="Normal 2 2 2 2 2 2 3" xfId="5905"/>
    <cellStyle name="Normal 2 2 2 2 2 2 3 2" xfId="9005"/>
    <cellStyle name="Normal 2 2 2 2 2 2 3 2 2" xfId="15198"/>
    <cellStyle name="Normal 2 2 2 2 2 2 3 2 2 2" xfId="35081"/>
    <cellStyle name="Normal 2 2 2 2 2 2 3 2 3" xfId="21350"/>
    <cellStyle name="Normal 2 2 2 2 2 2 3 2 3 2" xfId="41233"/>
    <cellStyle name="Normal 2 2 2 2 2 2 3 2 4" xfId="28928"/>
    <cellStyle name="Normal 2 2 2 2 2 2 3 3" xfId="12132"/>
    <cellStyle name="Normal 2 2 2 2 2 2 3 3 2" xfId="32015"/>
    <cellStyle name="Normal 2 2 2 2 2 2 3 4" xfId="18284"/>
    <cellStyle name="Normal 2 2 2 2 2 2 3 4 2" xfId="38167"/>
    <cellStyle name="Normal 2 2 2 2 2 2 3 5" xfId="25862"/>
    <cellStyle name="Normal 2 2 2 2 2 2 4" xfId="7470"/>
    <cellStyle name="Normal 2 2 2 2 2 2 4 2" xfId="13664"/>
    <cellStyle name="Normal 2 2 2 2 2 2 4 2 2" xfId="33547"/>
    <cellStyle name="Normal 2 2 2 2 2 2 4 3" xfId="19816"/>
    <cellStyle name="Normal 2 2 2 2 2 2 4 3 2" xfId="39699"/>
    <cellStyle name="Normal 2 2 2 2 2 2 4 4" xfId="27394"/>
    <cellStyle name="Normal 2 2 2 2 2 2 5" xfId="10598"/>
    <cellStyle name="Normal 2 2 2 2 2 2 5 2" xfId="30481"/>
    <cellStyle name="Normal 2 2 2 2 2 2 6" xfId="16750"/>
    <cellStyle name="Normal 2 2 2 2 2 2 6 2" xfId="36633"/>
    <cellStyle name="Normal 2 2 2 2 2 2 7" xfId="24328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2 2" xfId="35849"/>
    <cellStyle name="Normal 2 2 2 2 2 3 2 2 3" xfId="22118"/>
    <cellStyle name="Normal 2 2 2 2 2 3 2 2 3 2" xfId="42001"/>
    <cellStyle name="Normal 2 2 2 2 2 3 2 2 4" xfId="29696"/>
    <cellStyle name="Normal 2 2 2 2 2 3 2 3" xfId="12900"/>
    <cellStyle name="Normal 2 2 2 2 2 3 2 3 2" xfId="32783"/>
    <cellStyle name="Normal 2 2 2 2 2 3 2 4" xfId="19052"/>
    <cellStyle name="Normal 2 2 2 2 2 3 2 4 2" xfId="38935"/>
    <cellStyle name="Normal 2 2 2 2 2 3 2 5" xfId="26630"/>
    <cellStyle name="Normal 2 2 2 2 2 3 3" xfId="8238"/>
    <cellStyle name="Normal 2 2 2 2 2 3 3 2" xfId="14432"/>
    <cellStyle name="Normal 2 2 2 2 2 3 3 2 2" xfId="34315"/>
    <cellStyle name="Normal 2 2 2 2 2 3 3 3" xfId="20584"/>
    <cellStyle name="Normal 2 2 2 2 2 3 3 3 2" xfId="40467"/>
    <cellStyle name="Normal 2 2 2 2 2 3 3 4" xfId="28162"/>
    <cellStyle name="Normal 2 2 2 2 2 3 4" xfId="11366"/>
    <cellStyle name="Normal 2 2 2 2 2 3 4 2" xfId="31249"/>
    <cellStyle name="Normal 2 2 2 2 2 3 5" xfId="17518"/>
    <cellStyle name="Normal 2 2 2 2 2 3 5 2" xfId="37401"/>
    <cellStyle name="Normal 2 2 2 2 2 3 6" xfId="25096"/>
    <cellStyle name="Normal 2 2 2 2 2 4" xfId="5904"/>
    <cellStyle name="Normal 2 2 2 2 2 4 2" xfId="9004"/>
    <cellStyle name="Normal 2 2 2 2 2 4 2 2" xfId="15197"/>
    <cellStyle name="Normal 2 2 2 2 2 4 2 2 2" xfId="35080"/>
    <cellStyle name="Normal 2 2 2 2 2 4 2 3" xfId="21349"/>
    <cellStyle name="Normal 2 2 2 2 2 4 2 3 2" xfId="41232"/>
    <cellStyle name="Normal 2 2 2 2 2 4 2 4" xfId="28927"/>
    <cellStyle name="Normal 2 2 2 2 2 4 3" xfId="12131"/>
    <cellStyle name="Normal 2 2 2 2 2 4 3 2" xfId="32014"/>
    <cellStyle name="Normal 2 2 2 2 2 4 4" xfId="18283"/>
    <cellStyle name="Normal 2 2 2 2 2 4 4 2" xfId="38166"/>
    <cellStyle name="Normal 2 2 2 2 2 4 5" xfId="25861"/>
    <cellStyle name="Normal 2 2 2 2 2 5" xfId="7469"/>
    <cellStyle name="Normal 2 2 2 2 2 5 2" xfId="13663"/>
    <cellStyle name="Normal 2 2 2 2 2 5 2 2" xfId="33546"/>
    <cellStyle name="Normal 2 2 2 2 2 5 3" xfId="19815"/>
    <cellStyle name="Normal 2 2 2 2 2 5 3 2" xfId="39698"/>
    <cellStyle name="Normal 2 2 2 2 2 5 4" xfId="27393"/>
    <cellStyle name="Normal 2 2 2 2 2 6" xfId="10597"/>
    <cellStyle name="Normal 2 2 2 2 2 6 2" xfId="30480"/>
    <cellStyle name="Normal 2 2 2 2 2 7" xfId="16749"/>
    <cellStyle name="Normal 2 2 2 2 2 7 2" xfId="36632"/>
    <cellStyle name="Normal 2 2 2 2 2 8" xfId="24327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2 2" xfId="35851"/>
    <cellStyle name="Normal 2 2 2 2 3 2 2 2 3" xfId="22120"/>
    <cellStyle name="Normal 2 2 2 2 3 2 2 2 3 2" xfId="42003"/>
    <cellStyle name="Normal 2 2 2 2 3 2 2 2 4" xfId="29698"/>
    <cellStyle name="Normal 2 2 2 2 3 2 2 3" xfId="12902"/>
    <cellStyle name="Normal 2 2 2 2 3 2 2 3 2" xfId="32785"/>
    <cellStyle name="Normal 2 2 2 2 3 2 2 4" xfId="19054"/>
    <cellStyle name="Normal 2 2 2 2 3 2 2 4 2" xfId="38937"/>
    <cellStyle name="Normal 2 2 2 2 3 2 2 5" xfId="26632"/>
    <cellStyle name="Normal 2 2 2 2 3 2 3" xfId="8240"/>
    <cellStyle name="Normal 2 2 2 2 3 2 3 2" xfId="14434"/>
    <cellStyle name="Normal 2 2 2 2 3 2 3 2 2" xfId="34317"/>
    <cellStyle name="Normal 2 2 2 2 3 2 3 3" xfId="20586"/>
    <cellStyle name="Normal 2 2 2 2 3 2 3 3 2" xfId="40469"/>
    <cellStyle name="Normal 2 2 2 2 3 2 3 4" xfId="28164"/>
    <cellStyle name="Normal 2 2 2 2 3 2 4" xfId="11368"/>
    <cellStyle name="Normal 2 2 2 2 3 2 4 2" xfId="31251"/>
    <cellStyle name="Normal 2 2 2 2 3 2 5" xfId="17520"/>
    <cellStyle name="Normal 2 2 2 2 3 2 5 2" xfId="37403"/>
    <cellStyle name="Normal 2 2 2 2 3 2 6" xfId="25098"/>
    <cellStyle name="Normal 2 2 2 2 3 3" xfId="5906"/>
    <cellStyle name="Normal 2 2 2 2 3 3 2" xfId="9006"/>
    <cellStyle name="Normal 2 2 2 2 3 3 2 2" xfId="15199"/>
    <cellStyle name="Normal 2 2 2 2 3 3 2 2 2" xfId="35082"/>
    <cellStyle name="Normal 2 2 2 2 3 3 2 3" xfId="21351"/>
    <cellStyle name="Normal 2 2 2 2 3 3 2 3 2" xfId="41234"/>
    <cellStyle name="Normal 2 2 2 2 3 3 2 4" xfId="28929"/>
    <cellStyle name="Normal 2 2 2 2 3 3 3" xfId="12133"/>
    <cellStyle name="Normal 2 2 2 2 3 3 3 2" xfId="32016"/>
    <cellStyle name="Normal 2 2 2 2 3 3 4" xfId="18285"/>
    <cellStyle name="Normal 2 2 2 2 3 3 4 2" xfId="38168"/>
    <cellStyle name="Normal 2 2 2 2 3 3 5" xfId="25863"/>
    <cellStyle name="Normal 2 2 2 2 3 4" xfId="7471"/>
    <cellStyle name="Normal 2 2 2 2 3 4 2" xfId="13665"/>
    <cellStyle name="Normal 2 2 2 2 3 4 2 2" xfId="33548"/>
    <cellStyle name="Normal 2 2 2 2 3 4 3" xfId="19817"/>
    <cellStyle name="Normal 2 2 2 2 3 4 3 2" xfId="39700"/>
    <cellStyle name="Normal 2 2 2 2 3 4 4" xfId="27395"/>
    <cellStyle name="Normal 2 2 2 2 3 5" xfId="10599"/>
    <cellStyle name="Normal 2 2 2 2 3 5 2" xfId="30482"/>
    <cellStyle name="Normal 2 2 2 2 3 6" xfId="16751"/>
    <cellStyle name="Normal 2 2 2 2 3 6 2" xfId="36634"/>
    <cellStyle name="Normal 2 2 2 2 3 7" xfId="24329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2 2" xfId="35852"/>
    <cellStyle name="Normal 2 2 2 2 4 2 2 2 3" xfId="22121"/>
    <cellStyle name="Normal 2 2 2 2 4 2 2 2 3 2" xfId="42004"/>
    <cellStyle name="Normal 2 2 2 2 4 2 2 2 4" xfId="29699"/>
    <cellStyle name="Normal 2 2 2 2 4 2 2 3" xfId="12903"/>
    <cellStyle name="Normal 2 2 2 2 4 2 2 3 2" xfId="32786"/>
    <cellStyle name="Normal 2 2 2 2 4 2 2 4" xfId="19055"/>
    <cellStyle name="Normal 2 2 2 2 4 2 2 4 2" xfId="38938"/>
    <cellStyle name="Normal 2 2 2 2 4 2 2 5" xfId="26633"/>
    <cellStyle name="Normal 2 2 2 2 4 2 3" xfId="8241"/>
    <cellStyle name="Normal 2 2 2 2 4 2 3 2" xfId="14435"/>
    <cellStyle name="Normal 2 2 2 2 4 2 3 2 2" xfId="34318"/>
    <cellStyle name="Normal 2 2 2 2 4 2 3 3" xfId="20587"/>
    <cellStyle name="Normal 2 2 2 2 4 2 3 3 2" xfId="40470"/>
    <cellStyle name="Normal 2 2 2 2 4 2 3 4" xfId="28165"/>
    <cellStyle name="Normal 2 2 2 2 4 2 4" xfId="11369"/>
    <cellStyle name="Normal 2 2 2 2 4 2 4 2" xfId="31252"/>
    <cellStyle name="Normal 2 2 2 2 4 2 5" xfId="17521"/>
    <cellStyle name="Normal 2 2 2 2 4 2 5 2" xfId="37404"/>
    <cellStyle name="Normal 2 2 2 2 4 2 6" xfId="25099"/>
    <cellStyle name="Normal 2 2 2 2 4 3" xfId="5907"/>
    <cellStyle name="Normal 2 2 2 2 4 3 2" xfId="9007"/>
    <cellStyle name="Normal 2 2 2 2 4 3 2 2" xfId="15200"/>
    <cellStyle name="Normal 2 2 2 2 4 3 2 2 2" xfId="35083"/>
    <cellStyle name="Normal 2 2 2 2 4 3 2 3" xfId="21352"/>
    <cellStyle name="Normal 2 2 2 2 4 3 2 3 2" xfId="41235"/>
    <cellStyle name="Normal 2 2 2 2 4 3 2 4" xfId="28930"/>
    <cellStyle name="Normal 2 2 2 2 4 3 3" xfId="12134"/>
    <cellStyle name="Normal 2 2 2 2 4 3 3 2" xfId="32017"/>
    <cellStyle name="Normal 2 2 2 2 4 3 4" xfId="18286"/>
    <cellStyle name="Normal 2 2 2 2 4 3 4 2" xfId="38169"/>
    <cellStyle name="Normal 2 2 2 2 4 3 5" xfId="25864"/>
    <cellStyle name="Normal 2 2 2 2 4 4" xfId="7472"/>
    <cellStyle name="Normal 2 2 2 2 4 4 2" xfId="13666"/>
    <cellStyle name="Normal 2 2 2 2 4 4 2 2" xfId="33549"/>
    <cellStyle name="Normal 2 2 2 2 4 4 3" xfId="19818"/>
    <cellStyle name="Normal 2 2 2 2 4 4 3 2" xfId="39701"/>
    <cellStyle name="Normal 2 2 2 2 4 4 4" xfId="27396"/>
    <cellStyle name="Normal 2 2 2 2 4 5" xfId="10600"/>
    <cellStyle name="Normal 2 2 2 2 4 5 2" xfId="30483"/>
    <cellStyle name="Normal 2 2 2 2 4 6" xfId="16752"/>
    <cellStyle name="Normal 2 2 2 2 4 6 2" xfId="36635"/>
    <cellStyle name="Normal 2 2 2 2 4 7" xfId="24330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2 2" xfId="35853"/>
    <cellStyle name="Normal 2 2 2 2 5 2 2 2 3" xfId="22122"/>
    <cellStyle name="Normal 2 2 2 2 5 2 2 2 3 2" xfId="42005"/>
    <cellStyle name="Normal 2 2 2 2 5 2 2 2 4" xfId="29700"/>
    <cellStyle name="Normal 2 2 2 2 5 2 2 3" xfId="12904"/>
    <cellStyle name="Normal 2 2 2 2 5 2 2 3 2" xfId="32787"/>
    <cellStyle name="Normal 2 2 2 2 5 2 2 4" xfId="19056"/>
    <cellStyle name="Normal 2 2 2 2 5 2 2 4 2" xfId="38939"/>
    <cellStyle name="Normal 2 2 2 2 5 2 2 5" xfId="26634"/>
    <cellStyle name="Normal 2 2 2 2 5 2 3" xfId="8242"/>
    <cellStyle name="Normal 2 2 2 2 5 2 3 2" xfId="14436"/>
    <cellStyle name="Normal 2 2 2 2 5 2 3 2 2" xfId="34319"/>
    <cellStyle name="Normal 2 2 2 2 5 2 3 3" xfId="20588"/>
    <cellStyle name="Normal 2 2 2 2 5 2 3 3 2" xfId="40471"/>
    <cellStyle name="Normal 2 2 2 2 5 2 3 4" xfId="28166"/>
    <cellStyle name="Normal 2 2 2 2 5 2 4" xfId="11370"/>
    <cellStyle name="Normal 2 2 2 2 5 2 4 2" xfId="31253"/>
    <cellStyle name="Normal 2 2 2 2 5 2 5" xfId="17522"/>
    <cellStyle name="Normal 2 2 2 2 5 2 5 2" xfId="37405"/>
    <cellStyle name="Normal 2 2 2 2 5 2 6" xfId="25100"/>
    <cellStyle name="Normal 2 2 2 2 5 3" xfId="5908"/>
    <cellStyle name="Normal 2 2 2 2 5 3 2" xfId="9008"/>
    <cellStyle name="Normal 2 2 2 2 5 3 2 2" xfId="15201"/>
    <cellStyle name="Normal 2 2 2 2 5 3 2 2 2" xfId="35084"/>
    <cellStyle name="Normal 2 2 2 2 5 3 2 3" xfId="21353"/>
    <cellStyle name="Normal 2 2 2 2 5 3 2 3 2" xfId="41236"/>
    <cellStyle name="Normal 2 2 2 2 5 3 2 4" xfId="28931"/>
    <cellStyle name="Normal 2 2 2 2 5 3 3" xfId="12135"/>
    <cellStyle name="Normal 2 2 2 2 5 3 3 2" xfId="32018"/>
    <cellStyle name="Normal 2 2 2 2 5 3 4" xfId="18287"/>
    <cellStyle name="Normal 2 2 2 2 5 3 4 2" xfId="38170"/>
    <cellStyle name="Normal 2 2 2 2 5 3 5" xfId="25865"/>
    <cellStyle name="Normal 2 2 2 2 5 4" xfId="7473"/>
    <cellStyle name="Normal 2 2 2 2 5 4 2" xfId="13667"/>
    <cellStyle name="Normal 2 2 2 2 5 4 2 2" xfId="33550"/>
    <cellStyle name="Normal 2 2 2 2 5 4 3" xfId="19819"/>
    <cellStyle name="Normal 2 2 2 2 5 4 3 2" xfId="39702"/>
    <cellStyle name="Normal 2 2 2 2 5 4 4" xfId="27397"/>
    <cellStyle name="Normal 2 2 2 2 5 5" xfId="10601"/>
    <cellStyle name="Normal 2 2 2 2 5 5 2" xfId="30484"/>
    <cellStyle name="Normal 2 2 2 2 5 6" xfId="16753"/>
    <cellStyle name="Normal 2 2 2 2 5 6 2" xfId="36636"/>
    <cellStyle name="Normal 2 2 2 2 5 7" xfId="24331"/>
    <cellStyle name="Normal 2 2 2 2 6" xfId="5061"/>
    <cellStyle name="Normal 2 2 2 2 6 2" xfId="6686"/>
    <cellStyle name="Normal 2 2 2 2 6 2 2" xfId="9772"/>
    <cellStyle name="Normal 2 2 2 2 6 2 2 2" xfId="15965"/>
    <cellStyle name="Normal 2 2 2 2 6 2 2 2 2" xfId="35848"/>
    <cellStyle name="Normal 2 2 2 2 6 2 2 3" xfId="22117"/>
    <cellStyle name="Normal 2 2 2 2 6 2 2 3 2" xfId="42000"/>
    <cellStyle name="Normal 2 2 2 2 6 2 2 4" xfId="29695"/>
    <cellStyle name="Normal 2 2 2 2 6 2 3" xfId="12899"/>
    <cellStyle name="Normal 2 2 2 2 6 2 3 2" xfId="32782"/>
    <cellStyle name="Normal 2 2 2 2 6 2 4" xfId="19051"/>
    <cellStyle name="Normal 2 2 2 2 6 2 4 2" xfId="38934"/>
    <cellStyle name="Normal 2 2 2 2 6 2 5" xfId="26629"/>
    <cellStyle name="Normal 2 2 2 2 6 3" xfId="8237"/>
    <cellStyle name="Normal 2 2 2 2 6 3 2" xfId="14431"/>
    <cellStyle name="Normal 2 2 2 2 6 3 2 2" xfId="34314"/>
    <cellStyle name="Normal 2 2 2 2 6 3 3" xfId="20583"/>
    <cellStyle name="Normal 2 2 2 2 6 3 3 2" xfId="40466"/>
    <cellStyle name="Normal 2 2 2 2 6 3 4" xfId="28161"/>
    <cellStyle name="Normal 2 2 2 2 6 4" xfId="11365"/>
    <cellStyle name="Normal 2 2 2 2 6 4 2" xfId="31248"/>
    <cellStyle name="Normal 2 2 2 2 6 5" xfId="17517"/>
    <cellStyle name="Normal 2 2 2 2 6 5 2" xfId="37400"/>
    <cellStyle name="Normal 2 2 2 2 6 6" xfId="25095"/>
    <cellStyle name="Normal 2 2 2 2 7" xfId="5903"/>
    <cellStyle name="Normal 2 2 2 2 7 2" xfId="9003"/>
    <cellStyle name="Normal 2 2 2 2 7 2 2" xfId="15196"/>
    <cellStyle name="Normal 2 2 2 2 7 2 2 2" xfId="35079"/>
    <cellStyle name="Normal 2 2 2 2 7 2 3" xfId="21348"/>
    <cellStyle name="Normal 2 2 2 2 7 2 3 2" xfId="41231"/>
    <cellStyle name="Normal 2 2 2 2 7 2 4" xfId="28926"/>
    <cellStyle name="Normal 2 2 2 2 7 3" xfId="12130"/>
    <cellStyle name="Normal 2 2 2 2 7 3 2" xfId="32013"/>
    <cellStyle name="Normal 2 2 2 2 7 4" xfId="18282"/>
    <cellStyle name="Normal 2 2 2 2 7 4 2" xfId="38165"/>
    <cellStyle name="Normal 2 2 2 2 7 5" xfId="25860"/>
    <cellStyle name="Normal 2 2 2 2 8" xfId="7468"/>
    <cellStyle name="Normal 2 2 2 2 8 2" xfId="13662"/>
    <cellStyle name="Normal 2 2 2 2 8 2 2" xfId="33545"/>
    <cellStyle name="Normal 2 2 2 2 8 3" xfId="19814"/>
    <cellStyle name="Normal 2 2 2 2 8 3 2" xfId="39697"/>
    <cellStyle name="Normal 2 2 2 2 8 4" xfId="27392"/>
    <cellStyle name="Normal 2 2 2 2 9" xfId="10596"/>
    <cellStyle name="Normal 2 2 2 2 9 2" xfId="30479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2 2" xfId="35854"/>
    <cellStyle name="Normal 2 2 20 2 2 2 3" xfId="22123"/>
    <cellStyle name="Normal 2 2 20 2 2 2 3 2" xfId="42006"/>
    <cellStyle name="Normal 2 2 20 2 2 2 4" xfId="29701"/>
    <cellStyle name="Normal 2 2 20 2 2 3" xfId="12905"/>
    <cellStyle name="Normal 2 2 20 2 2 3 2" xfId="32788"/>
    <cellStyle name="Normal 2 2 20 2 2 4" xfId="19057"/>
    <cellStyle name="Normal 2 2 20 2 2 4 2" xfId="38940"/>
    <cellStyle name="Normal 2 2 20 2 2 5" xfId="26635"/>
    <cellStyle name="Normal 2 2 20 2 3" xfId="8243"/>
    <cellStyle name="Normal 2 2 20 2 3 2" xfId="14437"/>
    <cellStyle name="Normal 2 2 20 2 3 2 2" xfId="34320"/>
    <cellStyle name="Normal 2 2 20 2 3 3" xfId="20589"/>
    <cellStyle name="Normal 2 2 20 2 3 3 2" xfId="40472"/>
    <cellStyle name="Normal 2 2 20 2 3 4" xfId="28167"/>
    <cellStyle name="Normal 2 2 20 2 4" xfId="11371"/>
    <cellStyle name="Normal 2 2 20 2 4 2" xfId="31254"/>
    <cellStyle name="Normal 2 2 20 2 5" xfId="17523"/>
    <cellStyle name="Normal 2 2 20 2 5 2" xfId="37406"/>
    <cellStyle name="Normal 2 2 20 2 6" xfId="25101"/>
    <cellStyle name="Normal 2 2 20 3" xfId="5909"/>
    <cellStyle name="Normal 2 2 20 3 2" xfId="9009"/>
    <cellStyle name="Normal 2 2 20 3 2 2" xfId="15202"/>
    <cellStyle name="Normal 2 2 20 3 2 2 2" xfId="35085"/>
    <cellStyle name="Normal 2 2 20 3 2 3" xfId="21354"/>
    <cellStyle name="Normal 2 2 20 3 2 3 2" xfId="41237"/>
    <cellStyle name="Normal 2 2 20 3 2 4" xfId="28932"/>
    <cellStyle name="Normal 2 2 20 3 3" xfId="12136"/>
    <cellStyle name="Normal 2 2 20 3 3 2" xfId="32019"/>
    <cellStyle name="Normal 2 2 20 3 4" xfId="18288"/>
    <cellStyle name="Normal 2 2 20 3 4 2" xfId="38171"/>
    <cellStyle name="Normal 2 2 20 3 5" xfId="25866"/>
    <cellStyle name="Normal 2 2 20 4" xfId="7474"/>
    <cellStyle name="Normal 2 2 20 4 2" xfId="13668"/>
    <cellStyle name="Normal 2 2 20 4 2 2" xfId="33551"/>
    <cellStyle name="Normal 2 2 20 4 3" xfId="19820"/>
    <cellStyle name="Normal 2 2 20 4 3 2" xfId="39703"/>
    <cellStyle name="Normal 2 2 20 4 4" xfId="27398"/>
    <cellStyle name="Normal 2 2 20 5" xfId="10602"/>
    <cellStyle name="Normal 2 2 20 5 2" xfId="30485"/>
    <cellStyle name="Normal 2 2 20 6" xfId="16754"/>
    <cellStyle name="Normal 2 2 20 6 2" xfId="36637"/>
    <cellStyle name="Normal 2 2 20 7" xfId="3560"/>
    <cellStyle name="Normal 2 2 20 7 2" xfId="24332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2 2" xfId="35855"/>
    <cellStyle name="Normal 2 2 21 2 2 2 3" xfId="22124"/>
    <cellStyle name="Normal 2 2 21 2 2 2 3 2" xfId="42007"/>
    <cellStyle name="Normal 2 2 21 2 2 2 4" xfId="29702"/>
    <cellStyle name="Normal 2 2 21 2 2 3" xfId="12906"/>
    <cellStyle name="Normal 2 2 21 2 2 3 2" xfId="32789"/>
    <cellStyle name="Normal 2 2 21 2 2 4" xfId="19058"/>
    <cellStyle name="Normal 2 2 21 2 2 4 2" xfId="38941"/>
    <cellStyle name="Normal 2 2 21 2 2 5" xfId="26636"/>
    <cellStyle name="Normal 2 2 21 2 3" xfId="8244"/>
    <cellStyle name="Normal 2 2 21 2 3 2" xfId="14438"/>
    <cellStyle name="Normal 2 2 21 2 3 2 2" xfId="34321"/>
    <cellStyle name="Normal 2 2 21 2 3 3" xfId="20590"/>
    <cellStyle name="Normal 2 2 21 2 3 3 2" xfId="40473"/>
    <cellStyle name="Normal 2 2 21 2 3 4" xfId="28168"/>
    <cellStyle name="Normal 2 2 21 2 4" xfId="11372"/>
    <cellStyle name="Normal 2 2 21 2 4 2" xfId="31255"/>
    <cellStyle name="Normal 2 2 21 2 5" xfId="17524"/>
    <cellStyle name="Normal 2 2 21 2 5 2" xfId="37407"/>
    <cellStyle name="Normal 2 2 21 2 6" xfId="25102"/>
    <cellStyle name="Normal 2 2 21 3" xfId="5910"/>
    <cellStyle name="Normal 2 2 21 3 2" xfId="9010"/>
    <cellStyle name="Normal 2 2 21 3 2 2" xfId="15203"/>
    <cellStyle name="Normal 2 2 21 3 2 2 2" xfId="35086"/>
    <cellStyle name="Normal 2 2 21 3 2 3" xfId="21355"/>
    <cellStyle name="Normal 2 2 21 3 2 3 2" xfId="41238"/>
    <cellStyle name="Normal 2 2 21 3 2 4" xfId="28933"/>
    <cellStyle name="Normal 2 2 21 3 3" xfId="12137"/>
    <cellStyle name="Normal 2 2 21 3 3 2" xfId="32020"/>
    <cellStyle name="Normal 2 2 21 3 4" xfId="18289"/>
    <cellStyle name="Normal 2 2 21 3 4 2" xfId="38172"/>
    <cellStyle name="Normal 2 2 21 3 5" xfId="25867"/>
    <cellStyle name="Normal 2 2 21 4" xfId="7475"/>
    <cellStyle name="Normal 2 2 21 4 2" xfId="13669"/>
    <cellStyle name="Normal 2 2 21 4 2 2" xfId="33552"/>
    <cellStyle name="Normal 2 2 21 4 3" xfId="19821"/>
    <cellStyle name="Normal 2 2 21 4 3 2" xfId="39704"/>
    <cellStyle name="Normal 2 2 21 4 4" xfId="27399"/>
    <cellStyle name="Normal 2 2 21 5" xfId="10603"/>
    <cellStyle name="Normal 2 2 21 5 2" xfId="30486"/>
    <cellStyle name="Normal 2 2 21 6" xfId="16755"/>
    <cellStyle name="Normal 2 2 21 6 2" xfId="36638"/>
    <cellStyle name="Normal 2 2 21 7" xfId="3561"/>
    <cellStyle name="Normal 2 2 21 7 2" xfId="24333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2 2" xfId="35856"/>
    <cellStyle name="Normal 2 2 22 2 2 2 3" xfId="22125"/>
    <cellStyle name="Normal 2 2 22 2 2 2 3 2" xfId="42008"/>
    <cellStyle name="Normal 2 2 22 2 2 2 4" xfId="29703"/>
    <cellStyle name="Normal 2 2 22 2 2 3" xfId="12907"/>
    <cellStyle name="Normal 2 2 22 2 2 3 2" xfId="32790"/>
    <cellStyle name="Normal 2 2 22 2 2 4" xfId="19059"/>
    <cellStyle name="Normal 2 2 22 2 2 4 2" xfId="38942"/>
    <cellStyle name="Normal 2 2 22 2 2 5" xfId="26637"/>
    <cellStyle name="Normal 2 2 22 2 3" xfId="8245"/>
    <cellStyle name="Normal 2 2 22 2 3 2" xfId="14439"/>
    <cellStyle name="Normal 2 2 22 2 3 2 2" xfId="34322"/>
    <cellStyle name="Normal 2 2 22 2 3 3" xfId="20591"/>
    <cellStyle name="Normal 2 2 22 2 3 3 2" xfId="40474"/>
    <cellStyle name="Normal 2 2 22 2 3 4" xfId="28169"/>
    <cellStyle name="Normal 2 2 22 2 4" xfId="11373"/>
    <cellStyle name="Normal 2 2 22 2 4 2" xfId="31256"/>
    <cellStyle name="Normal 2 2 22 2 5" xfId="17525"/>
    <cellStyle name="Normal 2 2 22 2 5 2" xfId="37408"/>
    <cellStyle name="Normal 2 2 22 2 6" xfId="25103"/>
    <cellStyle name="Normal 2 2 22 3" xfId="5911"/>
    <cellStyle name="Normal 2 2 22 3 2" xfId="9011"/>
    <cellStyle name="Normal 2 2 22 3 2 2" xfId="15204"/>
    <cellStyle name="Normal 2 2 22 3 2 2 2" xfId="35087"/>
    <cellStyle name="Normal 2 2 22 3 2 3" xfId="21356"/>
    <cellStyle name="Normal 2 2 22 3 2 3 2" xfId="41239"/>
    <cellStyle name="Normal 2 2 22 3 2 4" xfId="28934"/>
    <cellStyle name="Normal 2 2 22 3 3" xfId="12138"/>
    <cellStyle name="Normal 2 2 22 3 3 2" xfId="32021"/>
    <cellStyle name="Normal 2 2 22 3 4" xfId="18290"/>
    <cellStyle name="Normal 2 2 22 3 4 2" xfId="38173"/>
    <cellStyle name="Normal 2 2 22 3 5" xfId="25868"/>
    <cellStyle name="Normal 2 2 22 4" xfId="7476"/>
    <cellStyle name="Normal 2 2 22 4 2" xfId="13670"/>
    <cellStyle name="Normal 2 2 22 4 2 2" xfId="33553"/>
    <cellStyle name="Normal 2 2 22 4 3" xfId="19822"/>
    <cellStyle name="Normal 2 2 22 4 3 2" xfId="39705"/>
    <cellStyle name="Normal 2 2 22 4 4" xfId="27400"/>
    <cellStyle name="Normal 2 2 22 5" xfId="10604"/>
    <cellStyle name="Normal 2 2 22 5 2" xfId="30487"/>
    <cellStyle name="Normal 2 2 22 6" xfId="16756"/>
    <cellStyle name="Normal 2 2 22 6 2" xfId="36639"/>
    <cellStyle name="Normal 2 2 22 7" xfId="3562"/>
    <cellStyle name="Normal 2 2 22 7 2" xfId="24334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2 2" xfId="35088"/>
    <cellStyle name="Normal 2 2 3 10 2 3" xfId="21357"/>
    <cellStyle name="Normal 2 2 3 10 2 3 2" xfId="41240"/>
    <cellStyle name="Normal 2 2 3 10 2 4" xfId="28935"/>
    <cellStyle name="Normal 2 2 3 10 3" xfId="12139"/>
    <cellStyle name="Normal 2 2 3 10 3 2" xfId="32022"/>
    <cellStyle name="Normal 2 2 3 10 4" xfId="18291"/>
    <cellStyle name="Normal 2 2 3 10 4 2" xfId="38174"/>
    <cellStyle name="Normal 2 2 3 10 5" xfId="25869"/>
    <cellStyle name="Normal 2 2 3 11" xfId="7477"/>
    <cellStyle name="Normal 2 2 3 11 2" xfId="13671"/>
    <cellStyle name="Normal 2 2 3 11 2 2" xfId="33554"/>
    <cellStyle name="Normal 2 2 3 11 3" xfId="19823"/>
    <cellStyle name="Normal 2 2 3 11 3 2" xfId="39706"/>
    <cellStyle name="Normal 2 2 3 11 4" xfId="27401"/>
    <cellStyle name="Normal 2 2 3 12" xfId="10605"/>
    <cellStyle name="Normal 2 2 3 12 2" xfId="30488"/>
    <cellStyle name="Normal 2 2 3 13" xfId="16757"/>
    <cellStyle name="Normal 2 2 3 13 2" xfId="36640"/>
    <cellStyle name="Normal 2 2 3 14" xfId="3567"/>
    <cellStyle name="Normal 2 2 3 14 2" xfId="24335"/>
    <cellStyle name="Normal 2 2 3 15" xfId="247"/>
    <cellStyle name="Normal 2 2 3 16" xfId="23345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2 2" xfId="35858"/>
    <cellStyle name="Normal 2 2 3 2 2 2 2 3" xfId="22127"/>
    <cellStyle name="Normal 2 2 3 2 2 2 2 3 2" xfId="42010"/>
    <cellStyle name="Normal 2 2 3 2 2 2 2 4" xfId="29705"/>
    <cellStyle name="Normal 2 2 3 2 2 2 3" xfId="12909"/>
    <cellStyle name="Normal 2 2 3 2 2 2 3 2" xfId="32792"/>
    <cellStyle name="Normal 2 2 3 2 2 2 4" xfId="19061"/>
    <cellStyle name="Normal 2 2 3 2 2 2 4 2" xfId="38944"/>
    <cellStyle name="Normal 2 2 3 2 2 2 5" xfId="26639"/>
    <cellStyle name="Normal 2 2 3 2 2 3" xfId="8247"/>
    <cellStyle name="Normal 2 2 3 2 2 3 2" xfId="14441"/>
    <cellStyle name="Normal 2 2 3 2 2 3 2 2" xfId="34324"/>
    <cellStyle name="Normal 2 2 3 2 2 3 3" xfId="20593"/>
    <cellStyle name="Normal 2 2 3 2 2 3 3 2" xfId="40476"/>
    <cellStyle name="Normal 2 2 3 2 2 3 4" xfId="28171"/>
    <cellStyle name="Normal 2 2 3 2 2 4" xfId="11375"/>
    <cellStyle name="Normal 2 2 3 2 2 4 2" xfId="31258"/>
    <cellStyle name="Normal 2 2 3 2 2 5" xfId="17527"/>
    <cellStyle name="Normal 2 2 3 2 2 5 2" xfId="37410"/>
    <cellStyle name="Normal 2 2 3 2 2 6" xfId="25105"/>
    <cellStyle name="Normal 2 2 3 2 3" xfId="5913"/>
    <cellStyle name="Normal 2 2 3 2 3 2" xfId="9013"/>
    <cellStyle name="Normal 2 2 3 2 3 2 2" xfId="15206"/>
    <cellStyle name="Normal 2 2 3 2 3 2 2 2" xfId="35089"/>
    <cellStyle name="Normal 2 2 3 2 3 2 3" xfId="21358"/>
    <cellStyle name="Normal 2 2 3 2 3 2 3 2" xfId="41241"/>
    <cellStyle name="Normal 2 2 3 2 3 2 4" xfId="28936"/>
    <cellStyle name="Normal 2 2 3 2 3 3" xfId="12140"/>
    <cellStyle name="Normal 2 2 3 2 3 3 2" xfId="32023"/>
    <cellStyle name="Normal 2 2 3 2 3 4" xfId="18292"/>
    <cellStyle name="Normal 2 2 3 2 3 4 2" xfId="38175"/>
    <cellStyle name="Normal 2 2 3 2 3 5" xfId="25870"/>
    <cellStyle name="Normal 2 2 3 2 4" xfId="7478"/>
    <cellStyle name="Normal 2 2 3 2 4 2" xfId="13672"/>
    <cellStyle name="Normal 2 2 3 2 4 2 2" xfId="33555"/>
    <cellStyle name="Normal 2 2 3 2 4 3" xfId="19824"/>
    <cellStyle name="Normal 2 2 3 2 4 3 2" xfId="39707"/>
    <cellStyle name="Normal 2 2 3 2 4 4" xfId="27402"/>
    <cellStyle name="Normal 2 2 3 2 5" xfId="10606"/>
    <cellStyle name="Normal 2 2 3 2 5 2" xfId="30489"/>
    <cellStyle name="Normal 2 2 3 2 6" xfId="16758"/>
    <cellStyle name="Normal 2 2 3 2 6 2" xfId="36641"/>
    <cellStyle name="Normal 2 2 3 2 7" xfId="3568"/>
    <cellStyle name="Normal 2 2 3 2 7 2" xfId="24336"/>
    <cellStyle name="Normal 2 2 3 2 8" xfId="23383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2 2" xfId="35859"/>
    <cellStyle name="Normal 2 2 3 3 2 2 2 3" xfId="22128"/>
    <cellStyle name="Normal 2 2 3 3 2 2 2 3 2" xfId="42011"/>
    <cellStyle name="Normal 2 2 3 3 2 2 2 4" xfId="29706"/>
    <cellStyle name="Normal 2 2 3 3 2 2 3" xfId="12910"/>
    <cellStyle name="Normal 2 2 3 3 2 2 3 2" xfId="32793"/>
    <cellStyle name="Normal 2 2 3 3 2 2 4" xfId="19062"/>
    <cellStyle name="Normal 2 2 3 3 2 2 4 2" xfId="38945"/>
    <cellStyle name="Normal 2 2 3 3 2 2 5" xfId="26640"/>
    <cellStyle name="Normal 2 2 3 3 2 3" xfId="8248"/>
    <cellStyle name="Normal 2 2 3 3 2 3 2" xfId="14442"/>
    <cellStyle name="Normal 2 2 3 3 2 3 2 2" xfId="34325"/>
    <cellStyle name="Normal 2 2 3 3 2 3 3" xfId="20594"/>
    <cellStyle name="Normal 2 2 3 3 2 3 3 2" xfId="40477"/>
    <cellStyle name="Normal 2 2 3 3 2 3 4" xfId="28172"/>
    <cellStyle name="Normal 2 2 3 3 2 4" xfId="11376"/>
    <cellStyle name="Normal 2 2 3 3 2 4 2" xfId="31259"/>
    <cellStyle name="Normal 2 2 3 3 2 5" xfId="17528"/>
    <cellStyle name="Normal 2 2 3 3 2 5 2" xfId="37411"/>
    <cellStyle name="Normal 2 2 3 3 2 6" xfId="25106"/>
    <cellStyle name="Normal 2 2 3 3 3" xfId="5914"/>
    <cellStyle name="Normal 2 2 3 3 3 2" xfId="9014"/>
    <cellStyle name="Normal 2 2 3 3 3 2 2" xfId="15207"/>
    <cellStyle name="Normal 2 2 3 3 3 2 2 2" xfId="35090"/>
    <cellStyle name="Normal 2 2 3 3 3 2 3" xfId="21359"/>
    <cellStyle name="Normal 2 2 3 3 3 2 3 2" xfId="41242"/>
    <cellStyle name="Normal 2 2 3 3 3 2 4" xfId="28937"/>
    <cellStyle name="Normal 2 2 3 3 3 3" xfId="12141"/>
    <cellStyle name="Normal 2 2 3 3 3 3 2" xfId="32024"/>
    <cellStyle name="Normal 2 2 3 3 3 4" xfId="18293"/>
    <cellStyle name="Normal 2 2 3 3 3 4 2" xfId="38176"/>
    <cellStyle name="Normal 2 2 3 3 3 5" xfId="25871"/>
    <cellStyle name="Normal 2 2 3 3 4" xfId="7479"/>
    <cellStyle name="Normal 2 2 3 3 4 2" xfId="13673"/>
    <cellStyle name="Normal 2 2 3 3 4 2 2" xfId="33556"/>
    <cellStyle name="Normal 2 2 3 3 4 3" xfId="19825"/>
    <cellStyle name="Normal 2 2 3 3 4 3 2" xfId="39708"/>
    <cellStyle name="Normal 2 2 3 3 4 4" xfId="27403"/>
    <cellStyle name="Normal 2 2 3 3 5" xfId="10607"/>
    <cellStyle name="Normal 2 2 3 3 5 2" xfId="30490"/>
    <cellStyle name="Normal 2 2 3 3 6" xfId="16759"/>
    <cellStyle name="Normal 2 2 3 3 6 2" xfId="36642"/>
    <cellStyle name="Normal 2 2 3 3 7" xfId="3569"/>
    <cellStyle name="Normal 2 2 3 3 7 2" xfId="24337"/>
    <cellStyle name="Normal 2 2 3 3 8" xfId="23358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2 2" xfId="35860"/>
    <cellStyle name="Normal 2 2 3 4 2 2 2 3" xfId="22129"/>
    <cellStyle name="Normal 2 2 3 4 2 2 2 3 2" xfId="42012"/>
    <cellStyle name="Normal 2 2 3 4 2 2 2 4" xfId="29707"/>
    <cellStyle name="Normal 2 2 3 4 2 2 3" xfId="12911"/>
    <cellStyle name="Normal 2 2 3 4 2 2 3 2" xfId="32794"/>
    <cellStyle name="Normal 2 2 3 4 2 2 4" xfId="19063"/>
    <cellStyle name="Normal 2 2 3 4 2 2 4 2" xfId="38946"/>
    <cellStyle name="Normal 2 2 3 4 2 2 5" xfId="26641"/>
    <cellStyle name="Normal 2 2 3 4 2 3" xfId="8249"/>
    <cellStyle name="Normal 2 2 3 4 2 3 2" xfId="14443"/>
    <cellStyle name="Normal 2 2 3 4 2 3 2 2" xfId="34326"/>
    <cellStyle name="Normal 2 2 3 4 2 3 3" xfId="20595"/>
    <cellStyle name="Normal 2 2 3 4 2 3 3 2" xfId="40478"/>
    <cellStyle name="Normal 2 2 3 4 2 3 4" xfId="28173"/>
    <cellStyle name="Normal 2 2 3 4 2 4" xfId="11377"/>
    <cellStyle name="Normal 2 2 3 4 2 4 2" xfId="31260"/>
    <cellStyle name="Normal 2 2 3 4 2 5" xfId="17529"/>
    <cellStyle name="Normal 2 2 3 4 2 5 2" xfId="37412"/>
    <cellStyle name="Normal 2 2 3 4 2 6" xfId="25107"/>
    <cellStyle name="Normal 2 2 3 4 3" xfId="5915"/>
    <cellStyle name="Normal 2 2 3 4 3 2" xfId="9015"/>
    <cellStyle name="Normal 2 2 3 4 3 2 2" xfId="15208"/>
    <cellStyle name="Normal 2 2 3 4 3 2 2 2" xfId="35091"/>
    <cellStyle name="Normal 2 2 3 4 3 2 3" xfId="21360"/>
    <cellStyle name="Normal 2 2 3 4 3 2 3 2" xfId="41243"/>
    <cellStyle name="Normal 2 2 3 4 3 2 4" xfId="28938"/>
    <cellStyle name="Normal 2 2 3 4 3 3" xfId="12142"/>
    <cellStyle name="Normal 2 2 3 4 3 3 2" xfId="32025"/>
    <cellStyle name="Normal 2 2 3 4 3 4" xfId="18294"/>
    <cellStyle name="Normal 2 2 3 4 3 4 2" xfId="38177"/>
    <cellStyle name="Normal 2 2 3 4 3 5" xfId="25872"/>
    <cellStyle name="Normal 2 2 3 4 4" xfId="7480"/>
    <cellStyle name="Normal 2 2 3 4 4 2" xfId="13674"/>
    <cellStyle name="Normal 2 2 3 4 4 2 2" xfId="33557"/>
    <cellStyle name="Normal 2 2 3 4 4 3" xfId="19826"/>
    <cellStyle name="Normal 2 2 3 4 4 3 2" xfId="39709"/>
    <cellStyle name="Normal 2 2 3 4 4 4" xfId="27404"/>
    <cellStyle name="Normal 2 2 3 4 5" xfId="10608"/>
    <cellStyle name="Normal 2 2 3 4 5 2" xfId="30491"/>
    <cellStyle name="Normal 2 2 3 4 6" xfId="16760"/>
    <cellStyle name="Normal 2 2 3 4 6 2" xfId="36643"/>
    <cellStyle name="Normal 2 2 3 4 7" xfId="24338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2 2" xfId="35861"/>
    <cellStyle name="Normal 2 2 3 5 2 2 2 3" xfId="22130"/>
    <cellStyle name="Normal 2 2 3 5 2 2 2 3 2" xfId="42013"/>
    <cellStyle name="Normal 2 2 3 5 2 2 2 4" xfId="29708"/>
    <cellStyle name="Normal 2 2 3 5 2 2 3" xfId="12912"/>
    <cellStyle name="Normal 2 2 3 5 2 2 3 2" xfId="32795"/>
    <cellStyle name="Normal 2 2 3 5 2 2 4" xfId="19064"/>
    <cellStyle name="Normal 2 2 3 5 2 2 4 2" xfId="38947"/>
    <cellStyle name="Normal 2 2 3 5 2 2 5" xfId="26642"/>
    <cellStyle name="Normal 2 2 3 5 2 3" xfId="8250"/>
    <cellStyle name="Normal 2 2 3 5 2 3 2" xfId="14444"/>
    <cellStyle name="Normal 2 2 3 5 2 3 2 2" xfId="34327"/>
    <cellStyle name="Normal 2 2 3 5 2 3 3" xfId="20596"/>
    <cellStyle name="Normal 2 2 3 5 2 3 3 2" xfId="40479"/>
    <cellStyle name="Normal 2 2 3 5 2 3 4" xfId="28174"/>
    <cellStyle name="Normal 2 2 3 5 2 4" xfId="11378"/>
    <cellStyle name="Normal 2 2 3 5 2 4 2" xfId="31261"/>
    <cellStyle name="Normal 2 2 3 5 2 5" xfId="17530"/>
    <cellStyle name="Normal 2 2 3 5 2 5 2" xfId="37413"/>
    <cellStyle name="Normal 2 2 3 5 2 6" xfId="25108"/>
    <cellStyle name="Normal 2 2 3 5 3" xfId="5916"/>
    <cellStyle name="Normal 2 2 3 5 3 2" xfId="9016"/>
    <cellStyle name="Normal 2 2 3 5 3 2 2" xfId="15209"/>
    <cellStyle name="Normal 2 2 3 5 3 2 2 2" xfId="35092"/>
    <cellStyle name="Normal 2 2 3 5 3 2 3" xfId="21361"/>
    <cellStyle name="Normal 2 2 3 5 3 2 3 2" xfId="41244"/>
    <cellStyle name="Normal 2 2 3 5 3 2 4" xfId="28939"/>
    <cellStyle name="Normal 2 2 3 5 3 3" xfId="12143"/>
    <cellStyle name="Normal 2 2 3 5 3 3 2" xfId="32026"/>
    <cellStyle name="Normal 2 2 3 5 3 4" xfId="18295"/>
    <cellStyle name="Normal 2 2 3 5 3 4 2" xfId="38178"/>
    <cellStyle name="Normal 2 2 3 5 3 5" xfId="25873"/>
    <cellStyle name="Normal 2 2 3 5 4" xfId="7481"/>
    <cellStyle name="Normal 2 2 3 5 4 2" xfId="13675"/>
    <cellStyle name="Normal 2 2 3 5 4 2 2" xfId="33558"/>
    <cellStyle name="Normal 2 2 3 5 4 3" xfId="19827"/>
    <cellStyle name="Normal 2 2 3 5 4 3 2" xfId="39710"/>
    <cellStyle name="Normal 2 2 3 5 4 4" xfId="27405"/>
    <cellStyle name="Normal 2 2 3 5 5" xfId="10609"/>
    <cellStyle name="Normal 2 2 3 5 5 2" xfId="30492"/>
    <cellStyle name="Normal 2 2 3 5 6" xfId="16761"/>
    <cellStyle name="Normal 2 2 3 5 6 2" xfId="36644"/>
    <cellStyle name="Normal 2 2 3 5 7" xfId="24339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2 2" xfId="35862"/>
    <cellStyle name="Normal 2 2 3 6 2 2 2 3" xfId="22131"/>
    <cellStyle name="Normal 2 2 3 6 2 2 2 3 2" xfId="42014"/>
    <cellStyle name="Normal 2 2 3 6 2 2 2 4" xfId="29709"/>
    <cellStyle name="Normal 2 2 3 6 2 2 3" xfId="12913"/>
    <cellStyle name="Normal 2 2 3 6 2 2 3 2" xfId="32796"/>
    <cellStyle name="Normal 2 2 3 6 2 2 4" xfId="19065"/>
    <cellStyle name="Normal 2 2 3 6 2 2 4 2" xfId="38948"/>
    <cellStyle name="Normal 2 2 3 6 2 2 5" xfId="26643"/>
    <cellStyle name="Normal 2 2 3 6 2 3" xfId="8251"/>
    <cellStyle name="Normal 2 2 3 6 2 3 2" xfId="14445"/>
    <cellStyle name="Normal 2 2 3 6 2 3 2 2" xfId="34328"/>
    <cellStyle name="Normal 2 2 3 6 2 3 3" xfId="20597"/>
    <cellStyle name="Normal 2 2 3 6 2 3 3 2" xfId="40480"/>
    <cellStyle name="Normal 2 2 3 6 2 3 4" xfId="28175"/>
    <cellStyle name="Normal 2 2 3 6 2 4" xfId="11379"/>
    <cellStyle name="Normal 2 2 3 6 2 4 2" xfId="31262"/>
    <cellStyle name="Normal 2 2 3 6 2 5" xfId="17531"/>
    <cellStyle name="Normal 2 2 3 6 2 5 2" xfId="37414"/>
    <cellStyle name="Normal 2 2 3 6 2 6" xfId="25109"/>
    <cellStyle name="Normal 2 2 3 6 3" xfId="5917"/>
    <cellStyle name="Normal 2 2 3 6 3 2" xfId="9017"/>
    <cellStyle name="Normal 2 2 3 6 3 2 2" xfId="15210"/>
    <cellStyle name="Normal 2 2 3 6 3 2 2 2" xfId="35093"/>
    <cellStyle name="Normal 2 2 3 6 3 2 3" xfId="21362"/>
    <cellStyle name="Normal 2 2 3 6 3 2 3 2" xfId="41245"/>
    <cellStyle name="Normal 2 2 3 6 3 2 4" xfId="28940"/>
    <cellStyle name="Normal 2 2 3 6 3 3" xfId="12144"/>
    <cellStyle name="Normal 2 2 3 6 3 3 2" xfId="32027"/>
    <cellStyle name="Normal 2 2 3 6 3 4" xfId="18296"/>
    <cellStyle name="Normal 2 2 3 6 3 4 2" xfId="38179"/>
    <cellStyle name="Normal 2 2 3 6 3 5" xfId="25874"/>
    <cellStyle name="Normal 2 2 3 6 4" xfId="7482"/>
    <cellStyle name="Normal 2 2 3 6 4 2" xfId="13676"/>
    <cellStyle name="Normal 2 2 3 6 4 2 2" xfId="33559"/>
    <cellStyle name="Normal 2 2 3 6 4 3" xfId="19828"/>
    <cellStyle name="Normal 2 2 3 6 4 3 2" xfId="39711"/>
    <cellStyle name="Normal 2 2 3 6 4 4" xfId="27406"/>
    <cellStyle name="Normal 2 2 3 6 5" xfId="10610"/>
    <cellStyle name="Normal 2 2 3 6 5 2" xfId="30493"/>
    <cellStyle name="Normal 2 2 3 6 6" xfId="16762"/>
    <cellStyle name="Normal 2 2 3 6 6 2" xfId="36645"/>
    <cellStyle name="Normal 2 2 3 6 7" xfId="24340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2 2" xfId="35857"/>
    <cellStyle name="Normal 2 2 3 9 2 2 3" xfId="22126"/>
    <cellStyle name="Normal 2 2 3 9 2 2 3 2" xfId="42009"/>
    <cellStyle name="Normal 2 2 3 9 2 2 4" xfId="29704"/>
    <cellStyle name="Normal 2 2 3 9 2 3" xfId="12908"/>
    <cellStyle name="Normal 2 2 3 9 2 3 2" xfId="32791"/>
    <cellStyle name="Normal 2 2 3 9 2 4" xfId="19060"/>
    <cellStyle name="Normal 2 2 3 9 2 4 2" xfId="38943"/>
    <cellStyle name="Normal 2 2 3 9 2 5" xfId="26638"/>
    <cellStyle name="Normal 2 2 3 9 3" xfId="8246"/>
    <cellStyle name="Normal 2 2 3 9 3 2" xfId="14440"/>
    <cellStyle name="Normal 2 2 3 9 3 2 2" xfId="34323"/>
    <cellStyle name="Normal 2 2 3 9 3 3" xfId="20592"/>
    <cellStyle name="Normal 2 2 3 9 3 3 2" xfId="40475"/>
    <cellStyle name="Normal 2 2 3 9 3 4" xfId="28170"/>
    <cellStyle name="Normal 2 2 3 9 4" xfId="11374"/>
    <cellStyle name="Normal 2 2 3 9 4 2" xfId="31257"/>
    <cellStyle name="Normal 2 2 3 9 5" xfId="17526"/>
    <cellStyle name="Normal 2 2 3 9 5 2" xfId="37409"/>
    <cellStyle name="Normal 2 2 3 9 6" xfId="25104"/>
    <cellStyle name="Normal 2 2 30" xfId="1160"/>
    <cellStyle name="Normal 2 2 30 2" xfId="24002"/>
    <cellStyle name="Normal 2 2 31" xfId="200"/>
    <cellStyle name="Normal 2 2 32" xfId="23332"/>
    <cellStyle name="Normal 2 2 4" xfId="123"/>
    <cellStyle name="Normal 2 2 4 10" xfId="3577"/>
    <cellStyle name="Normal 2 2 4 10 2" xfId="24341"/>
    <cellStyle name="Normal 2 2 4 11" xfId="266"/>
    <cellStyle name="Normal 2 2 4 12" xfId="23370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2 2" xfId="35864"/>
    <cellStyle name="Normal 2 2 4 2 2 2 2 3" xfId="22133"/>
    <cellStyle name="Normal 2 2 4 2 2 2 2 3 2" xfId="42016"/>
    <cellStyle name="Normal 2 2 4 2 2 2 2 4" xfId="29711"/>
    <cellStyle name="Normal 2 2 4 2 2 2 3" xfId="12915"/>
    <cellStyle name="Normal 2 2 4 2 2 2 3 2" xfId="32798"/>
    <cellStyle name="Normal 2 2 4 2 2 2 4" xfId="19067"/>
    <cellStyle name="Normal 2 2 4 2 2 2 4 2" xfId="38950"/>
    <cellStyle name="Normal 2 2 4 2 2 2 5" xfId="26645"/>
    <cellStyle name="Normal 2 2 4 2 2 3" xfId="8253"/>
    <cellStyle name="Normal 2 2 4 2 2 3 2" xfId="14447"/>
    <cellStyle name="Normal 2 2 4 2 2 3 2 2" xfId="34330"/>
    <cellStyle name="Normal 2 2 4 2 2 3 3" xfId="20599"/>
    <cellStyle name="Normal 2 2 4 2 2 3 3 2" xfId="40482"/>
    <cellStyle name="Normal 2 2 4 2 2 3 4" xfId="28177"/>
    <cellStyle name="Normal 2 2 4 2 2 4" xfId="11381"/>
    <cellStyle name="Normal 2 2 4 2 2 4 2" xfId="31264"/>
    <cellStyle name="Normal 2 2 4 2 2 5" xfId="17533"/>
    <cellStyle name="Normal 2 2 4 2 2 5 2" xfId="37416"/>
    <cellStyle name="Normal 2 2 4 2 2 6" xfId="25111"/>
    <cellStyle name="Normal 2 2 4 2 3" xfId="5919"/>
    <cellStyle name="Normal 2 2 4 2 3 2" xfId="9019"/>
    <cellStyle name="Normal 2 2 4 2 3 2 2" xfId="15212"/>
    <cellStyle name="Normal 2 2 4 2 3 2 2 2" xfId="35095"/>
    <cellStyle name="Normal 2 2 4 2 3 2 3" xfId="21364"/>
    <cellStyle name="Normal 2 2 4 2 3 2 3 2" xfId="41247"/>
    <cellStyle name="Normal 2 2 4 2 3 2 4" xfId="28942"/>
    <cellStyle name="Normal 2 2 4 2 3 3" xfId="12146"/>
    <cellStyle name="Normal 2 2 4 2 3 3 2" xfId="32029"/>
    <cellStyle name="Normal 2 2 4 2 3 4" xfId="18298"/>
    <cellStyle name="Normal 2 2 4 2 3 4 2" xfId="38181"/>
    <cellStyle name="Normal 2 2 4 2 3 5" xfId="25876"/>
    <cellStyle name="Normal 2 2 4 2 4" xfId="7484"/>
    <cellStyle name="Normal 2 2 4 2 4 2" xfId="13678"/>
    <cellStyle name="Normal 2 2 4 2 4 2 2" xfId="33561"/>
    <cellStyle name="Normal 2 2 4 2 4 3" xfId="19830"/>
    <cellStyle name="Normal 2 2 4 2 4 3 2" xfId="39713"/>
    <cellStyle name="Normal 2 2 4 2 4 4" xfId="27408"/>
    <cellStyle name="Normal 2 2 4 2 5" xfId="10612"/>
    <cellStyle name="Normal 2 2 4 2 5 2" xfId="30495"/>
    <cellStyle name="Normal 2 2 4 2 6" xfId="16764"/>
    <cellStyle name="Normal 2 2 4 2 6 2" xfId="36647"/>
    <cellStyle name="Normal 2 2 4 2 7" xfId="24342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2 2" xfId="35863"/>
    <cellStyle name="Normal 2 2 4 5 2 2 3" xfId="22132"/>
    <cellStyle name="Normal 2 2 4 5 2 2 3 2" xfId="42015"/>
    <cellStyle name="Normal 2 2 4 5 2 2 4" xfId="29710"/>
    <cellStyle name="Normal 2 2 4 5 2 3" xfId="12914"/>
    <cellStyle name="Normal 2 2 4 5 2 3 2" xfId="32797"/>
    <cellStyle name="Normal 2 2 4 5 2 4" xfId="19066"/>
    <cellStyle name="Normal 2 2 4 5 2 4 2" xfId="38949"/>
    <cellStyle name="Normal 2 2 4 5 2 5" xfId="26644"/>
    <cellStyle name="Normal 2 2 4 5 3" xfId="8252"/>
    <cellStyle name="Normal 2 2 4 5 3 2" xfId="14446"/>
    <cellStyle name="Normal 2 2 4 5 3 2 2" xfId="34329"/>
    <cellStyle name="Normal 2 2 4 5 3 3" xfId="20598"/>
    <cellStyle name="Normal 2 2 4 5 3 3 2" xfId="40481"/>
    <cellStyle name="Normal 2 2 4 5 3 4" xfId="28176"/>
    <cellStyle name="Normal 2 2 4 5 4" xfId="11380"/>
    <cellStyle name="Normal 2 2 4 5 4 2" xfId="31263"/>
    <cellStyle name="Normal 2 2 4 5 5" xfId="17532"/>
    <cellStyle name="Normal 2 2 4 5 5 2" xfId="37415"/>
    <cellStyle name="Normal 2 2 4 5 6" xfId="25110"/>
    <cellStyle name="Normal 2 2 4 6" xfId="5918"/>
    <cellStyle name="Normal 2 2 4 6 2" xfId="9018"/>
    <cellStyle name="Normal 2 2 4 6 2 2" xfId="15211"/>
    <cellStyle name="Normal 2 2 4 6 2 2 2" xfId="35094"/>
    <cellStyle name="Normal 2 2 4 6 2 3" xfId="21363"/>
    <cellStyle name="Normal 2 2 4 6 2 3 2" xfId="41246"/>
    <cellStyle name="Normal 2 2 4 6 2 4" xfId="28941"/>
    <cellStyle name="Normal 2 2 4 6 3" xfId="12145"/>
    <cellStyle name="Normal 2 2 4 6 3 2" xfId="32028"/>
    <cellStyle name="Normal 2 2 4 6 4" xfId="18297"/>
    <cellStyle name="Normal 2 2 4 6 4 2" xfId="38180"/>
    <cellStyle name="Normal 2 2 4 6 5" xfId="25875"/>
    <cellStyle name="Normal 2 2 4 7" xfId="7483"/>
    <cellStyle name="Normal 2 2 4 7 2" xfId="13677"/>
    <cellStyle name="Normal 2 2 4 7 2 2" xfId="33560"/>
    <cellStyle name="Normal 2 2 4 7 3" xfId="19829"/>
    <cellStyle name="Normal 2 2 4 7 3 2" xfId="39712"/>
    <cellStyle name="Normal 2 2 4 7 4" xfId="27407"/>
    <cellStyle name="Normal 2 2 4 8" xfId="10611"/>
    <cellStyle name="Normal 2 2 4 8 2" xfId="30494"/>
    <cellStyle name="Normal 2 2 4 9" xfId="16763"/>
    <cellStyle name="Normal 2 2 4 9 2" xfId="36646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2 2" xfId="35866"/>
    <cellStyle name="Normal 2 2 5 2 2 2 2 3" xfId="22135"/>
    <cellStyle name="Normal 2 2 5 2 2 2 2 3 2" xfId="42018"/>
    <cellStyle name="Normal 2 2 5 2 2 2 2 4" xfId="29713"/>
    <cellStyle name="Normal 2 2 5 2 2 2 3" xfId="12917"/>
    <cellStyle name="Normal 2 2 5 2 2 2 3 2" xfId="32800"/>
    <cellStyle name="Normal 2 2 5 2 2 2 4" xfId="19069"/>
    <cellStyle name="Normal 2 2 5 2 2 2 4 2" xfId="38952"/>
    <cellStyle name="Normal 2 2 5 2 2 2 5" xfId="26647"/>
    <cellStyle name="Normal 2 2 5 2 2 3" xfId="8255"/>
    <cellStyle name="Normal 2 2 5 2 2 3 2" xfId="14449"/>
    <cellStyle name="Normal 2 2 5 2 2 3 2 2" xfId="34332"/>
    <cellStyle name="Normal 2 2 5 2 2 3 3" xfId="20601"/>
    <cellStyle name="Normal 2 2 5 2 2 3 3 2" xfId="40484"/>
    <cellStyle name="Normal 2 2 5 2 2 3 4" xfId="28179"/>
    <cellStyle name="Normal 2 2 5 2 2 4" xfId="11383"/>
    <cellStyle name="Normal 2 2 5 2 2 4 2" xfId="31266"/>
    <cellStyle name="Normal 2 2 5 2 2 5" xfId="17535"/>
    <cellStyle name="Normal 2 2 5 2 2 5 2" xfId="37418"/>
    <cellStyle name="Normal 2 2 5 2 2 6" xfId="25113"/>
    <cellStyle name="Normal 2 2 5 2 3" xfId="5921"/>
    <cellStyle name="Normal 2 2 5 2 3 2" xfId="9021"/>
    <cellStyle name="Normal 2 2 5 2 3 2 2" xfId="15214"/>
    <cellStyle name="Normal 2 2 5 2 3 2 2 2" xfId="35097"/>
    <cellStyle name="Normal 2 2 5 2 3 2 3" xfId="21366"/>
    <cellStyle name="Normal 2 2 5 2 3 2 3 2" xfId="41249"/>
    <cellStyle name="Normal 2 2 5 2 3 2 4" xfId="28944"/>
    <cellStyle name="Normal 2 2 5 2 3 3" xfId="12148"/>
    <cellStyle name="Normal 2 2 5 2 3 3 2" xfId="32031"/>
    <cellStyle name="Normal 2 2 5 2 3 4" xfId="18300"/>
    <cellStyle name="Normal 2 2 5 2 3 4 2" xfId="38183"/>
    <cellStyle name="Normal 2 2 5 2 3 5" xfId="25878"/>
    <cellStyle name="Normal 2 2 5 2 4" xfId="7486"/>
    <cellStyle name="Normal 2 2 5 2 4 2" xfId="13680"/>
    <cellStyle name="Normal 2 2 5 2 4 2 2" xfId="33563"/>
    <cellStyle name="Normal 2 2 5 2 4 3" xfId="19832"/>
    <cellStyle name="Normal 2 2 5 2 4 3 2" xfId="39715"/>
    <cellStyle name="Normal 2 2 5 2 4 4" xfId="27410"/>
    <cellStyle name="Normal 2 2 5 2 5" xfId="10614"/>
    <cellStyle name="Normal 2 2 5 2 5 2" xfId="30497"/>
    <cellStyle name="Normal 2 2 5 2 6" xfId="16766"/>
    <cellStyle name="Normal 2 2 5 2 6 2" xfId="36649"/>
    <cellStyle name="Normal 2 2 5 2 7" xfId="24344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2 2" xfId="35865"/>
    <cellStyle name="Normal 2 2 5 4 2 2 3" xfId="22134"/>
    <cellStyle name="Normal 2 2 5 4 2 2 3 2" xfId="42017"/>
    <cellStyle name="Normal 2 2 5 4 2 2 4" xfId="29712"/>
    <cellStyle name="Normal 2 2 5 4 2 3" xfId="12916"/>
    <cellStyle name="Normal 2 2 5 4 2 3 2" xfId="32799"/>
    <cellStyle name="Normal 2 2 5 4 2 4" xfId="19068"/>
    <cellStyle name="Normal 2 2 5 4 2 4 2" xfId="38951"/>
    <cellStyle name="Normal 2 2 5 4 2 5" xfId="26646"/>
    <cellStyle name="Normal 2 2 5 4 3" xfId="8254"/>
    <cellStyle name="Normal 2 2 5 4 3 2" xfId="14448"/>
    <cellStyle name="Normal 2 2 5 4 3 2 2" xfId="34331"/>
    <cellStyle name="Normal 2 2 5 4 3 3" xfId="20600"/>
    <cellStyle name="Normal 2 2 5 4 3 3 2" xfId="40483"/>
    <cellStyle name="Normal 2 2 5 4 3 4" xfId="28178"/>
    <cellStyle name="Normal 2 2 5 4 4" xfId="11382"/>
    <cellStyle name="Normal 2 2 5 4 4 2" xfId="31265"/>
    <cellStyle name="Normal 2 2 5 4 5" xfId="17534"/>
    <cellStyle name="Normal 2 2 5 4 5 2" xfId="37417"/>
    <cellStyle name="Normal 2 2 5 4 6" xfId="25112"/>
    <cellStyle name="Normal 2 2 5 5" xfId="5920"/>
    <cellStyle name="Normal 2 2 5 5 2" xfId="9020"/>
    <cellStyle name="Normal 2 2 5 5 2 2" xfId="15213"/>
    <cellStyle name="Normal 2 2 5 5 2 2 2" xfId="35096"/>
    <cellStyle name="Normal 2 2 5 5 2 3" xfId="21365"/>
    <cellStyle name="Normal 2 2 5 5 2 3 2" xfId="41248"/>
    <cellStyle name="Normal 2 2 5 5 2 4" xfId="28943"/>
    <cellStyle name="Normal 2 2 5 5 3" xfId="12147"/>
    <cellStyle name="Normal 2 2 5 5 3 2" xfId="32030"/>
    <cellStyle name="Normal 2 2 5 5 4" xfId="18299"/>
    <cellStyle name="Normal 2 2 5 5 4 2" xfId="38182"/>
    <cellStyle name="Normal 2 2 5 5 5" xfId="25877"/>
    <cellStyle name="Normal 2 2 5 6" xfId="7485"/>
    <cellStyle name="Normal 2 2 5 6 2" xfId="13679"/>
    <cellStyle name="Normal 2 2 5 6 2 2" xfId="33562"/>
    <cellStyle name="Normal 2 2 5 6 3" xfId="19831"/>
    <cellStyle name="Normal 2 2 5 6 3 2" xfId="39714"/>
    <cellStyle name="Normal 2 2 5 6 4" xfId="27409"/>
    <cellStyle name="Normal 2 2 5 7" xfId="10613"/>
    <cellStyle name="Normal 2 2 5 7 2" xfId="30496"/>
    <cellStyle name="Normal 2 2 5 8" xfId="16765"/>
    <cellStyle name="Normal 2 2 5 8 2" xfId="36648"/>
    <cellStyle name="Normal 2 2 5 9" xfId="3583"/>
    <cellStyle name="Normal 2 2 5 9 2" xfId="2434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2 2" xfId="35867"/>
    <cellStyle name="Normal 2 2 6 2 2 2 3" xfId="22136"/>
    <cellStyle name="Normal 2 2 6 2 2 2 3 2" xfId="42019"/>
    <cellStyle name="Normal 2 2 6 2 2 2 4" xfId="29714"/>
    <cellStyle name="Normal 2 2 6 2 2 3" xfId="12918"/>
    <cellStyle name="Normal 2 2 6 2 2 3 2" xfId="32801"/>
    <cellStyle name="Normal 2 2 6 2 2 4" xfId="19070"/>
    <cellStyle name="Normal 2 2 6 2 2 4 2" xfId="38953"/>
    <cellStyle name="Normal 2 2 6 2 2 5" xfId="26648"/>
    <cellStyle name="Normal 2 2 6 2 3" xfId="8256"/>
    <cellStyle name="Normal 2 2 6 2 3 2" xfId="14450"/>
    <cellStyle name="Normal 2 2 6 2 3 2 2" xfId="34333"/>
    <cellStyle name="Normal 2 2 6 2 3 3" xfId="20602"/>
    <cellStyle name="Normal 2 2 6 2 3 3 2" xfId="40485"/>
    <cellStyle name="Normal 2 2 6 2 3 4" xfId="28180"/>
    <cellStyle name="Normal 2 2 6 2 4" xfId="11384"/>
    <cellStyle name="Normal 2 2 6 2 4 2" xfId="31267"/>
    <cellStyle name="Normal 2 2 6 2 5" xfId="17536"/>
    <cellStyle name="Normal 2 2 6 2 5 2" xfId="37419"/>
    <cellStyle name="Normal 2 2 6 2 6" xfId="25114"/>
    <cellStyle name="Normal 2 2 6 3" xfId="5922"/>
    <cellStyle name="Normal 2 2 6 3 2" xfId="9022"/>
    <cellStyle name="Normal 2 2 6 3 2 2" xfId="15215"/>
    <cellStyle name="Normal 2 2 6 3 2 2 2" xfId="35098"/>
    <cellStyle name="Normal 2 2 6 3 2 3" xfId="21367"/>
    <cellStyle name="Normal 2 2 6 3 2 3 2" xfId="41250"/>
    <cellStyle name="Normal 2 2 6 3 2 4" xfId="28945"/>
    <cellStyle name="Normal 2 2 6 3 3" xfId="12149"/>
    <cellStyle name="Normal 2 2 6 3 3 2" xfId="32032"/>
    <cellStyle name="Normal 2 2 6 3 4" xfId="18301"/>
    <cellStyle name="Normal 2 2 6 3 4 2" xfId="38184"/>
    <cellStyle name="Normal 2 2 6 3 5" xfId="25879"/>
    <cellStyle name="Normal 2 2 6 4" xfId="7487"/>
    <cellStyle name="Normal 2 2 6 4 2" xfId="13681"/>
    <cellStyle name="Normal 2 2 6 4 2 2" xfId="33564"/>
    <cellStyle name="Normal 2 2 6 4 3" xfId="19833"/>
    <cellStyle name="Normal 2 2 6 4 3 2" xfId="39716"/>
    <cellStyle name="Normal 2 2 6 4 4" xfId="27411"/>
    <cellStyle name="Normal 2 2 6 5" xfId="10615"/>
    <cellStyle name="Normal 2 2 6 5 2" xfId="30498"/>
    <cellStyle name="Normal 2 2 6 6" xfId="16767"/>
    <cellStyle name="Normal 2 2 6 6 2" xfId="36650"/>
    <cellStyle name="Normal 2 2 6 7" xfId="3586"/>
    <cellStyle name="Normal 2 2 6 7 2" xfId="24345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2 2" xfId="35868"/>
    <cellStyle name="Normal 2 2 7 2 2 2 3" xfId="22137"/>
    <cellStyle name="Normal 2 2 7 2 2 2 3 2" xfId="42020"/>
    <cellStyle name="Normal 2 2 7 2 2 2 4" xfId="29715"/>
    <cellStyle name="Normal 2 2 7 2 2 3" xfId="12919"/>
    <cellStyle name="Normal 2 2 7 2 2 3 2" xfId="32802"/>
    <cellStyle name="Normal 2 2 7 2 2 4" xfId="19071"/>
    <cellStyle name="Normal 2 2 7 2 2 4 2" xfId="38954"/>
    <cellStyle name="Normal 2 2 7 2 2 5" xfId="26649"/>
    <cellStyle name="Normal 2 2 7 2 3" xfId="8257"/>
    <cellStyle name="Normal 2 2 7 2 3 2" xfId="14451"/>
    <cellStyle name="Normal 2 2 7 2 3 2 2" xfId="34334"/>
    <cellStyle name="Normal 2 2 7 2 3 3" xfId="20603"/>
    <cellStyle name="Normal 2 2 7 2 3 3 2" xfId="40486"/>
    <cellStyle name="Normal 2 2 7 2 3 4" xfId="28181"/>
    <cellStyle name="Normal 2 2 7 2 4" xfId="11385"/>
    <cellStyle name="Normal 2 2 7 2 4 2" xfId="31268"/>
    <cellStyle name="Normal 2 2 7 2 5" xfId="17537"/>
    <cellStyle name="Normal 2 2 7 2 5 2" xfId="37420"/>
    <cellStyle name="Normal 2 2 7 2 6" xfId="25115"/>
    <cellStyle name="Normal 2 2 7 3" xfId="5923"/>
    <cellStyle name="Normal 2 2 7 3 2" xfId="9023"/>
    <cellStyle name="Normal 2 2 7 3 2 2" xfId="15216"/>
    <cellStyle name="Normal 2 2 7 3 2 2 2" xfId="35099"/>
    <cellStyle name="Normal 2 2 7 3 2 3" xfId="21368"/>
    <cellStyle name="Normal 2 2 7 3 2 3 2" xfId="41251"/>
    <cellStyle name="Normal 2 2 7 3 2 4" xfId="28946"/>
    <cellStyle name="Normal 2 2 7 3 3" xfId="12150"/>
    <cellStyle name="Normal 2 2 7 3 3 2" xfId="32033"/>
    <cellStyle name="Normal 2 2 7 3 4" xfId="18302"/>
    <cellStyle name="Normal 2 2 7 3 4 2" xfId="38185"/>
    <cellStyle name="Normal 2 2 7 3 5" xfId="25880"/>
    <cellStyle name="Normal 2 2 7 4" xfId="7488"/>
    <cellStyle name="Normal 2 2 7 4 2" xfId="13682"/>
    <cellStyle name="Normal 2 2 7 4 2 2" xfId="33565"/>
    <cellStyle name="Normal 2 2 7 4 3" xfId="19834"/>
    <cellStyle name="Normal 2 2 7 4 3 2" xfId="39717"/>
    <cellStyle name="Normal 2 2 7 4 4" xfId="27412"/>
    <cellStyle name="Normal 2 2 7 5" xfId="10616"/>
    <cellStyle name="Normal 2 2 7 5 2" xfId="30499"/>
    <cellStyle name="Normal 2 2 7 6" xfId="16768"/>
    <cellStyle name="Normal 2 2 7 6 2" xfId="36651"/>
    <cellStyle name="Normal 2 2 7 7" xfId="3587"/>
    <cellStyle name="Normal 2 2 7 7 2" xfId="24346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2 2" xfId="35869"/>
    <cellStyle name="Normal 2 2 8 2 2 2 3" xfId="22138"/>
    <cellStyle name="Normal 2 2 8 2 2 2 3 2" xfId="42021"/>
    <cellStyle name="Normal 2 2 8 2 2 2 4" xfId="29716"/>
    <cellStyle name="Normal 2 2 8 2 2 3" xfId="12920"/>
    <cellStyle name="Normal 2 2 8 2 2 3 2" xfId="32803"/>
    <cellStyle name="Normal 2 2 8 2 2 4" xfId="19072"/>
    <cellStyle name="Normal 2 2 8 2 2 4 2" xfId="38955"/>
    <cellStyle name="Normal 2 2 8 2 2 5" xfId="26650"/>
    <cellStyle name="Normal 2 2 8 2 3" xfId="8258"/>
    <cellStyle name="Normal 2 2 8 2 3 2" xfId="14452"/>
    <cellStyle name="Normal 2 2 8 2 3 2 2" xfId="34335"/>
    <cellStyle name="Normal 2 2 8 2 3 3" xfId="20604"/>
    <cellStyle name="Normal 2 2 8 2 3 3 2" xfId="40487"/>
    <cellStyle name="Normal 2 2 8 2 3 4" xfId="28182"/>
    <cellStyle name="Normal 2 2 8 2 4" xfId="11386"/>
    <cellStyle name="Normal 2 2 8 2 4 2" xfId="31269"/>
    <cellStyle name="Normal 2 2 8 2 5" xfId="17538"/>
    <cellStyle name="Normal 2 2 8 2 5 2" xfId="37421"/>
    <cellStyle name="Normal 2 2 8 2 6" xfId="25116"/>
    <cellStyle name="Normal 2 2 8 3" xfId="5924"/>
    <cellStyle name="Normal 2 2 8 3 2" xfId="9024"/>
    <cellStyle name="Normal 2 2 8 3 2 2" xfId="15217"/>
    <cellStyle name="Normal 2 2 8 3 2 2 2" xfId="35100"/>
    <cellStyle name="Normal 2 2 8 3 2 3" xfId="21369"/>
    <cellStyle name="Normal 2 2 8 3 2 3 2" xfId="41252"/>
    <cellStyle name="Normal 2 2 8 3 2 4" xfId="28947"/>
    <cellStyle name="Normal 2 2 8 3 3" xfId="12151"/>
    <cellStyle name="Normal 2 2 8 3 3 2" xfId="32034"/>
    <cellStyle name="Normal 2 2 8 3 4" xfId="18303"/>
    <cellStyle name="Normal 2 2 8 3 4 2" xfId="38186"/>
    <cellStyle name="Normal 2 2 8 3 5" xfId="25881"/>
    <cellStyle name="Normal 2 2 8 4" xfId="7489"/>
    <cellStyle name="Normal 2 2 8 4 2" xfId="13683"/>
    <cellStyle name="Normal 2 2 8 4 2 2" xfId="33566"/>
    <cellStyle name="Normal 2 2 8 4 3" xfId="19835"/>
    <cellStyle name="Normal 2 2 8 4 3 2" xfId="39718"/>
    <cellStyle name="Normal 2 2 8 4 4" xfId="27413"/>
    <cellStyle name="Normal 2 2 8 5" xfId="10617"/>
    <cellStyle name="Normal 2 2 8 5 2" xfId="30500"/>
    <cellStyle name="Normal 2 2 8 6" xfId="16769"/>
    <cellStyle name="Normal 2 2 8 6 2" xfId="36652"/>
    <cellStyle name="Normal 2 2 8 7" xfId="3588"/>
    <cellStyle name="Normal 2 2 8 7 2" xfId="24347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2 2" xfId="35870"/>
    <cellStyle name="Normal 2 2 9 2 2 2 3" xfId="22139"/>
    <cellStyle name="Normal 2 2 9 2 2 2 3 2" xfId="42022"/>
    <cellStyle name="Normal 2 2 9 2 2 2 4" xfId="29717"/>
    <cellStyle name="Normal 2 2 9 2 2 3" xfId="12921"/>
    <cellStyle name="Normal 2 2 9 2 2 3 2" xfId="32804"/>
    <cellStyle name="Normal 2 2 9 2 2 4" xfId="19073"/>
    <cellStyle name="Normal 2 2 9 2 2 4 2" xfId="38956"/>
    <cellStyle name="Normal 2 2 9 2 2 5" xfId="26651"/>
    <cellStyle name="Normal 2 2 9 2 3" xfId="8259"/>
    <cellStyle name="Normal 2 2 9 2 3 2" xfId="14453"/>
    <cellStyle name="Normal 2 2 9 2 3 2 2" xfId="34336"/>
    <cellStyle name="Normal 2 2 9 2 3 3" xfId="20605"/>
    <cellStyle name="Normal 2 2 9 2 3 3 2" xfId="40488"/>
    <cellStyle name="Normal 2 2 9 2 3 4" xfId="28183"/>
    <cellStyle name="Normal 2 2 9 2 4" xfId="11387"/>
    <cellStyle name="Normal 2 2 9 2 4 2" xfId="31270"/>
    <cellStyle name="Normal 2 2 9 2 5" xfId="17539"/>
    <cellStyle name="Normal 2 2 9 2 5 2" xfId="37422"/>
    <cellStyle name="Normal 2 2 9 2 6" xfId="25117"/>
    <cellStyle name="Normal 2 2 9 3" xfId="5925"/>
    <cellStyle name="Normal 2 2 9 3 2" xfId="9025"/>
    <cellStyle name="Normal 2 2 9 3 2 2" xfId="15218"/>
    <cellStyle name="Normal 2 2 9 3 2 2 2" xfId="35101"/>
    <cellStyle name="Normal 2 2 9 3 2 3" xfId="21370"/>
    <cellStyle name="Normal 2 2 9 3 2 3 2" xfId="41253"/>
    <cellStyle name="Normal 2 2 9 3 2 4" xfId="28948"/>
    <cellStyle name="Normal 2 2 9 3 3" xfId="12152"/>
    <cellStyle name="Normal 2 2 9 3 3 2" xfId="32035"/>
    <cellStyle name="Normal 2 2 9 3 4" xfId="18304"/>
    <cellStyle name="Normal 2 2 9 3 4 2" xfId="38187"/>
    <cellStyle name="Normal 2 2 9 3 5" xfId="25882"/>
    <cellStyle name="Normal 2 2 9 4" xfId="7490"/>
    <cellStyle name="Normal 2 2 9 4 2" xfId="13684"/>
    <cellStyle name="Normal 2 2 9 4 2 2" xfId="33567"/>
    <cellStyle name="Normal 2 2 9 4 3" xfId="19836"/>
    <cellStyle name="Normal 2 2 9 4 3 2" xfId="39719"/>
    <cellStyle name="Normal 2 2 9 4 4" xfId="27414"/>
    <cellStyle name="Normal 2 2 9 5" xfId="10618"/>
    <cellStyle name="Normal 2 2 9 5 2" xfId="30501"/>
    <cellStyle name="Normal 2 2 9 6" xfId="16770"/>
    <cellStyle name="Normal 2 2 9 6 2" xfId="36653"/>
    <cellStyle name="Normal 2 2 9 7" xfId="3589"/>
    <cellStyle name="Normal 2 2 9 7 2" xfId="24348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2 2" xfId="35871"/>
    <cellStyle name="Normal 2 20 2 2 2 3" xfId="22140"/>
    <cellStyle name="Normal 2 20 2 2 2 3 2" xfId="42023"/>
    <cellStyle name="Normal 2 20 2 2 2 4" xfId="29718"/>
    <cellStyle name="Normal 2 20 2 2 3" xfId="12922"/>
    <cellStyle name="Normal 2 20 2 2 3 2" xfId="32805"/>
    <cellStyle name="Normal 2 20 2 2 4" xfId="19074"/>
    <cellStyle name="Normal 2 20 2 2 4 2" xfId="38957"/>
    <cellStyle name="Normal 2 20 2 2 5" xfId="26652"/>
    <cellStyle name="Normal 2 20 2 3" xfId="8260"/>
    <cellStyle name="Normal 2 20 2 3 2" xfId="14454"/>
    <cellStyle name="Normal 2 20 2 3 2 2" xfId="34337"/>
    <cellStyle name="Normal 2 20 2 3 3" xfId="20606"/>
    <cellStyle name="Normal 2 20 2 3 3 2" xfId="40489"/>
    <cellStyle name="Normal 2 20 2 3 4" xfId="28184"/>
    <cellStyle name="Normal 2 20 2 4" xfId="11388"/>
    <cellStyle name="Normal 2 20 2 4 2" xfId="31271"/>
    <cellStyle name="Normal 2 20 2 5" xfId="17540"/>
    <cellStyle name="Normal 2 20 2 5 2" xfId="37423"/>
    <cellStyle name="Normal 2 20 2 6" xfId="25118"/>
    <cellStyle name="Normal 2 20 3" xfId="5926"/>
    <cellStyle name="Normal 2 20 3 2" xfId="9026"/>
    <cellStyle name="Normal 2 20 3 2 2" xfId="15219"/>
    <cellStyle name="Normal 2 20 3 2 2 2" xfId="35102"/>
    <cellStyle name="Normal 2 20 3 2 3" xfId="21371"/>
    <cellStyle name="Normal 2 20 3 2 3 2" xfId="41254"/>
    <cellStyle name="Normal 2 20 3 2 4" xfId="28949"/>
    <cellStyle name="Normal 2 20 3 3" xfId="12153"/>
    <cellStyle name="Normal 2 20 3 3 2" xfId="32036"/>
    <cellStyle name="Normal 2 20 3 4" xfId="18305"/>
    <cellStyle name="Normal 2 20 3 4 2" xfId="38188"/>
    <cellStyle name="Normal 2 20 3 5" xfId="25883"/>
    <cellStyle name="Normal 2 20 4" xfId="7491"/>
    <cellStyle name="Normal 2 20 4 2" xfId="13685"/>
    <cellStyle name="Normal 2 20 4 2 2" xfId="33568"/>
    <cellStyle name="Normal 2 20 4 3" xfId="19837"/>
    <cellStyle name="Normal 2 20 4 3 2" xfId="39720"/>
    <cellStyle name="Normal 2 20 4 4" xfId="27415"/>
    <cellStyle name="Normal 2 20 5" xfId="10619"/>
    <cellStyle name="Normal 2 20 5 2" xfId="30502"/>
    <cellStyle name="Normal 2 20 6" xfId="16771"/>
    <cellStyle name="Normal 2 20 6 2" xfId="36654"/>
    <cellStyle name="Normal 2 20 7" xfId="24349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2 2" xfId="35554"/>
    <cellStyle name="Normal 2 24 2 2 2 3" xfId="21823"/>
    <cellStyle name="Normal 2 24 2 2 2 3 2" xfId="41706"/>
    <cellStyle name="Normal 2 24 2 2 2 4" xfId="29401"/>
    <cellStyle name="Normal 2 24 2 2 3" xfId="12605"/>
    <cellStyle name="Normal 2 24 2 2 3 2" xfId="32488"/>
    <cellStyle name="Normal 2 24 2 2 4" xfId="18757"/>
    <cellStyle name="Normal 2 24 2 2 4 2" xfId="38640"/>
    <cellStyle name="Normal 2 24 2 2 5" xfId="26335"/>
    <cellStyle name="Normal 2 24 2 3" xfId="7943"/>
    <cellStyle name="Normal 2 24 2 3 2" xfId="14137"/>
    <cellStyle name="Normal 2 24 2 3 2 2" xfId="34020"/>
    <cellStyle name="Normal 2 24 2 3 3" xfId="20289"/>
    <cellStyle name="Normal 2 24 2 3 3 2" xfId="40172"/>
    <cellStyle name="Normal 2 24 2 3 4" xfId="27867"/>
    <cellStyle name="Normal 2 24 2 4" xfId="11071"/>
    <cellStyle name="Normal 2 24 2 4 2" xfId="30954"/>
    <cellStyle name="Normal 2 24 2 5" xfId="17223"/>
    <cellStyle name="Normal 2 24 2 5 2" xfId="37106"/>
    <cellStyle name="Normal 2 24 2 6" xfId="24801"/>
    <cellStyle name="Normal 2 24 3" xfId="5606"/>
    <cellStyle name="Normal 2 24 3 2" xfId="8709"/>
    <cellStyle name="Normal 2 24 3 2 2" xfId="14902"/>
    <cellStyle name="Normal 2 24 3 2 2 2" xfId="34785"/>
    <cellStyle name="Normal 2 24 3 2 3" xfId="21054"/>
    <cellStyle name="Normal 2 24 3 2 3 2" xfId="40937"/>
    <cellStyle name="Normal 2 24 3 2 4" xfId="28632"/>
    <cellStyle name="Normal 2 24 3 3" xfId="11836"/>
    <cellStyle name="Normal 2 24 3 3 2" xfId="31719"/>
    <cellStyle name="Normal 2 24 3 4" xfId="17988"/>
    <cellStyle name="Normal 2 24 3 4 2" xfId="37871"/>
    <cellStyle name="Normal 2 24 3 5" xfId="25566"/>
    <cellStyle name="Normal 2 24 4" xfId="7174"/>
    <cellStyle name="Normal 2 24 4 2" xfId="13368"/>
    <cellStyle name="Normal 2 24 4 2 2" xfId="33251"/>
    <cellStyle name="Normal 2 24 4 3" xfId="19520"/>
    <cellStyle name="Normal 2 24 4 3 2" xfId="39403"/>
    <cellStyle name="Normal 2 24 4 4" xfId="27098"/>
    <cellStyle name="Normal 2 24 5" xfId="10302"/>
    <cellStyle name="Normal 2 24 5 2" xfId="30185"/>
    <cellStyle name="Normal 2 24 6" xfId="16454"/>
    <cellStyle name="Normal 2 24 6 2" xfId="36337"/>
    <cellStyle name="Normal 2 24 7" xfId="24032"/>
    <cellStyle name="Normal 2 25" xfId="5578"/>
    <cellStyle name="Normal 2 25 2" xfId="8682"/>
    <cellStyle name="Normal 2 26" xfId="10222"/>
    <cellStyle name="Normal 2 27" xfId="1176"/>
    <cellStyle name="Normal 2 28" xfId="23234"/>
    <cellStyle name="Normal 2 28 2" xfId="43006"/>
    <cellStyle name="Normal 2 3" xfId="23"/>
    <cellStyle name="Normal 2 3 10" xfId="10258"/>
    <cellStyle name="Normal 2 3 11" xfId="23236"/>
    <cellStyle name="Normal 2 3 11 2" xfId="43007"/>
    <cellStyle name="Normal 2 3 2" xfId="3594"/>
    <cellStyle name="Normal 2 3 2 2" xfId="3595"/>
    <cellStyle name="Normal 2 3 2 2 2" xfId="23238"/>
    <cellStyle name="Normal 2 3 2 2 2 2" xfId="43009"/>
    <cellStyle name="Normal 2 3 2 3" xfId="5085"/>
    <cellStyle name="Normal 2 3 2 3 2" xfId="6710"/>
    <cellStyle name="Normal 2 3 2 3 2 2" xfId="9796"/>
    <cellStyle name="Normal 2 3 2 3 2 2 2" xfId="15989"/>
    <cellStyle name="Normal 2 3 2 3 2 2 2 2" xfId="35872"/>
    <cellStyle name="Normal 2 3 2 3 2 2 3" xfId="22141"/>
    <cellStyle name="Normal 2 3 2 3 2 2 3 2" xfId="42024"/>
    <cellStyle name="Normal 2 3 2 3 2 2 4" xfId="29719"/>
    <cellStyle name="Normal 2 3 2 3 2 3" xfId="12923"/>
    <cellStyle name="Normal 2 3 2 3 2 3 2" xfId="32806"/>
    <cellStyle name="Normal 2 3 2 3 2 4" xfId="19075"/>
    <cellStyle name="Normal 2 3 2 3 2 4 2" xfId="38958"/>
    <cellStyle name="Normal 2 3 2 3 2 5" xfId="26653"/>
    <cellStyle name="Normal 2 3 2 3 3" xfId="8261"/>
    <cellStyle name="Normal 2 3 2 3 3 2" xfId="14455"/>
    <cellStyle name="Normal 2 3 2 3 3 2 2" xfId="34338"/>
    <cellStyle name="Normal 2 3 2 3 3 3" xfId="20607"/>
    <cellStyle name="Normal 2 3 2 3 3 3 2" xfId="40490"/>
    <cellStyle name="Normal 2 3 2 3 3 4" xfId="28185"/>
    <cellStyle name="Normal 2 3 2 3 4" xfId="11389"/>
    <cellStyle name="Normal 2 3 2 3 4 2" xfId="31272"/>
    <cellStyle name="Normal 2 3 2 3 5" xfId="17541"/>
    <cellStyle name="Normal 2 3 2 3 5 2" xfId="37424"/>
    <cellStyle name="Normal 2 3 2 3 6" xfId="25119"/>
    <cellStyle name="Normal 2 3 2 4" xfId="5927"/>
    <cellStyle name="Normal 2 3 2 4 2" xfId="9027"/>
    <cellStyle name="Normal 2 3 2 4 2 2" xfId="15220"/>
    <cellStyle name="Normal 2 3 2 4 2 2 2" xfId="35103"/>
    <cellStyle name="Normal 2 3 2 4 2 3" xfId="21372"/>
    <cellStyle name="Normal 2 3 2 4 2 3 2" xfId="41255"/>
    <cellStyle name="Normal 2 3 2 4 2 4" xfId="28950"/>
    <cellStyle name="Normal 2 3 2 4 3" xfId="12154"/>
    <cellStyle name="Normal 2 3 2 4 3 2" xfId="32037"/>
    <cellStyle name="Normal 2 3 2 4 4" xfId="18306"/>
    <cellStyle name="Normal 2 3 2 4 4 2" xfId="38189"/>
    <cellStyle name="Normal 2 3 2 4 5" xfId="25884"/>
    <cellStyle name="Normal 2 3 2 5" xfId="7492"/>
    <cellStyle name="Normal 2 3 2 5 2" xfId="13686"/>
    <cellStyle name="Normal 2 3 2 5 2 2" xfId="33569"/>
    <cellStyle name="Normal 2 3 2 5 3" xfId="19838"/>
    <cellStyle name="Normal 2 3 2 5 3 2" xfId="39721"/>
    <cellStyle name="Normal 2 3 2 5 4" xfId="27416"/>
    <cellStyle name="Normal 2 3 2 6" xfId="10620"/>
    <cellStyle name="Normal 2 3 2 6 2" xfId="30503"/>
    <cellStyle name="Normal 2 3 2 7" xfId="16772"/>
    <cellStyle name="Normal 2 3 2 7 2" xfId="36655"/>
    <cellStyle name="Normal 2 3 2 8" xfId="23237"/>
    <cellStyle name="Normal 2 3 2 8 2" xfId="43008"/>
    <cellStyle name="Normal 2 3 2 9" xfId="24350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2 2" xfId="35873"/>
    <cellStyle name="Normal 2 3 3 2 2 2 3" xfId="22142"/>
    <cellStyle name="Normal 2 3 3 2 2 2 3 2" xfId="42025"/>
    <cellStyle name="Normal 2 3 3 2 2 2 4" xfId="29720"/>
    <cellStyle name="Normal 2 3 3 2 2 3" xfId="12924"/>
    <cellStyle name="Normal 2 3 3 2 2 3 2" xfId="32807"/>
    <cellStyle name="Normal 2 3 3 2 2 4" xfId="19076"/>
    <cellStyle name="Normal 2 3 3 2 2 4 2" xfId="38959"/>
    <cellStyle name="Normal 2 3 3 2 2 5" xfId="26654"/>
    <cellStyle name="Normal 2 3 3 2 3" xfId="8262"/>
    <cellStyle name="Normal 2 3 3 2 3 2" xfId="14456"/>
    <cellStyle name="Normal 2 3 3 2 3 2 2" xfId="34339"/>
    <cellStyle name="Normal 2 3 3 2 3 3" xfId="20608"/>
    <cellStyle name="Normal 2 3 3 2 3 3 2" xfId="40491"/>
    <cellStyle name="Normal 2 3 3 2 3 4" xfId="28186"/>
    <cellStyle name="Normal 2 3 3 2 4" xfId="11390"/>
    <cellStyle name="Normal 2 3 3 2 4 2" xfId="31273"/>
    <cellStyle name="Normal 2 3 3 2 5" xfId="17542"/>
    <cellStyle name="Normal 2 3 3 2 5 2" xfId="37425"/>
    <cellStyle name="Normal 2 3 3 2 6" xfId="25120"/>
    <cellStyle name="Normal 2 3 3 3" xfId="5928"/>
    <cellStyle name="Normal 2 3 3 3 2" xfId="9028"/>
    <cellStyle name="Normal 2 3 3 3 2 2" xfId="15221"/>
    <cellStyle name="Normal 2 3 3 3 2 2 2" xfId="35104"/>
    <cellStyle name="Normal 2 3 3 3 2 3" xfId="21373"/>
    <cellStyle name="Normal 2 3 3 3 2 3 2" xfId="41256"/>
    <cellStyle name="Normal 2 3 3 3 2 4" xfId="28951"/>
    <cellStyle name="Normal 2 3 3 3 3" xfId="12155"/>
    <cellStyle name="Normal 2 3 3 3 3 2" xfId="32038"/>
    <cellStyle name="Normal 2 3 3 3 4" xfId="18307"/>
    <cellStyle name="Normal 2 3 3 3 4 2" xfId="38190"/>
    <cellStyle name="Normal 2 3 3 3 5" xfId="25885"/>
    <cellStyle name="Normal 2 3 3 4" xfId="7493"/>
    <cellStyle name="Normal 2 3 3 4 2" xfId="13687"/>
    <cellStyle name="Normal 2 3 3 4 2 2" xfId="33570"/>
    <cellStyle name="Normal 2 3 3 4 3" xfId="19839"/>
    <cellStyle name="Normal 2 3 3 4 3 2" xfId="39722"/>
    <cellStyle name="Normal 2 3 3 4 4" xfId="27417"/>
    <cellStyle name="Normal 2 3 3 5" xfId="10621"/>
    <cellStyle name="Normal 2 3 3 5 2" xfId="30504"/>
    <cellStyle name="Normal 2 3 3 6" xfId="16773"/>
    <cellStyle name="Normal 2 3 3 6 2" xfId="36656"/>
    <cellStyle name="Normal 2 3 3 7" xfId="23239"/>
    <cellStyle name="Normal 2 3 3 7 2" xfId="43010"/>
    <cellStyle name="Normal 2 3 3 8" xfId="24351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2 2" xfId="35874"/>
    <cellStyle name="Normal 2 3 4 2 2 2 3" xfId="22143"/>
    <cellStyle name="Normal 2 3 4 2 2 2 3 2" xfId="42026"/>
    <cellStyle name="Normal 2 3 4 2 2 2 4" xfId="29721"/>
    <cellStyle name="Normal 2 3 4 2 2 3" xfId="12925"/>
    <cellStyle name="Normal 2 3 4 2 2 3 2" xfId="32808"/>
    <cellStyle name="Normal 2 3 4 2 2 4" xfId="19077"/>
    <cellStyle name="Normal 2 3 4 2 2 4 2" xfId="38960"/>
    <cellStyle name="Normal 2 3 4 2 2 5" xfId="26655"/>
    <cellStyle name="Normal 2 3 4 2 3" xfId="8263"/>
    <cellStyle name="Normal 2 3 4 2 3 2" xfId="14457"/>
    <cellStyle name="Normal 2 3 4 2 3 2 2" xfId="34340"/>
    <cellStyle name="Normal 2 3 4 2 3 3" xfId="20609"/>
    <cellStyle name="Normal 2 3 4 2 3 3 2" xfId="40492"/>
    <cellStyle name="Normal 2 3 4 2 3 4" xfId="28187"/>
    <cellStyle name="Normal 2 3 4 2 4" xfId="11391"/>
    <cellStyle name="Normal 2 3 4 2 4 2" xfId="31274"/>
    <cellStyle name="Normal 2 3 4 2 5" xfId="17543"/>
    <cellStyle name="Normal 2 3 4 2 5 2" xfId="37426"/>
    <cellStyle name="Normal 2 3 4 2 6" xfId="25121"/>
    <cellStyle name="Normal 2 3 4 3" xfId="5929"/>
    <cellStyle name="Normal 2 3 4 3 2" xfId="9029"/>
    <cellStyle name="Normal 2 3 4 3 2 2" xfId="15222"/>
    <cellStyle name="Normal 2 3 4 3 2 2 2" xfId="35105"/>
    <cellStyle name="Normal 2 3 4 3 2 3" xfId="21374"/>
    <cellStyle name="Normal 2 3 4 3 2 3 2" xfId="41257"/>
    <cellStyle name="Normal 2 3 4 3 2 4" xfId="28952"/>
    <cellStyle name="Normal 2 3 4 3 3" xfId="12156"/>
    <cellStyle name="Normal 2 3 4 3 3 2" xfId="32039"/>
    <cellStyle name="Normal 2 3 4 3 4" xfId="18308"/>
    <cellStyle name="Normal 2 3 4 3 4 2" xfId="38191"/>
    <cellStyle name="Normal 2 3 4 3 5" xfId="25886"/>
    <cellStyle name="Normal 2 3 4 4" xfId="7494"/>
    <cellStyle name="Normal 2 3 4 4 2" xfId="13688"/>
    <cellStyle name="Normal 2 3 4 4 2 2" xfId="33571"/>
    <cellStyle name="Normal 2 3 4 4 3" xfId="19840"/>
    <cellStyle name="Normal 2 3 4 4 3 2" xfId="39723"/>
    <cellStyle name="Normal 2 3 4 4 4" xfId="27418"/>
    <cellStyle name="Normal 2 3 4 5" xfId="10622"/>
    <cellStyle name="Normal 2 3 4 5 2" xfId="30505"/>
    <cellStyle name="Normal 2 3 4 6" xfId="16774"/>
    <cellStyle name="Normal 2 3 4 6 2" xfId="36657"/>
    <cellStyle name="Normal 2 3 4 7" xfId="24352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2 2" xfId="35875"/>
    <cellStyle name="Normal 2 3 5 2 2 2 3" xfId="22144"/>
    <cellStyle name="Normal 2 3 5 2 2 2 3 2" xfId="42027"/>
    <cellStyle name="Normal 2 3 5 2 2 2 4" xfId="29722"/>
    <cellStyle name="Normal 2 3 5 2 2 3" xfId="12926"/>
    <cellStyle name="Normal 2 3 5 2 2 3 2" xfId="32809"/>
    <cellStyle name="Normal 2 3 5 2 2 4" xfId="19078"/>
    <cellStyle name="Normal 2 3 5 2 2 4 2" xfId="38961"/>
    <cellStyle name="Normal 2 3 5 2 2 5" xfId="26656"/>
    <cellStyle name="Normal 2 3 5 2 3" xfId="8264"/>
    <cellStyle name="Normal 2 3 5 2 3 2" xfId="14458"/>
    <cellStyle name="Normal 2 3 5 2 3 2 2" xfId="34341"/>
    <cellStyle name="Normal 2 3 5 2 3 3" xfId="20610"/>
    <cellStyle name="Normal 2 3 5 2 3 3 2" xfId="40493"/>
    <cellStyle name="Normal 2 3 5 2 3 4" xfId="28188"/>
    <cellStyle name="Normal 2 3 5 2 4" xfId="11392"/>
    <cellStyle name="Normal 2 3 5 2 4 2" xfId="31275"/>
    <cellStyle name="Normal 2 3 5 2 5" xfId="17544"/>
    <cellStyle name="Normal 2 3 5 2 5 2" xfId="37427"/>
    <cellStyle name="Normal 2 3 5 2 6" xfId="25122"/>
    <cellStyle name="Normal 2 3 5 3" xfId="5930"/>
    <cellStyle name="Normal 2 3 5 3 2" xfId="9030"/>
    <cellStyle name="Normal 2 3 5 3 2 2" xfId="15223"/>
    <cellStyle name="Normal 2 3 5 3 2 2 2" xfId="35106"/>
    <cellStyle name="Normal 2 3 5 3 2 3" xfId="21375"/>
    <cellStyle name="Normal 2 3 5 3 2 3 2" xfId="41258"/>
    <cellStyle name="Normal 2 3 5 3 2 4" xfId="28953"/>
    <cellStyle name="Normal 2 3 5 3 3" xfId="12157"/>
    <cellStyle name="Normal 2 3 5 3 3 2" xfId="32040"/>
    <cellStyle name="Normal 2 3 5 3 4" xfId="18309"/>
    <cellStyle name="Normal 2 3 5 3 4 2" xfId="38192"/>
    <cellStyle name="Normal 2 3 5 3 5" xfId="25887"/>
    <cellStyle name="Normal 2 3 5 4" xfId="7495"/>
    <cellStyle name="Normal 2 3 5 4 2" xfId="13689"/>
    <cellStyle name="Normal 2 3 5 4 2 2" xfId="33572"/>
    <cellStyle name="Normal 2 3 5 4 3" xfId="19841"/>
    <cellStyle name="Normal 2 3 5 4 3 2" xfId="39724"/>
    <cellStyle name="Normal 2 3 5 4 4" xfId="27419"/>
    <cellStyle name="Normal 2 3 5 5" xfId="10623"/>
    <cellStyle name="Normal 2 3 5 5 2" xfId="30506"/>
    <cellStyle name="Normal 2 3 5 6" xfId="16775"/>
    <cellStyle name="Normal 2 3 5 6 2" xfId="36658"/>
    <cellStyle name="Normal 2 3 5 7" xfId="24353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2 2" xfId="35876"/>
    <cellStyle name="Normal 2 3 6 2 2 2 3" xfId="22145"/>
    <cellStyle name="Normal 2 3 6 2 2 2 3 2" xfId="42028"/>
    <cellStyle name="Normal 2 3 6 2 2 2 4" xfId="29723"/>
    <cellStyle name="Normal 2 3 6 2 2 3" xfId="12927"/>
    <cellStyle name="Normal 2 3 6 2 2 3 2" xfId="32810"/>
    <cellStyle name="Normal 2 3 6 2 2 4" xfId="19079"/>
    <cellStyle name="Normal 2 3 6 2 2 4 2" xfId="38962"/>
    <cellStyle name="Normal 2 3 6 2 2 5" xfId="26657"/>
    <cellStyle name="Normal 2 3 6 2 3" xfId="8265"/>
    <cellStyle name="Normal 2 3 6 2 3 2" xfId="14459"/>
    <cellStyle name="Normal 2 3 6 2 3 2 2" xfId="34342"/>
    <cellStyle name="Normal 2 3 6 2 3 3" xfId="20611"/>
    <cellStyle name="Normal 2 3 6 2 3 3 2" xfId="40494"/>
    <cellStyle name="Normal 2 3 6 2 3 4" xfId="28189"/>
    <cellStyle name="Normal 2 3 6 2 4" xfId="11393"/>
    <cellStyle name="Normal 2 3 6 2 4 2" xfId="31276"/>
    <cellStyle name="Normal 2 3 6 2 5" xfId="17545"/>
    <cellStyle name="Normal 2 3 6 2 5 2" xfId="37428"/>
    <cellStyle name="Normal 2 3 6 2 6" xfId="25123"/>
    <cellStyle name="Normal 2 3 6 3" xfId="5931"/>
    <cellStyle name="Normal 2 3 6 3 2" xfId="9031"/>
    <cellStyle name="Normal 2 3 6 3 2 2" xfId="15224"/>
    <cellStyle name="Normal 2 3 6 3 2 2 2" xfId="35107"/>
    <cellStyle name="Normal 2 3 6 3 2 3" xfId="21376"/>
    <cellStyle name="Normal 2 3 6 3 2 3 2" xfId="41259"/>
    <cellStyle name="Normal 2 3 6 3 2 4" xfId="28954"/>
    <cellStyle name="Normal 2 3 6 3 3" xfId="12158"/>
    <cellStyle name="Normal 2 3 6 3 3 2" xfId="32041"/>
    <cellStyle name="Normal 2 3 6 3 4" xfId="18310"/>
    <cellStyle name="Normal 2 3 6 3 4 2" xfId="38193"/>
    <cellStyle name="Normal 2 3 6 3 5" xfId="25888"/>
    <cellStyle name="Normal 2 3 6 4" xfId="7496"/>
    <cellStyle name="Normal 2 3 6 4 2" xfId="13690"/>
    <cellStyle name="Normal 2 3 6 4 2 2" xfId="33573"/>
    <cellStyle name="Normal 2 3 6 4 3" xfId="19842"/>
    <cellStyle name="Normal 2 3 6 4 3 2" xfId="39725"/>
    <cellStyle name="Normal 2 3 6 4 4" xfId="27420"/>
    <cellStyle name="Normal 2 3 6 5" xfId="10624"/>
    <cellStyle name="Normal 2 3 6 5 2" xfId="30507"/>
    <cellStyle name="Normal 2 3 6 6" xfId="16776"/>
    <cellStyle name="Normal 2 3 6 6 2" xfId="36659"/>
    <cellStyle name="Normal 2 3 6 7" xfId="24354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2 2" xfId="35878"/>
    <cellStyle name="Normal 2 4 2 2 2 2 3" xfId="22147"/>
    <cellStyle name="Normal 2 4 2 2 2 2 3 2" xfId="42030"/>
    <cellStyle name="Normal 2 4 2 2 2 2 4" xfId="29725"/>
    <cellStyle name="Normal 2 4 2 2 2 3" xfId="12929"/>
    <cellStyle name="Normal 2 4 2 2 2 3 2" xfId="32812"/>
    <cellStyle name="Normal 2 4 2 2 2 4" xfId="19081"/>
    <cellStyle name="Normal 2 4 2 2 2 4 2" xfId="38964"/>
    <cellStyle name="Normal 2 4 2 2 2 5" xfId="26659"/>
    <cellStyle name="Normal 2 4 2 2 3" xfId="8267"/>
    <cellStyle name="Normal 2 4 2 2 3 2" xfId="14461"/>
    <cellStyle name="Normal 2 4 2 2 3 2 2" xfId="34344"/>
    <cellStyle name="Normal 2 4 2 2 3 3" xfId="20613"/>
    <cellStyle name="Normal 2 4 2 2 3 3 2" xfId="40496"/>
    <cellStyle name="Normal 2 4 2 2 3 4" xfId="28191"/>
    <cellStyle name="Normal 2 4 2 2 4" xfId="11395"/>
    <cellStyle name="Normal 2 4 2 2 4 2" xfId="31278"/>
    <cellStyle name="Normal 2 4 2 2 5" xfId="17547"/>
    <cellStyle name="Normal 2 4 2 2 5 2" xfId="37430"/>
    <cellStyle name="Normal 2 4 2 2 6" xfId="5091"/>
    <cellStyle name="Normal 2 4 2 2 6 2" xfId="25125"/>
    <cellStyle name="Normal 2 4 2 2 7" xfId="23242"/>
    <cellStyle name="Normal 2 4 2 2 7 2" xfId="43013"/>
    <cellStyle name="Normal 2 4 2 2 8" xfId="23391"/>
    <cellStyle name="Normal 2 4 2 3" xfId="5933"/>
    <cellStyle name="Normal 2 4 2 3 2" xfId="9033"/>
    <cellStyle name="Normal 2 4 2 3 2 2" xfId="15226"/>
    <cellStyle name="Normal 2 4 2 3 2 2 2" xfId="35109"/>
    <cellStyle name="Normal 2 4 2 3 2 3" xfId="21378"/>
    <cellStyle name="Normal 2 4 2 3 2 3 2" xfId="41261"/>
    <cellStyle name="Normal 2 4 2 3 2 4" xfId="28956"/>
    <cellStyle name="Normal 2 4 2 3 3" xfId="12160"/>
    <cellStyle name="Normal 2 4 2 3 3 2" xfId="32043"/>
    <cellStyle name="Normal 2 4 2 3 4" xfId="18312"/>
    <cellStyle name="Normal 2 4 2 3 4 2" xfId="38195"/>
    <cellStyle name="Normal 2 4 2 3 5" xfId="25890"/>
    <cellStyle name="Normal 2 4 2 4" xfId="7498"/>
    <cellStyle name="Normal 2 4 2 4 2" xfId="13692"/>
    <cellStyle name="Normal 2 4 2 4 2 2" xfId="33575"/>
    <cellStyle name="Normal 2 4 2 4 3" xfId="19844"/>
    <cellStyle name="Normal 2 4 2 4 3 2" xfId="39727"/>
    <cellStyle name="Normal 2 4 2 4 4" xfId="27422"/>
    <cellStyle name="Normal 2 4 2 5" xfId="10626"/>
    <cellStyle name="Normal 2 4 2 5 2" xfId="30509"/>
    <cellStyle name="Normal 2 4 2 6" xfId="16778"/>
    <cellStyle name="Normal 2 4 2 6 2" xfId="36661"/>
    <cellStyle name="Normal 2 4 2 7" xfId="3603"/>
    <cellStyle name="Normal 2 4 2 7 2" xfId="24356"/>
    <cellStyle name="Normal 2 4 2 8" xfId="23241"/>
    <cellStyle name="Normal 2 4 2 8 2" xfId="43012"/>
    <cellStyle name="Normal 2 4 2 9" xfId="23353"/>
    <cellStyle name="Normal 2 4 3" xfId="133"/>
    <cellStyle name="Normal 2 4 3 2" xfId="3604"/>
    <cellStyle name="Normal 2 4 3 3" xfId="23243"/>
    <cellStyle name="Normal 2 4 3 3 2" xfId="43014"/>
    <cellStyle name="Normal 2 4 3 4" xfId="23378"/>
    <cellStyle name="Normal 2 4 4" xfId="118"/>
    <cellStyle name="Normal 2 4 4 2" xfId="4675"/>
    <cellStyle name="Normal 2 4 4 3" xfId="23366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2 2" xfId="35877"/>
    <cellStyle name="Normal 2 4 5 2 2 2 3" xfId="22146"/>
    <cellStyle name="Normal 2 4 5 2 2 2 3 2" xfId="42029"/>
    <cellStyle name="Normal 2 4 5 2 2 2 4" xfId="29724"/>
    <cellStyle name="Normal 2 4 5 2 2 3" xfId="12928"/>
    <cellStyle name="Normal 2 4 5 2 2 3 2" xfId="32811"/>
    <cellStyle name="Normal 2 4 5 2 2 4" xfId="19080"/>
    <cellStyle name="Normal 2 4 5 2 2 4 2" xfId="38963"/>
    <cellStyle name="Normal 2 4 5 2 2 5" xfId="26658"/>
    <cellStyle name="Normal 2 4 5 2 3" xfId="8266"/>
    <cellStyle name="Normal 2 4 5 2 3 2" xfId="14460"/>
    <cellStyle name="Normal 2 4 5 2 3 2 2" xfId="34343"/>
    <cellStyle name="Normal 2 4 5 2 3 3" xfId="20612"/>
    <cellStyle name="Normal 2 4 5 2 3 3 2" xfId="40495"/>
    <cellStyle name="Normal 2 4 5 2 3 4" xfId="28190"/>
    <cellStyle name="Normal 2 4 5 2 4" xfId="11394"/>
    <cellStyle name="Normal 2 4 5 2 4 2" xfId="31277"/>
    <cellStyle name="Normal 2 4 5 2 5" xfId="17546"/>
    <cellStyle name="Normal 2 4 5 2 5 2" xfId="37429"/>
    <cellStyle name="Normal 2 4 5 2 6" xfId="25124"/>
    <cellStyle name="Normal 2 4 5 3" xfId="5932"/>
    <cellStyle name="Normal 2 4 5 3 2" xfId="9032"/>
    <cellStyle name="Normal 2 4 5 3 2 2" xfId="15225"/>
    <cellStyle name="Normal 2 4 5 3 2 2 2" xfId="35108"/>
    <cellStyle name="Normal 2 4 5 3 2 3" xfId="21377"/>
    <cellStyle name="Normal 2 4 5 3 2 3 2" xfId="41260"/>
    <cellStyle name="Normal 2 4 5 3 2 4" xfId="28955"/>
    <cellStyle name="Normal 2 4 5 3 3" xfId="12159"/>
    <cellStyle name="Normal 2 4 5 3 3 2" xfId="32042"/>
    <cellStyle name="Normal 2 4 5 3 4" xfId="18311"/>
    <cellStyle name="Normal 2 4 5 3 4 2" xfId="38194"/>
    <cellStyle name="Normal 2 4 5 3 5" xfId="25889"/>
    <cellStyle name="Normal 2 4 5 4" xfId="7497"/>
    <cellStyle name="Normal 2 4 5 4 2" xfId="13691"/>
    <cellStyle name="Normal 2 4 5 4 2 2" xfId="33574"/>
    <cellStyle name="Normal 2 4 5 4 3" xfId="19843"/>
    <cellStyle name="Normal 2 4 5 4 3 2" xfId="39726"/>
    <cellStyle name="Normal 2 4 5 4 4" xfId="27421"/>
    <cellStyle name="Normal 2 4 5 5" xfId="10625"/>
    <cellStyle name="Normal 2 4 5 5 2" xfId="30508"/>
    <cellStyle name="Normal 2 4 5 6" xfId="16777"/>
    <cellStyle name="Normal 2 4 5 6 2" xfId="36660"/>
    <cellStyle name="Normal 2 4 5 7" xfId="24355"/>
    <cellStyle name="Normal 2 4 6" xfId="1238"/>
    <cellStyle name="Normal 2 4 7" xfId="23240"/>
    <cellStyle name="Normal 2 4 7 2" xfId="43011"/>
    <cellStyle name="Normal 2 4 8" xfId="23340"/>
    <cellStyle name="Normal 2 4 9" xfId="43040"/>
    <cellStyle name="Normal 2 5" xfId="72"/>
    <cellStyle name="Normal 2 5 2" xfId="106"/>
    <cellStyle name="Normal 2 5 2 2" xfId="149"/>
    <cellStyle name="Normal 2 5 2 2 2" xfId="23392"/>
    <cellStyle name="Normal 2 5 2 3" xfId="4676"/>
    <cellStyle name="Normal 2 5 2 4" xfId="23245"/>
    <cellStyle name="Normal 2 5 2 4 2" xfId="43016"/>
    <cellStyle name="Normal 2 5 2 5" xfId="23354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2 2" xfId="35879"/>
    <cellStyle name="Normal 2 5 3 2 2 2 3" xfId="22148"/>
    <cellStyle name="Normal 2 5 3 2 2 2 3 2" xfId="42031"/>
    <cellStyle name="Normal 2 5 3 2 2 2 4" xfId="29726"/>
    <cellStyle name="Normal 2 5 3 2 2 3" xfId="12930"/>
    <cellStyle name="Normal 2 5 3 2 2 3 2" xfId="32813"/>
    <cellStyle name="Normal 2 5 3 2 2 4" xfId="19082"/>
    <cellStyle name="Normal 2 5 3 2 2 4 2" xfId="38965"/>
    <cellStyle name="Normal 2 5 3 2 2 5" xfId="26660"/>
    <cellStyle name="Normal 2 5 3 2 3" xfId="8268"/>
    <cellStyle name="Normal 2 5 3 2 3 2" xfId="14462"/>
    <cellStyle name="Normal 2 5 3 2 3 2 2" xfId="34345"/>
    <cellStyle name="Normal 2 5 3 2 3 3" xfId="20614"/>
    <cellStyle name="Normal 2 5 3 2 3 3 2" xfId="40497"/>
    <cellStyle name="Normal 2 5 3 2 3 4" xfId="28192"/>
    <cellStyle name="Normal 2 5 3 2 4" xfId="11396"/>
    <cellStyle name="Normal 2 5 3 2 4 2" xfId="31279"/>
    <cellStyle name="Normal 2 5 3 2 5" xfId="17548"/>
    <cellStyle name="Normal 2 5 3 2 5 2" xfId="37431"/>
    <cellStyle name="Normal 2 5 3 2 6" xfId="25126"/>
    <cellStyle name="Normal 2 5 3 3" xfId="5934"/>
    <cellStyle name="Normal 2 5 3 3 2" xfId="9034"/>
    <cellStyle name="Normal 2 5 3 3 2 2" xfId="15227"/>
    <cellStyle name="Normal 2 5 3 3 2 2 2" xfId="35110"/>
    <cellStyle name="Normal 2 5 3 3 2 3" xfId="21379"/>
    <cellStyle name="Normal 2 5 3 3 2 3 2" xfId="41262"/>
    <cellStyle name="Normal 2 5 3 3 2 4" xfId="28957"/>
    <cellStyle name="Normal 2 5 3 3 3" xfId="12161"/>
    <cellStyle name="Normal 2 5 3 3 3 2" xfId="32044"/>
    <cellStyle name="Normal 2 5 3 3 4" xfId="18313"/>
    <cellStyle name="Normal 2 5 3 3 4 2" xfId="38196"/>
    <cellStyle name="Normal 2 5 3 3 5" xfId="25891"/>
    <cellStyle name="Normal 2 5 3 4" xfId="7499"/>
    <cellStyle name="Normal 2 5 3 4 2" xfId="13693"/>
    <cellStyle name="Normal 2 5 3 4 2 2" xfId="33576"/>
    <cellStyle name="Normal 2 5 3 4 3" xfId="19845"/>
    <cellStyle name="Normal 2 5 3 4 3 2" xfId="39728"/>
    <cellStyle name="Normal 2 5 3 4 4" xfId="27423"/>
    <cellStyle name="Normal 2 5 3 5" xfId="10627"/>
    <cellStyle name="Normal 2 5 3 5 2" xfId="30510"/>
    <cellStyle name="Normal 2 5 3 6" xfId="16779"/>
    <cellStyle name="Normal 2 5 3 6 2" xfId="36662"/>
    <cellStyle name="Normal 2 5 3 7" xfId="3605"/>
    <cellStyle name="Normal 2 5 3 7 2" xfId="24357"/>
    <cellStyle name="Normal 2 5 3 8" xfId="23379"/>
    <cellStyle name="Normal 2 5 4" xfId="119"/>
    <cellStyle name="Normal 2 5 4 2" xfId="23367"/>
    <cellStyle name="Normal 2 5 5" xfId="1239"/>
    <cellStyle name="Normal 2 5 6" xfId="23244"/>
    <cellStyle name="Normal 2 5 6 2" xfId="43015"/>
    <cellStyle name="Normal 2 5 7" xfId="23341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2 2" xfId="35880"/>
    <cellStyle name="Normal 2 6 3 2 2 2 3" xfId="22149"/>
    <cellStyle name="Normal 2 6 3 2 2 2 3 2" xfId="42032"/>
    <cellStyle name="Normal 2 6 3 2 2 2 4" xfId="29727"/>
    <cellStyle name="Normal 2 6 3 2 2 3" xfId="12931"/>
    <cellStyle name="Normal 2 6 3 2 2 3 2" xfId="32814"/>
    <cellStyle name="Normal 2 6 3 2 2 4" xfId="19083"/>
    <cellStyle name="Normal 2 6 3 2 2 4 2" xfId="38966"/>
    <cellStyle name="Normal 2 6 3 2 2 5" xfId="26661"/>
    <cellStyle name="Normal 2 6 3 2 3" xfId="8269"/>
    <cellStyle name="Normal 2 6 3 2 3 2" xfId="14463"/>
    <cellStyle name="Normal 2 6 3 2 3 2 2" xfId="34346"/>
    <cellStyle name="Normal 2 6 3 2 3 3" xfId="20615"/>
    <cellStyle name="Normal 2 6 3 2 3 3 2" xfId="40498"/>
    <cellStyle name="Normal 2 6 3 2 3 4" xfId="28193"/>
    <cellStyle name="Normal 2 6 3 2 4" xfId="11397"/>
    <cellStyle name="Normal 2 6 3 2 4 2" xfId="31280"/>
    <cellStyle name="Normal 2 6 3 2 5" xfId="17549"/>
    <cellStyle name="Normal 2 6 3 2 5 2" xfId="37432"/>
    <cellStyle name="Normal 2 6 3 2 6" xfId="25127"/>
    <cellStyle name="Normal 2 6 3 3" xfId="5935"/>
    <cellStyle name="Normal 2 6 3 3 2" xfId="9035"/>
    <cellStyle name="Normal 2 6 3 3 2 2" xfId="15228"/>
    <cellStyle name="Normal 2 6 3 3 2 2 2" xfId="35111"/>
    <cellStyle name="Normal 2 6 3 3 2 3" xfId="21380"/>
    <cellStyle name="Normal 2 6 3 3 2 3 2" xfId="41263"/>
    <cellStyle name="Normal 2 6 3 3 2 4" xfId="28958"/>
    <cellStyle name="Normal 2 6 3 3 3" xfId="12162"/>
    <cellStyle name="Normal 2 6 3 3 3 2" xfId="32045"/>
    <cellStyle name="Normal 2 6 3 3 4" xfId="18314"/>
    <cellStyle name="Normal 2 6 3 3 4 2" xfId="38197"/>
    <cellStyle name="Normal 2 6 3 3 5" xfId="25892"/>
    <cellStyle name="Normal 2 6 3 4" xfId="7500"/>
    <cellStyle name="Normal 2 6 3 4 2" xfId="13694"/>
    <cellStyle name="Normal 2 6 3 4 2 2" xfId="33577"/>
    <cellStyle name="Normal 2 6 3 4 3" xfId="19846"/>
    <cellStyle name="Normal 2 6 3 4 3 2" xfId="39729"/>
    <cellStyle name="Normal 2 6 3 4 4" xfId="27424"/>
    <cellStyle name="Normal 2 6 3 5" xfId="10628"/>
    <cellStyle name="Normal 2 6 3 5 2" xfId="30511"/>
    <cellStyle name="Normal 2 6 3 6" xfId="16780"/>
    <cellStyle name="Normal 2 6 3 6 2" xfId="36663"/>
    <cellStyle name="Normal 2 6 3 7" xfId="24358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2 2" xfId="35881"/>
    <cellStyle name="Normal 2 7 3 2 2 2 3" xfId="22150"/>
    <cellStyle name="Normal 2 7 3 2 2 2 3 2" xfId="42033"/>
    <cellStyle name="Normal 2 7 3 2 2 2 4" xfId="29728"/>
    <cellStyle name="Normal 2 7 3 2 2 3" xfId="12932"/>
    <cellStyle name="Normal 2 7 3 2 2 3 2" xfId="32815"/>
    <cellStyle name="Normal 2 7 3 2 2 4" xfId="19084"/>
    <cellStyle name="Normal 2 7 3 2 2 4 2" xfId="38967"/>
    <cellStyle name="Normal 2 7 3 2 2 5" xfId="26662"/>
    <cellStyle name="Normal 2 7 3 2 3" xfId="8270"/>
    <cellStyle name="Normal 2 7 3 2 3 2" xfId="14464"/>
    <cellStyle name="Normal 2 7 3 2 3 2 2" xfId="34347"/>
    <cellStyle name="Normal 2 7 3 2 3 3" xfId="20616"/>
    <cellStyle name="Normal 2 7 3 2 3 3 2" xfId="40499"/>
    <cellStyle name="Normal 2 7 3 2 3 4" xfId="28194"/>
    <cellStyle name="Normal 2 7 3 2 4" xfId="11398"/>
    <cellStyle name="Normal 2 7 3 2 4 2" xfId="31281"/>
    <cellStyle name="Normal 2 7 3 2 5" xfId="17550"/>
    <cellStyle name="Normal 2 7 3 2 5 2" xfId="37433"/>
    <cellStyle name="Normal 2 7 3 2 6" xfId="25128"/>
    <cellStyle name="Normal 2 7 3 3" xfId="5936"/>
    <cellStyle name="Normal 2 7 3 3 2" xfId="9036"/>
    <cellStyle name="Normal 2 7 3 3 2 2" xfId="15229"/>
    <cellStyle name="Normal 2 7 3 3 2 2 2" xfId="35112"/>
    <cellStyle name="Normal 2 7 3 3 2 3" xfId="21381"/>
    <cellStyle name="Normal 2 7 3 3 2 3 2" xfId="41264"/>
    <cellStyle name="Normal 2 7 3 3 2 4" xfId="28959"/>
    <cellStyle name="Normal 2 7 3 3 3" xfId="12163"/>
    <cellStyle name="Normal 2 7 3 3 3 2" xfId="32046"/>
    <cellStyle name="Normal 2 7 3 3 4" xfId="18315"/>
    <cellStyle name="Normal 2 7 3 3 4 2" xfId="38198"/>
    <cellStyle name="Normal 2 7 3 3 5" xfId="25893"/>
    <cellStyle name="Normal 2 7 3 4" xfId="7501"/>
    <cellStyle name="Normal 2 7 3 4 2" xfId="13695"/>
    <cellStyle name="Normal 2 7 3 4 2 2" xfId="33578"/>
    <cellStyle name="Normal 2 7 3 4 3" xfId="19847"/>
    <cellStyle name="Normal 2 7 3 4 3 2" xfId="39730"/>
    <cellStyle name="Normal 2 7 3 4 4" xfId="27425"/>
    <cellStyle name="Normal 2 7 3 5" xfId="10629"/>
    <cellStyle name="Normal 2 7 3 5 2" xfId="30512"/>
    <cellStyle name="Normal 2 7 3 6" xfId="16781"/>
    <cellStyle name="Normal 2 7 3 6 2" xfId="36664"/>
    <cellStyle name="Normal 2 7 3 7" xfId="24359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2 2" xfId="35882"/>
    <cellStyle name="Normal 2 8 3 2 2 2 3" xfId="22151"/>
    <cellStyle name="Normal 2 8 3 2 2 2 3 2" xfId="42034"/>
    <cellStyle name="Normal 2 8 3 2 2 2 4" xfId="29729"/>
    <cellStyle name="Normal 2 8 3 2 2 3" xfId="12933"/>
    <cellStyle name="Normal 2 8 3 2 2 3 2" xfId="32816"/>
    <cellStyle name="Normal 2 8 3 2 2 4" xfId="19085"/>
    <cellStyle name="Normal 2 8 3 2 2 4 2" xfId="38968"/>
    <cellStyle name="Normal 2 8 3 2 2 5" xfId="26663"/>
    <cellStyle name="Normal 2 8 3 2 3" xfId="8271"/>
    <cellStyle name="Normal 2 8 3 2 3 2" xfId="14465"/>
    <cellStyle name="Normal 2 8 3 2 3 2 2" xfId="34348"/>
    <cellStyle name="Normal 2 8 3 2 3 3" xfId="20617"/>
    <cellStyle name="Normal 2 8 3 2 3 3 2" xfId="40500"/>
    <cellStyle name="Normal 2 8 3 2 3 4" xfId="28195"/>
    <cellStyle name="Normal 2 8 3 2 4" xfId="11399"/>
    <cellStyle name="Normal 2 8 3 2 4 2" xfId="31282"/>
    <cellStyle name="Normal 2 8 3 2 5" xfId="17551"/>
    <cellStyle name="Normal 2 8 3 2 5 2" xfId="37434"/>
    <cellStyle name="Normal 2 8 3 2 6" xfId="25129"/>
    <cellStyle name="Normal 2 8 3 3" xfId="5937"/>
    <cellStyle name="Normal 2 8 3 3 2" xfId="9037"/>
    <cellStyle name="Normal 2 8 3 3 2 2" xfId="15230"/>
    <cellStyle name="Normal 2 8 3 3 2 2 2" xfId="35113"/>
    <cellStyle name="Normal 2 8 3 3 2 3" xfId="21382"/>
    <cellStyle name="Normal 2 8 3 3 2 3 2" xfId="41265"/>
    <cellStyle name="Normal 2 8 3 3 2 4" xfId="28960"/>
    <cellStyle name="Normal 2 8 3 3 3" xfId="12164"/>
    <cellStyle name="Normal 2 8 3 3 3 2" xfId="32047"/>
    <cellStyle name="Normal 2 8 3 3 4" xfId="18316"/>
    <cellStyle name="Normal 2 8 3 3 4 2" xfId="38199"/>
    <cellStyle name="Normal 2 8 3 3 5" xfId="25894"/>
    <cellStyle name="Normal 2 8 3 4" xfId="7502"/>
    <cellStyle name="Normal 2 8 3 4 2" xfId="13696"/>
    <cellStyle name="Normal 2 8 3 4 2 2" xfId="33579"/>
    <cellStyle name="Normal 2 8 3 4 3" xfId="19848"/>
    <cellStyle name="Normal 2 8 3 4 3 2" xfId="39731"/>
    <cellStyle name="Normal 2 8 3 4 4" xfId="27426"/>
    <cellStyle name="Normal 2 8 3 5" xfId="10630"/>
    <cellStyle name="Normal 2 8 3 5 2" xfId="30513"/>
    <cellStyle name="Normal 2 8 3 6" xfId="16782"/>
    <cellStyle name="Normal 2 8 3 6 2" xfId="36665"/>
    <cellStyle name="Normal 2 8 3 7" xfId="24360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2 2" xfId="35883"/>
    <cellStyle name="Normal 2 9 3 2 2 2 3" xfId="22152"/>
    <cellStyle name="Normal 2 9 3 2 2 2 3 2" xfId="42035"/>
    <cellStyle name="Normal 2 9 3 2 2 2 4" xfId="29730"/>
    <cellStyle name="Normal 2 9 3 2 2 3" xfId="12934"/>
    <cellStyle name="Normal 2 9 3 2 2 3 2" xfId="32817"/>
    <cellStyle name="Normal 2 9 3 2 2 4" xfId="19086"/>
    <cellStyle name="Normal 2 9 3 2 2 4 2" xfId="38969"/>
    <cellStyle name="Normal 2 9 3 2 2 5" xfId="26664"/>
    <cellStyle name="Normal 2 9 3 2 3" xfId="8272"/>
    <cellStyle name="Normal 2 9 3 2 3 2" xfId="14466"/>
    <cellStyle name="Normal 2 9 3 2 3 2 2" xfId="34349"/>
    <cellStyle name="Normal 2 9 3 2 3 3" xfId="20618"/>
    <cellStyle name="Normal 2 9 3 2 3 3 2" xfId="40501"/>
    <cellStyle name="Normal 2 9 3 2 3 4" xfId="28196"/>
    <cellStyle name="Normal 2 9 3 2 4" xfId="11400"/>
    <cellStyle name="Normal 2 9 3 2 4 2" xfId="31283"/>
    <cellStyle name="Normal 2 9 3 2 5" xfId="17552"/>
    <cellStyle name="Normal 2 9 3 2 5 2" xfId="37435"/>
    <cellStyle name="Normal 2 9 3 2 6" xfId="25130"/>
    <cellStyle name="Normal 2 9 3 3" xfId="5938"/>
    <cellStyle name="Normal 2 9 3 3 2" xfId="9038"/>
    <cellStyle name="Normal 2 9 3 3 2 2" xfId="15231"/>
    <cellStyle name="Normal 2 9 3 3 2 2 2" xfId="35114"/>
    <cellStyle name="Normal 2 9 3 3 2 3" xfId="21383"/>
    <cellStyle name="Normal 2 9 3 3 2 3 2" xfId="41266"/>
    <cellStyle name="Normal 2 9 3 3 2 4" xfId="28961"/>
    <cellStyle name="Normal 2 9 3 3 3" xfId="12165"/>
    <cellStyle name="Normal 2 9 3 3 3 2" xfId="32048"/>
    <cellStyle name="Normal 2 9 3 3 4" xfId="18317"/>
    <cellStyle name="Normal 2 9 3 3 4 2" xfId="38200"/>
    <cellStyle name="Normal 2 9 3 3 5" xfId="25895"/>
    <cellStyle name="Normal 2 9 3 4" xfId="7503"/>
    <cellStyle name="Normal 2 9 3 4 2" xfId="13697"/>
    <cellStyle name="Normal 2 9 3 4 2 2" xfId="33580"/>
    <cellStyle name="Normal 2 9 3 4 3" xfId="19849"/>
    <cellStyle name="Normal 2 9 3 4 3 2" xfId="39732"/>
    <cellStyle name="Normal 2 9 3 4 4" xfId="27427"/>
    <cellStyle name="Normal 2 9 3 5" xfId="10631"/>
    <cellStyle name="Normal 2 9 3 5 2" xfId="30514"/>
    <cellStyle name="Normal 2 9 3 6" xfId="16783"/>
    <cellStyle name="Normal 2 9 3 6 2" xfId="36666"/>
    <cellStyle name="Normal 2 9 3 7" xfId="24361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2 2" xfId="35115"/>
    <cellStyle name="Normal 21 10 2 3" xfId="21384"/>
    <cellStyle name="Normal 21 10 2 3 2" xfId="41267"/>
    <cellStyle name="Normal 21 10 2 4" xfId="28962"/>
    <cellStyle name="Normal 21 10 3" xfId="12166"/>
    <cellStyle name="Normal 21 10 3 2" xfId="32049"/>
    <cellStyle name="Normal 21 10 4" xfId="18318"/>
    <cellStyle name="Normal 21 10 4 2" xfId="38201"/>
    <cellStyle name="Normal 21 10 5" xfId="25896"/>
    <cellStyle name="Normal 21 11" xfId="7504"/>
    <cellStyle name="Normal 21 11 2" xfId="13698"/>
    <cellStyle name="Normal 21 11 2 2" xfId="33581"/>
    <cellStyle name="Normal 21 11 3" xfId="19850"/>
    <cellStyle name="Normal 21 11 3 2" xfId="39733"/>
    <cellStyle name="Normal 21 11 4" xfId="27428"/>
    <cellStyle name="Normal 21 12" xfId="10632"/>
    <cellStyle name="Normal 21 12 2" xfId="30515"/>
    <cellStyle name="Normal 21 13" xfId="16784"/>
    <cellStyle name="Normal 21 13 2" xfId="36667"/>
    <cellStyle name="Normal 21 14" xfId="3634"/>
    <cellStyle name="Normal 21 14 2" xfId="24362"/>
    <cellStyle name="Normal 21 2" xfId="3635"/>
    <cellStyle name="Normal 21 2 10" xfId="10633"/>
    <cellStyle name="Normal 21 2 10 2" xfId="30516"/>
    <cellStyle name="Normal 21 2 11" xfId="16785"/>
    <cellStyle name="Normal 21 2 11 2" xfId="36668"/>
    <cellStyle name="Normal 21 2 12" xfId="23249"/>
    <cellStyle name="Normal 21 2 13" xfId="24363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2 2" xfId="35886"/>
    <cellStyle name="Normal 21 2 2 2 2 2 3" xfId="22155"/>
    <cellStyle name="Normal 21 2 2 2 2 2 3 2" xfId="42038"/>
    <cellStyle name="Normal 21 2 2 2 2 2 4" xfId="29733"/>
    <cellStyle name="Normal 21 2 2 2 2 3" xfId="12937"/>
    <cellStyle name="Normal 21 2 2 2 2 3 2" xfId="32820"/>
    <cellStyle name="Normal 21 2 2 2 2 4" xfId="19089"/>
    <cellStyle name="Normal 21 2 2 2 2 4 2" xfId="38972"/>
    <cellStyle name="Normal 21 2 2 2 2 5" xfId="26667"/>
    <cellStyle name="Normal 21 2 2 2 3" xfId="8275"/>
    <cellStyle name="Normal 21 2 2 2 3 2" xfId="14469"/>
    <cellStyle name="Normal 21 2 2 2 3 2 2" xfId="34352"/>
    <cellStyle name="Normal 21 2 2 2 3 3" xfId="20621"/>
    <cellStyle name="Normal 21 2 2 2 3 3 2" xfId="40504"/>
    <cellStyle name="Normal 21 2 2 2 3 4" xfId="28199"/>
    <cellStyle name="Normal 21 2 2 2 4" xfId="11403"/>
    <cellStyle name="Normal 21 2 2 2 4 2" xfId="31286"/>
    <cellStyle name="Normal 21 2 2 2 5" xfId="17555"/>
    <cellStyle name="Normal 21 2 2 2 5 2" xfId="37438"/>
    <cellStyle name="Normal 21 2 2 2 6" xfId="25133"/>
    <cellStyle name="Normal 21 2 2 3" xfId="5941"/>
    <cellStyle name="Normal 21 2 2 3 2" xfId="9041"/>
    <cellStyle name="Normal 21 2 2 3 2 2" xfId="15234"/>
    <cellStyle name="Normal 21 2 2 3 2 2 2" xfId="35117"/>
    <cellStyle name="Normal 21 2 2 3 2 3" xfId="21386"/>
    <cellStyle name="Normal 21 2 2 3 2 3 2" xfId="41269"/>
    <cellStyle name="Normal 21 2 2 3 2 4" xfId="28964"/>
    <cellStyle name="Normal 21 2 2 3 3" xfId="12168"/>
    <cellStyle name="Normal 21 2 2 3 3 2" xfId="32051"/>
    <cellStyle name="Normal 21 2 2 3 4" xfId="18320"/>
    <cellStyle name="Normal 21 2 2 3 4 2" xfId="38203"/>
    <cellStyle name="Normal 21 2 2 3 5" xfId="25898"/>
    <cellStyle name="Normal 21 2 2 4" xfId="7506"/>
    <cellStyle name="Normal 21 2 2 4 2" xfId="13700"/>
    <cellStyle name="Normal 21 2 2 4 2 2" xfId="33583"/>
    <cellStyle name="Normal 21 2 2 4 3" xfId="19852"/>
    <cellStyle name="Normal 21 2 2 4 3 2" xfId="39735"/>
    <cellStyle name="Normal 21 2 2 4 4" xfId="27430"/>
    <cellStyle name="Normal 21 2 2 5" xfId="10634"/>
    <cellStyle name="Normal 21 2 2 5 2" xfId="30517"/>
    <cellStyle name="Normal 21 2 2 6" xfId="16786"/>
    <cellStyle name="Normal 21 2 2 6 2" xfId="36669"/>
    <cellStyle name="Normal 21 2 2 7" xfId="24364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2 2" xfId="35887"/>
    <cellStyle name="Normal 21 2 3 2 2 2 3" xfId="22156"/>
    <cellStyle name="Normal 21 2 3 2 2 2 3 2" xfId="42039"/>
    <cellStyle name="Normal 21 2 3 2 2 2 4" xfId="29734"/>
    <cellStyle name="Normal 21 2 3 2 2 3" xfId="12938"/>
    <cellStyle name="Normal 21 2 3 2 2 3 2" xfId="32821"/>
    <cellStyle name="Normal 21 2 3 2 2 4" xfId="19090"/>
    <cellStyle name="Normal 21 2 3 2 2 4 2" xfId="38973"/>
    <cellStyle name="Normal 21 2 3 2 2 5" xfId="26668"/>
    <cellStyle name="Normal 21 2 3 2 3" xfId="8276"/>
    <cellStyle name="Normal 21 2 3 2 3 2" xfId="14470"/>
    <cellStyle name="Normal 21 2 3 2 3 2 2" xfId="34353"/>
    <cellStyle name="Normal 21 2 3 2 3 3" xfId="20622"/>
    <cellStyle name="Normal 21 2 3 2 3 3 2" xfId="40505"/>
    <cellStyle name="Normal 21 2 3 2 3 4" xfId="28200"/>
    <cellStyle name="Normal 21 2 3 2 4" xfId="11404"/>
    <cellStyle name="Normal 21 2 3 2 4 2" xfId="31287"/>
    <cellStyle name="Normal 21 2 3 2 5" xfId="17556"/>
    <cellStyle name="Normal 21 2 3 2 5 2" xfId="37439"/>
    <cellStyle name="Normal 21 2 3 2 6" xfId="25134"/>
    <cellStyle name="Normal 21 2 3 3" xfId="5942"/>
    <cellStyle name="Normal 21 2 3 3 2" xfId="9042"/>
    <cellStyle name="Normal 21 2 3 3 2 2" xfId="15235"/>
    <cellStyle name="Normal 21 2 3 3 2 2 2" xfId="35118"/>
    <cellStyle name="Normal 21 2 3 3 2 3" xfId="21387"/>
    <cellStyle name="Normal 21 2 3 3 2 3 2" xfId="41270"/>
    <cellStyle name="Normal 21 2 3 3 2 4" xfId="28965"/>
    <cellStyle name="Normal 21 2 3 3 3" xfId="12169"/>
    <cellStyle name="Normal 21 2 3 3 3 2" xfId="32052"/>
    <cellStyle name="Normal 21 2 3 3 4" xfId="18321"/>
    <cellStyle name="Normal 21 2 3 3 4 2" xfId="38204"/>
    <cellStyle name="Normal 21 2 3 3 5" xfId="25899"/>
    <cellStyle name="Normal 21 2 3 4" xfId="7507"/>
    <cellStyle name="Normal 21 2 3 4 2" xfId="13701"/>
    <cellStyle name="Normal 21 2 3 4 2 2" xfId="33584"/>
    <cellStyle name="Normal 21 2 3 4 3" xfId="19853"/>
    <cellStyle name="Normal 21 2 3 4 3 2" xfId="39736"/>
    <cellStyle name="Normal 21 2 3 4 4" xfId="27431"/>
    <cellStyle name="Normal 21 2 3 5" xfId="10635"/>
    <cellStyle name="Normal 21 2 3 5 2" xfId="30518"/>
    <cellStyle name="Normal 21 2 3 6" xfId="16787"/>
    <cellStyle name="Normal 21 2 3 6 2" xfId="36670"/>
    <cellStyle name="Normal 21 2 3 7" xfId="24365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2 2" xfId="35888"/>
    <cellStyle name="Normal 21 2 4 2 2 2 3" xfId="22157"/>
    <cellStyle name="Normal 21 2 4 2 2 2 3 2" xfId="42040"/>
    <cellStyle name="Normal 21 2 4 2 2 2 4" xfId="29735"/>
    <cellStyle name="Normal 21 2 4 2 2 3" xfId="12939"/>
    <cellStyle name="Normal 21 2 4 2 2 3 2" xfId="32822"/>
    <cellStyle name="Normal 21 2 4 2 2 4" xfId="19091"/>
    <cellStyle name="Normal 21 2 4 2 2 4 2" xfId="38974"/>
    <cellStyle name="Normal 21 2 4 2 2 5" xfId="26669"/>
    <cellStyle name="Normal 21 2 4 2 3" xfId="8277"/>
    <cellStyle name="Normal 21 2 4 2 3 2" xfId="14471"/>
    <cellStyle name="Normal 21 2 4 2 3 2 2" xfId="34354"/>
    <cellStyle name="Normal 21 2 4 2 3 3" xfId="20623"/>
    <cellStyle name="Normal 21 2 4 2 3 3 2" xfId="40506"/>
    <cellStyle name="Normal 21 2 4 2 3 4" xfId="28201"/>
    <cellStyle name="Normal 21 2 4 2 4" xfId="11405"/>
    <cellStyle name="Normal 21 2 4 2 4 2" xfId="31288"/>
    <cellStyle name="Normal 21 2 4 2 5" xfId="17557"/>
    <cellStyle name="Normal 21 2 4 2 5 2" xfId="37440"/>
    <cellStyle name="Normal 21 2 4 2 6" xfId="25135"/>
    <cellStyle name="Normal 21 2 4 3" xfId="5943"/>
    <cellStyle name="Normal 21 2 4 3 2" xfId="9043"/>
    <cellStyle name="Normal 21 2 4 3 2 2" xfId="15236"/>
    <cellStyle name="Normal 21 2 4 3 2 2 2" xfId="35119"/>
    <cellStyle name="Normal 21 2 4 3 2 3" xfId="21388"/>
    <cellStyle name="Normal 21 2 4 3 2 3 2" xfId="41271"/>
    <cellStyle name="Normal 21 2 4 3 2 4" xfId="28966"/>
    <cellStyle name="Normal 21 2 4 3 3" xfId="12170"/>
    <cellStyle name="Normal 21 2 4 3 3 2" xfId="32053"/>
    <cellStyle name="Normal 21 2 4 3 4" xfId="18322"/>
    <cellStyle name="Normal 21 2 4 3 4 2" xfId="38205"/>
    <cellStyle name="Normal 21 2 4 3 5" xfId="25900"/>
    <cellStyle name="Normal 21 2 4 4" xfId="7508"/>
    <cellStyle name="Normal 21 2 4 4 2" xfId="13702"/>
    <cellStyle name="Normal 21 2 4 4 2 2" xfId="33585"/>
    <cellStyle name="Normal 21 2 4 4 3" xfId="19854"/>
    <cellStyle name="Normal 21 2 4 4 3 2" xfId="39737"/>
    <cellStyle name="Normal 21 2 4 4 4" xfId="27432"/>
    <cellStyle name="Normal 21 2 4 5" xfId="10636"/>
    <cellStyle name="Normal 21 2 4 5 2" xfId="30519"/>
    <cellStyle name="Normal 21 2 4 6" xfId="16788"/>
    <cellStyle name="Normal 21 2 4 6 2" xfId="36671"/>
    <cellStyle name="Normal 21 2 4 7" xfId="24366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2 2" xfId="35889"/>
    <cellStyle name="Normal 21 2 5 2 2 2 3" xfId="22158"/>
    <cellStyle name="Normal 21 2 5 2 2 2 3 2" xfId="42041"/>
    <cellStyle name="Normal 21 2 5 2 2 2 4" xfId="29736"/>
    <cellStyle name="Normal 21 2 5 2 2 3" xfId="12940"/>
    <cellStyle name="Normal 21 2 5 2 2 3 2" xfId="32823"/>
    <cellStyle name="Normal 21 2 5 2 2 4" xfId="19092"/>
    <cellStyle name="Normal 21 2 5 2 2 4 2" xfId="38975"/>
    <cellStyle name="Normal 21 2 5 2 2 5" xfId="26670"/>
    <cellStyle name="Normal 21 2 5 2 3" xfId="8278"/>
    <cellStyle name="Normal 21 2 5 2 3 2" xfId="14472"/>
    <cellStyle name="Normal 21 2 5 2 3 2 2" xfId="34355"/>
    <cellStyle name="Normal 21 2 5 2 3 3" xfId="20624"/>
    <cellStyle name="Normal 21 2 5 2 3 3 2" xfId="40507"/>
    <cellStyle name="Normal 21 2 5 2 3 4" xfId="28202"/>
    <cellStyle name="Normal 21 2 5 2 4" xfId="11406"/>
    <cellStyle name="Normal 21 2 5 2 4 2" xfId="31289"/>
    <cellStyle name="Normal 21 2 5 2 5" xfId="17558"/>
    <cellStyle name="Normal 21 2 5 2 5 2" xfId="37441"/>
    <cellStyle name="Normal 21 2 5 2 6" xfId="25136"/>
    <cellStyle name="Normal 21 2 5 3" xfId="5944"/>
    <cellStyle name="Normal 21 2 5 3 2" xfId="9044"/>
    <cellStyle name="Normal 21 2 5 3 2 2" xfId="15237"/>
    <cellStyle name="Normal 21 2 5 3 2 2 2" xfId="35120"/>
    <cellStyle name="Normal 21 2 5 3 2 3" xfId="21389"/>
    <cellStyle name="Normal 21 2 5 3 2 3 2" xfId="41272"/>
    <cellStyle name="Normal 21 2 5 3 2 4" xfId="28967"/>
    <cellStyle name="Normal 21 2 5 3 3" xfId="12171"/>
    <cellStyle name="Normal 21 2 5 3 3 2" xfId="32054"/>
    <cellStyle name="Normal 21 2 5 3 4" xfId="18323"/>
    <cellStyle name="Normal 21 2 5 3 4 2" xfId="38206"/>
    <cellStyle name="Normal 21 2 5 3 5" xfId="25901"/>
    <cellStyle name="Normal 21 2 5 4" xfId="7509"/>
    <cellStyle name="Normal 21 2 5 4 2" xfId="13703"/>
    <cellStyle name="Normal 21 2 5 4 2 2" xfId="33586"/>
    <cellStyle name="Normal 21 2 5 4 3" xfId="19855"/>
    <cellStyle name="Normal 21 2 5 4 3 2" xfId="39738"/>
    <cellStyle name="Normal 21 2 5 4 4" xfId="27433"/>
    <cellStyle name="Normal 21 2 5 5" xfId="10637"/>
    <cellStyle name="Normal 21 2 5 5 2" xfId="30520"/>
    <cellStyle name="Normal 21 2 5 6" xfId="16789"/>
    <cellStyle name="Normal 21 2 5 6 2" xfId="36672"/>
    <cellStyle name="Normal 21 2 5 7" xfId="24367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2 2" xfId="35890"/>
    <cellStyle name="Normal 21 2 6 2 2 2 3" xfId="22159"/>
    <cellStyle name="Normal 21 2 6 2 2 2 3 2" xfId="42042"/>
    <cellStyle name="Normal 21 2 6 2 2 2 4" xfId="29737"/>
    <cellStyle name="Normal 21 2 6 2 2 3" xfId="12941"/>
    <cellStyle name="Normal 21 2 6 2 2 3 2" xfId="32824"/>
    <cellStyle name="Normal 21 2 6 2 2 4" xfId="19093"/>
    <cellStyle name="Normal 21 2 6 2 2 4 2" xfId="38976"/>
    <cellStyle name="Normal 21 2 6 2 2 5" xfId="26671"/>
    <cellStyle name="Normal 21 2 6 2 3" xfId="8279"/>
    <cellStyle name="Normal 21 2 6 2 3 2" xfId="14473"/>
    <cellStyle name="Normal 21 2 6 2 3 2 2" xfId="34356"/>
    <cellStyle name="Normal 21 2 6 2 3 3" xfId="20625"/>
    <cellStyle name="Normal 21 2 6 2 3 3 2" xfId="40508"/>
    <cellStyle name="Normal 21 2 6 2 3 4" xfId="28203"/>
    <cellStyle name="Normal 21 2 6 2 4" xfId="11407"/>
    <cellStyle name="Normal 21 2 6 2 4 2" xfId="31290"/>
    <cellStyle name="Normal 21 2 6 2 5" xfId="17559"/>
    <cellStyle name="Normal 21 2 6 2 5 2" xfId="37442"/>
    <cellStyle name="Normal 21 2 6 2 6" xfId="25137"/>
    <cellStyle name="Normal 21 2 6 3" xfId="5945"/>
    <cellStyle name="Normal 21 2 6 3 2" xfId="9045"/>
    <cellStyle name="Normal 21 2 6 3 2 2" xfId="15238"/>
    <cellStyle name="Normal 21 2 6 3 2 2 2" xfId="35121"/>
    <cellStyle name="Normal 21 2 6 3 2 3" xfId="21390"/>
    <cellStyle name="Normal 21 2 6 3 2 3 2" xfId="41273"/>
    <cellStyle name="Normal 21 2 6 3 2 4" xfId="28968"/>
    <cellStyle name="Normal 21 2 6 3 3" xfId="12172"/>
    <cellStyle name="Normal 21 2 6 3 3 2" xfId="32055"/>
    <cellStyle name="Normal 21 2 6 3 4" xfId="18324"/>
    <cellStyle name="Normal 21 2 6 3 4 2" xfId="38207"/>
    <cellStyle name="Normal 21 2 6 3 5" xfId="25902"/>
    <cellStyle name="Normal 21 2 6 4" xfId="7510"/>
    <cellStyle name="Normal 21 2 6 4 2" xfId="13704"/>
    <cellStyle name="Normal 21 2 6 4 2 2" xfId="33587"/>
    <cellStyle name="Normal 21 2 6 4 3" xfId="19856"/>
    <cellStyle name="Normal 21 2 6 4 3 2" xfId="39739"/>
    <cellStyle name="Normal 21 2 6 4 4" xfId="27434"/>
    <cellStyle name="Normal 21 2 6 5" xfId="10638"/>
    <cellStyle name="Normal 21 2 6 5 2" xfId="30521"/>
    <cellStyle name="Normal 21 2 6 6" xfId="16790"/>
    <cellStyle name="Normal 21 2 6 6 2" xfId="36673"/>
    <cellStyle name="Normal 21 2 6 7" xfId="24368"/>
    <cellStyle name="Normal 21 2 7" xfId="5098"/>
    <cellStyle name="Normal 21 2 7 2" xfId="6723"/>
    <cellStyle name="Normal 21 2 7 2 2" xfId="9809"/>
    <cellStyle name="Normal 21 2 7 2 2 2" xfId="16002"/>
    <cellStyle name="Normal 21 2 7 2 2 2 2" xfId="35885"/>
    <cellStyle name="Normal 21 2 7 2 2 3" xfId="22154"/>
    <cellStyle name="Normal 21 2 7 2 2 3 2" xfId="42037"/>
    <cellStyle name="Normal 21 2 7 2 2 4" xfId="29732"/>
    <cellStyle name="Normal 21 2 7 2 3" xfId="12936"/>
    <cellStyle name="Normal 21 2 7 2 3 2" xfId="32819"/>
    <cellStyle name="Normal 21 2 7 2 4" xfId="19088"/>
    <cellStyle name="Normal 21 2 7 2 4 2" xfId="38971"/>
    <cellStyle name="Normal 21 2 7 2 5" xfId="26666"/>
    <cellStyle name="Normal 21 2 7 3" xfId="8274"/>
    <cellStyle name="Normal 21 2 7 3 2" xfId="14468"/>
    <cellStyle name="Normal 21 2 7 3 2 2" xfId="34351"/>
    <cellStyle name="Normal 21 2 7 3 3" xfId="20620"/>
    <cellStyle name="Normal 21 2 7 3 3 2" xfId="40503"/>
    <cellStyle name="Normal 21 2 7 3 4" xfId="28198"/>
    <cellStyle name="Normal 21 2 7 4" xfId="11402"/>
    <cellStyle name="Normal 21 2 7 4 2" xfId="31285"/>
    <cellStyle name="Normal 21 2 7 5" xfId="17554"/>
    <cellStyle name="Normal 21 2 7 5 2" xfId="37437"/>
    <cellStyle name="Normal 21 2 7 6" xfId="25132"/>
    <cellStyle name="Normal 21 2 8" xfId="5940"/>
    <cellStyle name="Normal 21 2 8 2" xfId="9040"/>
    <cellStyle name="Normal 21 2 8 2 2" xfId="15233"/>
    <cellStyle name="Normal 21 2 8 2 2 2" xfId="35116"/>
    <cellStyle name="Normal 21 2 8 2 3" xfId="21385"/>
    <cellStyle name="Normal 21 2 8 2 3 2" xfId="41268"/>
    <cellStyle name="Normal 21 2 8 2 4" xfId="28963"/>
    <cellStyle name="Normal 21 2 8 3" xfId="12167"/>
    <cellStyle name="Normal 21 2 8 3 2" xfId="32050"/>
    <cellStyle name="Normal 21 2 8 4" xfId="18319"/>
    <cellStyle name="Normal 21 2 8 4 2" xfId="38202"/>
    <cellStyle name="Normal 21 2 8 5" xfId="25897"/>
    <cellStyle name="Normal 21 2 9" xfId="7505"/>
    <cellStyle name="Normal 21 2 9 2" xfId="13699"/>
    <cellStyle name="Normal 21 2 9 2 2" xfId="33582"/>
    <cellStyle name="Normal 21 2 9 3" xfId="19851"/>
    <cellStyle name="Normal 21 2 9 3 2" xfId="39734"/>
    <cellStyle name="Normal 21 2 9 4" xfId="27429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2 2" xfId="35892"/>
    <cellStyle name="Normal 21 3 2 2 2 2 3" xfId="22161"/>
    <cellStyle name="Normal 21 3 2 2 2 2 3 2" xfId="42044"/>
    <cellStyle name="Normal 21 3 2 2 2 2 4" xfId="29739"/>
    <cellStyle name="Normal 21 3 2 2 2 3" xfId="12943"/>
    <cellStyle name="Normal 21 3 2 2 2 3 2" xfId="32826"/>
    <cellStyle name="Normal 21 3 2 2 2 4" xfId="19095"/>
    <cellStyle name="Normal 21 3 2 2 2 4 2" xfId="38978"/>
    <cellStyle name="Normal 21 3 2 2 2 5" xfId="26673"/>
    <cellStyle name="Normal 21 3 2 2 3" xfId="8281"/>
    <cellStyle name="Normal 21 3 2 2 3 2" xfId="14475"/>
    <cellStyle name="Normal 21 3 2 2 3 2 2" xfId="34358"/>
    <cellStyle name="Normal 21 3 2 2 3 3" xfId="20627"/>
    <cellStyle name="Normal 21 3 2 2 3 3 2" xfId="40510"/>
    <cellStyle name="Normal 21 3 2 2 3 4" xfId="28205"/>
    <cellStyle name="Normal 21 3 2 2 4" xfId="11409"/>
    <cellStyle name="Normal 21 3 2 2 4 2" xfId="31292"/>
    <cellStyle name="Normal 21 3 2 2 5" xfId="17561"/>
    <cellStyle name="Normal 21 3 2 2 5 2" xfId="37444"/>
    <cellStyle name="Normal 21 3 2 2 6" xfId="25139"/>
    <cellStyle name="Normal 21 3 2 3" xfId="5947"/>
    <cellStyle name="Normal 21 3 2 3 2" xfId="9047"/>
    <cellStyle name="Normal 21 3 2 3 2 2" xfId="15240"/>
    <cellStyle name="Normal 21 3 2 3 2 2 2" xfId="35123"/>
    <cellStyle name="Normal 21 3 2 3 2 3" xfId="21392"/>
    <cellStyle name="Normal 21 3 2 3 2 3 2" xfId="41275"/>
    <cellStyle name="Normal 21 3 2 3 2 4" xfId="28970"/>
    <cellStyle name="Normal 21 3 2 3 3" xfId="12174"/>
    <cellStyle name="Normal 21 3 2 3 3 2" xfId="32057"/>
    <cellStyle name="Normal 21 3 2 3 4" xfId="18326"/>
    <cellStyle name="Normal 21 3 2 3 4 2" xfId="38209"/>
    <cellStyle name="Normal 21 3 2 3 5" xfId="25904"/>
    <cellStyle name="Normal 21 3 2 4" xfId="7512"/>
    <cellStyle name="Normal 21 3 2 4 2" xfId="13706"/>
    <cellStyle name="Normal 21 3 2 4 2 2" xfId="33589"/>
    <cellStyle name="Normal 21 3 2 4 3" xfId="19858"/>
    <cellStyle name="Normal 21 3 2 4 3 2" xfId="39741"/>
    <cellStyle name="Normal 21 3 2 4 4" xfId="27436"/>
    <cellStyle name="Normal 21 3 2 5" xfId="10640"/>
    <cellStyle name="Normal 21 3 2 5 2" xfId="30523"/>
    <cellStyle name="Normal 21 3 2 6" xfId="16792"/>
    <cellStyle name="Normal 21 3 2 6 2" xfId="36675"/>
    <cellStyle name="Normal 21 3 2 7" xfId="24370"/>
    <cellStyle name="Normal 21 3 3" xfId="5104"/>
    <cellStyle name="Normal 21 3 3 2" xfId="6729"/>
    <cellStyle name="Normal 21 3 3 2 2" xfId="9815"/>
    <cellStyle name="Normal 21 3 3 2 2 2" xfId="16008"/>
    <cellStyle name="Normal 21 3 3 2 2 2 2" xfId="35891"/>
    <cellStyle name="Normal 21 3 3 2 2 3" xfId="22160"/>
    <cellStyle name="Normal 21 3 3 2 2 3 2" xfId="42043"/>
    <cellStyle name="Normal 21 3 3 2 2 4" xfId="29738"/>
    <cellStyle name="Normal 21 3 3 2 3" xfId="12942"/>
    <cellStyle name="Normal 21 3 3 2 3 2" xfId="32825"/>
    <cellStyle name="Normal 21 3 3 2 4" xfId="19094"/>
    <cellStyle name="Normal 21 3 3 2 4 2" xfId="38977"/>
    <cellStyle name="Normal 21 3 3 2 5" xfId="26672"/>
    <cellStyle name="Normal 21 3 3 3" xfId="8280"/>
    <cellStyle name="Normal 21 3 3 3 2" xfId="14474"/>
    <cellStyle name="Normal 21 3 3 3 2 2" xfId="34357"/>
    <cellStyle name="Normal 21 3 3 3 3" xfId="20626"/>
    <cellStyle name="Normal 21 3 3 3 3 2" xfId="40509"/>
    <cellStyle name="Normal 21 3 3 3 4" xfId="28204"/>
    <cellStyle name="Normal 21 3 3 4" xfId="11408"/>
    <cellStyle name="Normal 21 3 3 4 2" xfId="31291"/>
    <cellStyle name="Normal 21 3 3 5" xfId="17560"/>
    <cellStyle name="Normal 21 3 3 5 2" xfId="37443"/>
    <cellStyle name="Normal 21 3 3 6" xfId="25138"/>
    <cellStyle name="Normal 21 3 4" xfId="5946"/>
    <cellStyle name="Normal 21 3 4 2" xfId="9046"/>
    <cellStyle name="Normal 21 3 4 2 2" xfId="15239"/>
    <cellStyle name="Normal 21 3 4 2 2 2" xfId="35122"/>
    <cellStyle name="Normal 21 3 4 2 3" xfId="21391"/>
    <cellStyle name="Normal 21 3 4 2 3 2" xfId="41274"/>
    <cellStyle name="Normal 21 3 4 2 4" xfId="28969"/>
    <cellStyle name="Normal 21 3 4 3" xfId="12173"/>
    <cellStyle name="Normal 21 3 4 3 2" xfId="32056"/>
    <cellStyle name="Normal 21 3 4 4" xfId="18325"/>
    <cellStyle name="Normal 21 3 4 4 2" xfId="38208"/>
    <cellStyle name="Normal 21 3 4 5" xfId="25903"/>
    <cellStyle name="Normal 21 3 5" xfId="7511"/>
    <cellStyle name="Normal 21 3 5 2" xfId="13705"/>
    <cellStyle name="Normal 21 3 5 2 2" xfId="33588"/>
    <cellStyle name="Normal 21 3 5 3" xfId="19857"/>
    <cellStyle name="Normal 21 3 5 3 2" xfId="39740"/>
    <cellStyle name="Normal 21 3 5 4" xfId="27435"/>
    <cellStyle name="Normal 21 3 6" xfId="10639"/>
    <cellStyle name="Normal 21 3 6 2" xfId="30522"/>
    <cellStyle name="Normal 21 3 7" xfId="16791"/>
    <cellStyle name="Normal 21 3 7 2" xfId="36674"/>
    <cellStyle name="Normal 21 3 8" xfId="24369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2 2" xfId="35893"/>
    <cellStyle name="Normal 21 4 2 2 2 3" xfId="22162"/>
    <cellStyle name="Normal 21 4 2 2 2 3 2" xfId="42045"/>
    <cellStyle name="Normal 21 4 2 2 2 4" xfId="29740"/>
    <cellStyle name="Normal 21 4 2 2 3" xfId="12944"/>
    <cellStyle name="Normal 21 4 2 2 3 2" xfId="32827"/>
    <cellStyle name="Normal 21 4 2 2 4" xfId="19096"/>
    <cellStyle name="Normal 21 4 2 2 4 2" xfId="38979"/>
    <cellStyle name="Normal 21 4 2 2 5" xfId="26674"/>
    <cellStyle name="Normal 21 4 2 3" xfId="8282"/>
    <cellStyle name="Normal 21 4 2 3 2" xfId="14476"/>
    <cellStyle name="Normal 21 4 2 3 2 2" xfId="34359"/>
    <cellStyle name="Normal 21 4 2 3 3" xfId="20628"/>
    <cellStyle name="Normal 21 4 2 3 3 2" xfId="40511"/>
    <cellStyle name="Normal 21 4 2 3 4" xfId="28206"/>
    <cellStyle name="Normal 21 4 2 4" xfId="11410"/>
    <cellStyle name="Normal 21 4 2 4 2" xfId="31293"/>
    <cellStyle name="Normal 21 4 2 5" xfId="17562"/>
    <cellStyle name="Normal 21 4 2 5 2" xfId="37445"/>
    <cellStyle name="Normal 21 4 2 6" xfId="25140"/>
    <cellStyle name="Normal 21 4 3" xfId="5948"/>
    <cellStyle name="Normal 21 4 3 2" xfId="9048"/>
    <cellStyle name="Normal 21 4 3 2 2" xfId="15241"/>
    <cellStyle name="Normal 21 4 3 2 2 2" xfId="35124"/>
    <cellStyle name="Normal 21 4 3 2 3" xfId="21393"/>
    <cellStyle name="Normal 21 4 3 2 3 2" xfId="41276"/>
    <cellStyle name="Normal 21 4 3 2 4" xfId="28971"/>
    <cellStyle name="Normal 21 4 3 3" xfId="12175"/>
    <cellStyle name="Normal 21 4 3 3 2" xfId="32058"/>
    <cellStyle name="Normal 21 4 3 4" xfId="18327"/>
    <cellStyle name="Normal 21 4 3 4 2" xfId="38210"/>
    <cellStyle name="Normal 21 4 3 5" xfId="25905"/>
    <cellStyle name="Normal 21 4 4" xfId="7513"/>
    <cellStyle name="Normal 21 4 4 2" xfId="13707"/>
    <cellStyle name="Normal 21 4 4 2 2" xfId="33590"/>
    <cellStyle name="Normal 21 4 4 3" xfId="19859"/>
    <cellStyle name="Normal 21 4 4 3 2" xfId="39742"/>
    <cellStyle name="Normal 21 4 4 4" xfId="27437"/>
    <cellStyle name="Normal 21 4 5" xfId="10641"/>
    <cellStyle name="Normal 21 4 5 2" xfId="30524"/>
    <cellStyle name="Normal 21 4 6" xfId="16793"/>
    <cellStyle name="Normal 21 4 6 2" xfId="36676"/>
    <cellStyle name="Normal 21 4 7" xfId="24371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2 2" xfId="35894"/>
    <cellStyle name="Normal 21 5 2 2 2 3" xfId="22163"/>
    <cellStyle name="Normal 21 5 2 2 2 3 2" xfId="42046"/>
    <cellStyle name="Normal 21 5 2 2 2 4" xfId="29741"/>
    <cellStyle name="Normal 21 5 2 2 3" xfId="12945"/>
    <cellStyle name="Normal 21 5 2 2 3 2" xfId="32828"/>
    <cellStyle name="Normal 21 5 2 2 4" xfId="19097"/>
    <cellStyle name="Normal 21 5 2 2 4 2" xfId="38980"/>
    <cellStyle name="Normal 21 5 2 2 5" xfId="26675"/>
    <cellStyle name="Normal 21 5 2 3" xfId="8283"/>
    <cellStyle name="Normal 21 5 2 3 2" xfId="14477"/>
    <cellStyle name="Normal 21 5 2 3 2 2" xfId="34360"/>
    <cellStyle name="Normal 21 5 2 3 3" xfId="20629"/>
    <cellStyle name="Normal 21 5 2 3 3 2" xfId="40512"/>
    <cellStyle name="Normal 21 5 2 3 4" xfId="28207"/>
    <cellStyle name="Normal 21 5 2 4" xfId="11411"/>
    <cellStyle name="Normal 21 5 2 4 2" xfId="31294"/>
    <cellStyle name="Normal 21 5 2 5" xfId="17563"/>
    <cellStyle name="Normal 21 5 2 5 2" xfId="37446"/>
    <cellStyle name="Normal 21 5 2 6" xfId="25141"/>
    <cellStyle name="Normal 21 5 3" xfId="5949"/>
    <cellStyle name="Normal 21 5 3 2" xfId="9049"/>
    <cellStyle name="Normal 21 5 3 2 2" xfId="15242"/>
    <cellStyle name="Normal 21 5 3 2 2 2" xfId="35125"/>
    <cellStyle name="Normal 21 5 3 2 3" xfId="21394"/>
    <cellStyle name="Normal 21 5 3 2 3 2" xfId="41277"/>
    <cellStyle name="Normal 21 5 3 2 4" xfId="28972"/>
    <cellStyle name="Normal 21 5 3 3" xfId="12176"/>
    <cellStyle name="Normal 21 5 3 3 2" xfId="32059"/>
    <cellStyle name="Normal 21 5 3 4" xfId="18328"/>
    <cellStyle name="Normal 21 5 3 4 2" xfId="38211"/>
    <cellStyle name="Normal 21 5 3 5" xfId="25906"/>
    <cellStyle name="Normal 21 5 4" xfId="7514"/>
    <cellStyle name="Normal 21 5 4 2" xfId="13708"/>
    <cellStyle name="Normal 21 5 4 2 2" xfId="33591"/>
    <cellStyle name="Normal 21 5 4 3" xfId="19860"/>
    <cellStyle name="Normal 21 5 4 3 2" xfId="39743"/>
    <cellStyle name="Normal 21 5 4 4" xfId="27438"/>
    <cellStyle name="Normal 21 5 5" xfId="10642"/>
    <cellStyle name="Normal 21 5 5 2" xfId="30525"/>
    <cellStyle name="Normal 21 5 6" xfId="16794"/>
    <cellStyle name="Normal 21 5 6 2" xfId="36677"/>
    <cellStyle name="Normal 21 5 7" xfId="24372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2 2" xfId="35895"/>
    <cellStyle name="Normal 21 6 2 2 2 3" xfId="22164"/>
    <cellStyle name="Normal 21 6 2 2 2 3 2" xfId="42047"/>
    <cellStyle name="Normal 21 6 2 2 2 4" xfId="29742"/>
    <cellStyle name="Normal 21 6 2 2 3" xfId="12946"/>
    <cellStyle name="Normal 21 6 2 2 3 2" xfId="32829"/>
    <cellStyle name="Normal 21 6 2 2 4" xfId="19098"/>
    <cellStyle name="Normal 21 6 2 2 4 2" xfId="38981"/>
    <cellStyle name="Normal 21 6 2 2 5" xfId="26676"/>
    <cellStyle name="Normal 21 6 2 3" xfId="8284"/>
    <cellStyle name="Normal 21 6 2 3 2" xfId="14478"/>
    <cellStyle name="Normal 21 6 2 3 2 2" xfId="34361"/>
    <cellStyle name="Normal 21 6 2 3 3" xfId="20630"/>
    <cellStyle name="Normal 21 6 2 3 3 2" xfId="40513"/>
    <cellStyle name="Normal 21 6 2 3 4" xfId="28208"/>
    <cellStyle name="Normal 21 6 2 4" xfId="11412"/>
    <cellStyle name="Normal 21 6 2 4 2" xfId="31295"/>
    <cellStyle name="Normal 21 6 2 5" xfId="17564"/>
    <cellStyle name="Normal 21 6 2 5 2" xfId="37447"/>
    <cellStyle name="Normal 21 6 2 6" xfId="25142"/>
    <cellStyle name="Normal 21 6 3" xfId="5950"/>
    <cellStyle name="Normal 21 6 3 2" xfId="9050"/>
    <cellStyle name="Normal 21 6 3 2 2" xfId="15243"/>
    <cellStyle name="Normal 21 6 3 2 2 2" xfId="35126"/>
    <cellStyle name="Normal 21 6 3 2 3" xfId="21395"/>
    <cellStyle name="Normal 21 6 3 2 3 2" xfId="41278"/>
    <cellStyle name="Normal 21 6 3 2 4" xfId="28973"/>
    <cellStyle name="Normal 21 6 3 3" xfId="12177"/>
    <cellStyle name="Normal 21 6 3 3 2" xfId="32060"/>
    <cellStyle name="Normal 21 6 3 4" xfId="18329"/>
    <cellStyle name="Normal 21 6 3 4 2" xfId="38212"/>
    <cellStyle name="Normal 21 6 3 5" xfId="25907"/>
    <cellStyle name="Normal 21 6 4" xfId="7515"/>
    <cellStyle name="Normal 21 6 4 2" xfId="13709"/>
    <cellStyle name="Normal 21 6 4 2 2" xfId="33592"/>
    <cellStyle name="Normal 21 6 4 3" xfId="19861"/>
    <cellStyle name="Normal 21 6 4 3 2" xfId="39744"/>
    <cellStyle name="Normal 21 6 4 4" xfId="27439"/>
    <cellStyle name="Normal 21 6 5" xfId="10643"/>
    <cellStyle name="Normal 21 6 5 2" xfId="30526"/>
    <cellStyle name="Normal 21 6 6" xfId="16795"/>
    <cellStyle name="Normal 21 6 6 2" xfId="36678"/>
    <cellStyle name="Normal 21 6 7" xfId="24373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2 2" xfId="35896"/>
    <cellStyle name="Normal 21 8 2 2 2 3" xfId="22165"/>
    <cellStyle name="Normal 21 8 2 2 2 3 2" xfId="42048"/>
    <cellStyle name="Normal 21 8 2 2 2 4" xfId="29743"/>
    <cellStyle name="Normal 21 8 2 2 3" xfId="12947"/>
    <cellStyle name="Normal 21 8 2 2 3 2" xfId="32830"/>
    <cellStyle name="Normal 21 8 2 2 4" xfId="19099"/>
    <cellStyle name="Normal 21 8 2 2 4 2" xfId="38982"/>
    <cellStyle name="Normal 21 8 2 2 5" xfId="26677"/>
    <cellStyle name="Normal 21 8 2 3" xfId="8285"/>
    <cellStyle name="Normal 21 8 2 3 2" xfId="14479"/>
    <cellStyle name="Normal 21 8 2 3 2 2" xfId="34362"/>
    <cellStyle name="Normal 21 8 2 3 3" xfId="20631"/>
    <cellStyle name="Normal 21 8 2 3 3 2" xfId="40514"/>
    <cellStyle name="Normal 21 8 2 3 4" xfId="28209"/>
    <cellStyle name="Normal 21 8 2 4" xfId="11413"/>
    <cellStyle name="Normal 21 8 2 4 2" xfId="31296"/>
    <cellStyle name="Normal 21 8 2 5" xfId="17565"/>
    <cellStyle name="Normal 21 8 2 5 2" xfId="37448"/>
    <cellStyle name="Normal 21 8 2 6" xfId="25143"/>
    <cellStyle name="Normal 21 8 3" xfId="5951"/>
    <cellStyle name="Normal 21 8 3 2" xfId="9051"/>
    <cellStyle name="Normal 21 8 3 2 2" xfId="15244"/>
    <cellStyle name="Normal 21 8 3 2 2 2" xfId="35127"/>
    <cellStyle name="Normal 21 8 3 2 3" xfId="21396"/>
    <cellStyle name="Normal 21 8 3 2 3 2" xfId="41279"/>
    <cellStyle name="Normal 21 8 3 2 4" xfId="28974"/>
    <cellStyle name="Normal 21 8 3 3" xfId="12178"/>
    <cellStyle name="Normal 21 8 3 3 2" xfId="32061"/>
    <cellStyle name="Normal 21 8 3 4" xfId="18330"/>
    <cellStyle name="Normal 21 8 3 4 2" xfId="38213"/>
    <cellStyle name="Normal 21 8 3 5" xfId="25908"/>
    <cellStyle name="Normal 21 8 4" xfId="7516"/>
    <cellStyle name="Normal 21 8 4 2" xfId="13710"/>
    <cellStyle name="Normal 21 8 4 2 2" xfId="33593"/>
    <cellStyle name="Normal 21 8 4 3" xfId="19862"/>
    <cellStyle name="Normal 21 8 4 3 2" xfId="39745"/>
    <cellStyle name="Normal 21 8 4 4" xfId="27440"/>
    <cellStyle name="Normal 21 8 5" xfId="10644"/>
    <cellStyle name="Normal 21 8 5 2" xfId="30527"/>
    <cellStyle name="Normal 21 8 6" xfId="16796"/>
    <cellStyle name="Normal 21 8 6 2" xfId="36679"/>
    <cellStyle name="Normal 21 8 7" xfId="24374"/>
    <cellStyle name="Normal 21 9" xfId="5097"/>
    <cellStyle name="Normal 21 9 2" xfId="6722"/>
    <cellStyle name="Normal 21 9 2 2" xfId="9808"/>
    <cellStyle name="Normal 21 9 2 2 2" xfId="16001"/>
    <cellStyle name="Normal 21 9 2 2 2 2" xfId="35884"/>
    <cellStyle name="Normal 21 9 2 2 3" xfId="22153"/>
    <cellStyle name="Normal 21 9 2 2 3 2" xfId="42036"/>
    <cellStyle name="Normal 21 9 2 2 4" xfId="29731"/>
    <cellStyle name="Normal 21 9 2 3" xfId="12935"/>
    <cellStyle name="Normal 21 9 2 3 2" xfId="32818"/>
    <cellStyle name="Normal 21 9 2 4" xfId="19087"/>
    <cellStyle name="Normal 21 9 2 4 2" xfId="38970"/>
    <cellStyle name="Normal 21 9 2 5" xfId="26665"/>
    <cellStyle name="Normal 21 9 3" xfId="8273"/>
    <cellStyle name="Normal 21 9 3 2" xfId="14467"/>
    <cellStyle name="Normal 21 9 3 2 2" xfId="34350"/>
    <cellStyle name="Normal 21 9 3 3" xfId="20619"/>
    <cellStyle name="Normal 21 9 3 3 2" xfId="40502"/>
    <cellStyle name="Normal 21 9 3 4" xfId="28197"/>
    <cellStyle name="Normal 21 9 4" xfId="11401"/>
    <cellStyle name="Normal 21 9 4 2" xfId="31284"/>
    <cellStyle name="Normal 21 9 5" xfId="17553"/>
    <cellStyle name="Normal 21 9 5 2" xfId="37436"/>
    <cellStyle name="Normal 21 9 6" xfId="25131"/>
    <cellStyle name="Normal 22" xfId="430"/>
    <cellStyle name="Normal 22 10" xfId="7517"/>
    <cellStyle name="Normal 22 10 2" xfId="13711"/>
    <cellStyle name="Normal 22 10 2 2" xfId="33594"/>
    <cellStyle name="Normal 22 10 3" xfId="19863"/>
    <cellStyle name="Normal 22 10 3 2" xfId="39746"/>
    <cellStyle name="Normal 22 10 4" xfId="27441"/>
    <cellStyle name="Normal 22 11" xfId="10645"/>
    <cellStyle name="Normal 22 11 2" xfId="30528"/>
    <cellStyle name="Normal 22 12" xfId="16797"/>
    <cellStyle name="Normal 22 12 2" xfId="36680"/>
    <cellStyle name="Normal 22 13" xfId="3648"/>
    <cellStyle name="Normal 22 13 2" xfId="24375"/>
    <cellStyle name="Normal 22 2" xfId="3649"/>
    <cellStyle name="Normal 22 2 10" xfId="10646"/>
    <cellStyle name="Normal 22 2 10 2" xfId="30529"/>
    <cellStyle name="Normal 22 2 11" xfId="16798"/>
    <cellStyle name="Normal 22 2 11 2" xfId="36681"/>
    <cellStyle name="Normal 22 2 12" xfId="24376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2 2" xfId="35899"/>
    <cellStyle name="Normal 22 2 2 2 2 2 3" xfId="22168"/>
    <cellStyle name="Normal 22 2 2 2 2 2 3 2" xfId="42051"/>
    <cellStyle name="Normal 22 2 2 2 2 2 4" xfId="29746"/>
    <cellStyle name="Normal 22 2 2 2 2 3" xfId="12950"/>
    <cellStyle name="Normal 22 2 2 2 2 3 2" xfId="32833"/>
    <cellStyle name="Normal 22 2 2 2 2 4" xfId="19102"/>
    <cellStyle name="Normal 22 2 2 2 2 4 2" xfId="38985"/>
    <cellStyle name="Normal 22 2 2 2 2 5" xfId="26680"/>
    <cellStyle name="Normal 22 2 2 2 3" xfId="8288"/>
    <cellStyle name="Normal 22 2 2 2 3 2" xfId="14482"/>
    <cellStyle name="Normal 22 2 2 2 3 2 2" xfId="34365"/>
    <cellStyle name="Normal 22 2 2 2 3 3" xfId="20634"/>
    <cellStyle name="Normal 22 2 2 2 3 3 2" xfId="40517"/>
    <cellStyle name="Normal 22 2 2 2 3 4" xfId="28212"/>
    <cellStyle name="Normal 22 2 2 2 4" xfId="11416"/>
    <cellStyle name="Normal 22 2 2 2 4 2" xfId="31299"/>
    <cellStyle name="Normal 22 2 2 2 5" xfId="17568"/>
    <cellStyle name="Normal 22 2 2 2 5 2" xfId="37451"/>
    <cellStyle name="Normal 22 2 2 2 6" xfId="25146"/>
    <cellStyle name="Normal 22 2 2 3" xfId="5954"/>
    <cellStyle name="Normal 22 2 2 3 2" xfId="9054"/>
    <cellStyle name="Normal 22 2 2 3 2 2" xfId="15247"/>
    <cellStyle name="Normal 22 2 2 3 2 2 2" xfId="35130"/>
    <cellStyle name="Normal 22 2 2 3 2 3" xfId="21399"/>
    <cellStyle name="Normal 22 2 2 3 2 3 2" xfId="41282"/>
    <cellStyle name="Normal 22 2 2 3 2 4" xfId="28977"/>
    <cellStyle name="Normal 22 2 2 3 3" xfId="12181"/>
    <cellStyle name="Normal 22 2 2 3 3 2" xfId="32064"/>
    <cellStyle name="Normal 22 2 2 3 4" xfId="18333"/>
    <cellStyle name="Normal 22 2 2 3 4 2" xfId="38216"/>
    <cellStyle name="Normal 22 2 2 3 5" xfId="25911"/>
    <cellStyle name="Normal 22 2 2 4" xfId="7519"/>
    <cellStyle name="Normal 22 2 2 4 2" xfId="13713"/>
    <cellStyle name="Normal 22 2 2 4 2 2" xfId="33596"/>
    <cellStyle name="Normal 22 2 2 4 3" xfId="19865"/>
    <cellStyle name="Normal 22 2 2 4 3 2" xfId="39748"/>
    <cellStyle name="Normal 22 2 2 4 4" xfId="27443"/>
    <cellStyle name="Normal 22 2 2 5" xfId="10647"/>
    <cellStyle name="Normal 22 2 2 5 2" xfId="30530"/>
    <cellStyle name="Normal 22 2 2 6" xfId="16799"/>
    <cellStyle name="Normal 22 2 2 6 2" xfId="36682"/>
    <cellStyle name="Normal 22 2 2 7" xfId="24377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2 2" xfId="35900"/>
    <cellStyle name="Normal 22 2 3 2 2 2 3" xfId="22169"/>
    <cellStyle name="Normal 22 2 3 2 2 2 3 2" xfId="42052"/>
    <cellStyle name="Normal 22 2 3 2 2 2 4" xfId="29747"/>
    <cellStyle name="Normal 22 2 3 2 2 3" xfId="12951"/>
    <cellStyle name="Normal 22 2 3 2 2 3 2" xfId="32834"/>
    <cellStyle name="Normal 22 2 3 2 2 4" xfId="19103"/>
    <cellStyle name="Normal 22 2 3 2 2 4 2" xfId="38986"/>
    <cellStyle name="Normal 22 2 3 2 2 5" xfId="26681"/>
    <cellStyle name="Normal 22 2 3 2 3" xfId="8289"/>
    <cellStyle name="Normal 22 2 3 2 3 2" xfId="14483"/>
    <cellStyle name="Normal 22 2 3 2 3 2 2" xfId="34366"/>
    <cellStyle name="Normal 22 2 3 2 3 3" xfId="20635"/>
    <cellStyle name="Normal 22 2 3 2 3 3 2" xfId="40518"/>
    <cellStyle name="Normal 22 2 3 2 3 4" xfId="28213"/>
    <cellStyle name="Normal 22 2 3 2 4" xfId="11417"/>
    <cellStyle name="Normal 22 2 3 2 4 2" xfId="31300"/>
    <cellStyle name="Normal 22 2 3 2 5" xfId="17569"/>
    <cellStyle name="Normal 22 2 3 2 5 2" xfId="37452"/>
    <cellStyle name="Normal 22 2 3 2 6" xfId="25147"/>
    <cellStyle name="Normal 22 2 3 3" xfId="5955"/>
    <cellStyle name="Normal 22 2 3 3 2" xfId="9055"/>
    <cellStyle name="Normal 22 2 3 3 2 2" xfId="15248"/>
    <cellStyle name="Normal 22 2 3 3 2 2 2" xfId="35131"/>
    <cellStyle name="Normal 22 2 3 3 2 3" xfId="21400"/>
    <cellStyle name="Normal 22 2 3 3 2 3 2" xfId="41283"/>
    <cellStyle name="Normal 22 2 3 3 2 4" xfId="28978"/>
    <cellStyle name="Normal 22 2 3 3 3" xfId="12182"/>
    <cellStyle name="Normal 22 2 3 3 3 2" xfId="32065"/>
    <cellStyle name="Normal 22 2 3 3 4" xfId="18334"/>
    <cellStyle name="Normal 22 2 3 3 4 2" xfId="38217"/>
    <cellStyle name="Normal 22 2 3 3 5" xfId="25912"/>
    <cellStyle name="Normal 22 2 3 4" xfId="7520"/>
    <cellStyle name="Normal 22 2 3 4 2" xfId="13714"/>
    <cellStyle name="Normal 22 2 3 4 2 2" xfId="33597"/>
    <cellStyle name="Normal 22 2 3 4 3" xfId="19866"/>
    <cellStyle name="Normal 22 2 3 4 3 2" xfId="39749"/>
    <cellStyle name="Normal 22 2 3 4 4" xfId="27444"/>
    <cellStyle name="Normal 22 2 3 5" xfId="10648"/>
    <cellStyle name="Normal 22 2 3 5 2" xfId="30531"/>
    <cellStyle name="Normal 22 2 3 6" xfId="16800"/>
    <cellStyle name="Normal 22 2 3 6 2" xfId="36683"/>
    <cellStyle name="Normal 22 2 3 7" xfId="24378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2 2" xfId="35901"/>
    <cellStyle name="Normal 22 2 4 2 2 2 3" xfId="22170"/>
    <cellStyle name="Normal 22 2 4 2 2 2 3 2" xfId="42053"/>
    <cellStyle name="Normal 22 2 4 2 2 2 4" xfId="29748"/>
    <cellStyle name="Normal 22 2 4 2 2 3" xfId="12952"/>
    <cellStyle name="Normal 22 2 4 2 2 3 2" xfId="32835"/>
    <cellStyle name="Normal 22 2 4 2 2 4" xfId="19104"/>
    <cellStyle name="Normal 22 2 4 2 2 4 2" xfId="38987"/>
    <cellStyle name="Normal 22 2 4 2 2 5" xfId="26682"/>
    <cellStyle name="Normal 22 2 4 2 3" xfId="8290"/>
    <cellStyle name="Normal 22 2 4 2 3 2" xfId="14484"/>
    <cellStyle name="Normal 22 2 4 2 3 2 2" xfId="34367"/>
    <cellStyle name="Normal 22 2 4 2 3 3" xfId="20636"/>
    <cellStyle name="Normal 22 2 4 2 3 3 2" xfId="40519"/>
    <cellStyle name="Normal 22 2 4 2 3 4" xfId="28214"/>
    <cellStyle name="Normal 22 2 4 2 4" xfId="11418"/>
    <cellStyle name="Normal 22 2 4 2 4 2" xfId="31301"/>
    <cellStyle name="Normal 22 2 4 2 5" xfId="17570"/>
    <cellStyle name="Normal 22 2 4 2 5 2" xfId="37453"/>
    <cellStyle name="Normal 22 2 4 2 6" xfId="25148"/>
    <cellStyle name="Normal 22 2 4 3" xfId="5956"/>
    <cellStyle name="Normal 22 2 4 3 2" xfId="9056"/>
    <cellStyle name="Normal 22 2 4 3 2 2" xfId="15249"/>
    <cellStyle name="Normal 22 2 4 3 2 2 2" xfId="35132"/>
    <cellStyle name="Normal 22 2 4 3 2 3" xfId="21401"/>
    <cellStyle name="Normal 22 2 4 3 2 3 2" xfId="41284"/>
    <cellStyle name="Normal 22 2 4 3 2 4" xfId="28979"/>
    <cellStyle name="Normal 22 2 4 3 3" xfId="12183"/>
    <cellStyle name="Normal 22 2 4 3 3 2" xfId="32066"/>
    <cellStyle name="Normal 22 2 4 3 4" xfId="18335"/>
    <cellStyle name="Normal 22 2 4 3 4 2" xfId="38218"/>
    <cellStyle name="Normal 22 2 4 3 5" xfId="25913"/>
    <cellStyle name="Normal 22 2 4 4" xfId="7521"/>
    <cellStyle name="Normal 22 2 4 4 2" xfId="13715"/>
    <cellStyle name="Normal 22 2 4 4 2 2" xfId="33598"/>
    <cellStyle name="Normal 22 2 4 4 3" xfId="19867"/>
    <cellStyle name="Normal 22 2 4 4 3 2" xfId="39750"/>
    <cellStyle name="Normal 22 2 4 4 4" xfId="27445"/>
    <cellStyle name="Normal 22 2 4 5" xfId="10649"/>
    <cellStyle name="Normal 22 2 4 5 2" xfId="30532"/>
    <cellStyle name="Normal 22 2 4 6" xfId="16801"/>
    <cellStyle name="Normal 22 2 4 6 2" xfId="36684"/>
    <cellStyle name="Normal 22 2 4 7" xfId="24379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2 2" xfId="35902"/>
    <cellStyle name="Normal 22 2 5 2 2 2 3" xfId="22171"/>
    <cellStyle name="Normal 22 2 5 2 2 2 3 2" xfId="42054"/>
    <cellStyle name="Normal 22 2 5 2 2 2 4" xfId="29749"/>
    <cellStyle name="Normal 22 2 5 2 2 3" xfId="12953"/>
    <cellStyle name="Normal 22 2 5 2 2 3 2" xfId="32836"/>
    <cellStyle name="Normal 22 2 5 2 2 4" xfId="19105"/>
    <cellStyle name="Normal 22 2 5 2 2 4 2" xfId="38988"/>
    <cellStyle name="Normal 22 2 5 2 2 5" xfId="26683"/>
    <cellStyle name="Normal 22 2 5 2 3" xfId="8291"/>
    <cellStyle name="Normal 22 2 5 2 3 2" xfId="14485"/>
    <cellStyle name="Normal 22 2 5 2 3 2 2" xfId="34368"/>
    <cellStyle name="Normal 22 2 5 2 3 3" xfId="20637"/>
    <cellStyle name="Normal 22 2 5 2 3 3 2" xfId="40520"/>
    <cellStyle name="Normal 22 2 5 2 3 4" xfId="28215"/>
    <cellStyle name="Normal 22 2 5 2 4" xfId="11419"/>
    <cellStyle name="Normal 22 2 5 2 4 2" xfId="31302"/>
    <cellStyle name="Normal 22 2 5 2 5" xfId="17571"/>
    <cellStyle name="Normal 22 2 5 2 5 2" xfId="37454"/>
    <cellStyle name="Normal 22 2 5 2 6" xfId="25149"/>
    <cellStyle name="Normal 22 2 5 3" xfId="5957"/>
    <cellStyle name="Normal 22 2 5 3 2" xfId="9057"/>
    <cellStyle name="Normal 22 2 5 3 2 2" xfId="15250"/>
    <cellStyle name="Normal 22 2 5 3 2 2 2" xfId="35133"/>
    <cellStyle name="Normal 22 2 5 3 2 3" xfId="21402"/>
    <cellStyle name="Normal 22 2 5 3 2 3 2" xfId="41285"/>
    <cellStyle name="Normal 22 2 5 3 2 4" xfId="28980"/>
    <cellStyle name="Normal 22 2 5 3 3" xfId="12184"/>
    <cellStyle name="Normal 22 2 5 3 3 2" xfId="32067"/>
    <cellStyle name="Normal 22 2 5 3 4" xfId="18336"/>
    <cellStyle name="Normal 22 2 5 3 4 2" xfId="38219"/>
    <cellStyle name="Normal 22 2 5 3 5" xfId="25914"/>
    <cellStyle name="Normal 22 2 5 4" xfId="7522"/>
    <cellStyle name="Normal 22 2 5 4 2" xfId="13716"/>
    <cellStyle name="Normal 22 2 5 4 2 2" xfId="33599"/>
    <cellStyle name="Normal 22 2 5 4 3" xfId="19868"/>
    <cellStyle name="Normal 22 2 5 4 3 2" xfId="39751"/>
    <cellStyle name="Normal 22 2 5 4 4" xfId="27446"/>
    <cellStyle name="Normal 22 2 5 5" xfId="10650"/>
    <cellStyle name="Normal 22 2 5 5 2" xfId="30533"/>
    <cellStyle name="Normal 22 2 5 6" xfId="16802"/>
    <cellStyle name="Normal 22 2 5 6 2" xfId="36685"/>
    <cellStyle name="Normal 22 2 5 7" xfId="24380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2 2" xfId="35898"/>
    <cellStyle name="Normal 22 2 7 2 2 3" xfId="22167"/>
    <cellStyle name="Normal 22 2 7 2 2 3 2" xfId="42050"/>
    <cellStyle name="Normal 22 2 7 2 2 4" xfId="29745"/>
    <cellStyle name="Normal 22 2 7 2 3" xfId="12949"/>
    <cellStyle name="Normal 22 2 7 2 3 2" xfId="32832"/>
    <cellStyle name="Normal 22 2 7 2 4" xfId="19101"/>
    <cellStyle name="Normal 22 2 7 2 4 2" xfId="38984"/>
    <cellStyle name="Normal 22 2 7 2 5" xfId="26679"/>
    <cellStyle name="Normal 22 2 7 3" xfId="8287"/>
    <cellStyle name="Normal 22 2 7 3 2" xfId="14481"/>
    <cellStyle name="Normal 22 2 7 3 2 2" xfId="34364"/>
    <cellStyle name="Normal 22 2 7 3 3" xfId="20633"/>
    <cellStyle name="Normal 22 2 7 3 3 2" xfId="40516"/>
    <cellStyle name="Normal 22 2 7 3 4" xfId="28211"/>
    <cellStyle name="Normal 22 2 7 4" xfId="11415"/>
    <cellStyle name="Normal 22 2 7 4 2" xfId="31298"/>
    <cellStyle name="Normal 22 2 7 5" xfId="17567"/>
    <cellStyle name="Normal 22 2 7 5 2" xfId="37450"/>
    <cellStyle name="Normal 22 2 7 6" xfId="25145"/>
    <cellStyle name="Normal 22 2 8" xfId="5953"/>
    <cellStyle name="Normal 22 2 8 2" xfId="9053"/>
    <cellStyle name="Normal 22 2 8 2 2" xfId="15246"/>
    <cellStyle name="Normal 22 2 8 2 2 2" xfId="35129"/>
    <cellStyle name="Normal 22 2 8 2 3" xfId="21398"/>
    <cellStyle name="Normal 22 2 8 2 3 2" xfId="41281"/>
    <cellStyle name="Normal 22 2 8 2 4" xfId="28976"/>
    <cellStyle name="Normal 22 2 8 3" xfId="12180"/>
    <cellStyle name="Normal 22 2 8 3 2" xfId="32063"/>
    <cellStyle name="Normal 22 2 8 4" xfId="18332"/>
    <cellStyle name="Normal 22 2 8 4 2" xfId="38215"/>
    <cellStyle name="Normal 22 2 8 5" xfId="25910"/>
    <cellStyle name="Normal 22 2 9" xfId="7518"/>
    <cellStyle name="Normal 22 2 9 2" xfId="13712"/>
    <cellStyle name="Normal 22 2 9 2 2" xfId="33595"/>
    <cellStyle name="Normal 22 2 9 3" xfId="19864"/>
    <cellStyle name="Normal 22 2 9 3 2" xfId="39747"/>
    <cellStyle name="Normal 22 2 9 4" xfId="27442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2 2" xfId="35903"/>
    <cellStyle name="Normal 22 3 2 2 2 3" xfId="22172"/>
    <cellStyle name="Normal 22 3 2 2 2 3 2" xfId="42055"/>
    <cellStyle name="Normal 22 3 2 2 2 4" xfId="29750"/>
    <cellStyle name="Normal 22 3 2 2 3" xfId="12954"/>
    <cellStyle name="Normal 22 3 2 2 3 2" xfId="32837"/>
    <cellStyle name="Normal 22 3 2 2 4" xfId="19106"/>
    <cellStyle name="Normal 22 3 2 2 4 2" xfId="38989"/>
    <cellStyle name="Normal 22 3 2 2 5" xfId="26684"/>
    <cellStyle name="Normal 22 3 2 3" xfId="8292"/>
    <cellStyle name="Normal 22 3 2 3 2" xfId="14486"/>
    <cellStyle name="Normal 22 3 2 3 2 2" xfId="34369"/>
    <cellStyle name="Normal 22 3 2 3 3" xfId="20638"/>
    <cellStyle name="Normal 22 3 2 3 3 2" xfId="40521"/>
    <cellStyle name="Normal 22 3 2 3 4" xfId="28216"/>
    <cellStyle name="Normal 22 3 2 4" xfId="11420"/>
    <cellStyle name="Normal 22 3 2 4 2" xfId="31303"/>
    <cellStyle name="Normal 22 3 2 5" xfId="17572"/>
    <cellStyle name="Normal 22 3 2 5 2" xfId="37455"/>
    <cellStyle name="Normal 22 3 2 6" xfId="25150"/>
    <cellStyle name="Normal 22 3 3" xfId="5958"/>
    <cellStyle name="Normal 22 3 3 2" xfId="9058"/>
    <cellStyle name="Normal 22 3 3 2 2" xfId="15251"/>
    <cellStyle name="Normal 22 3 3 2 2 2" xfId="35134"/>
    <cellStyle name="Normal 22 3 3 2 3" xfId="21403"/>
    <cellStyle name="Normal 22 3 3 2 3 2" xfId="41286"/>
    <cellStyle name="Normal 22 3 3 2 4" xfId="28981"/>
    <cellStyle name="Normal 22 3 3 3" xfId="12185"/>
    <cellStyle name="Normal 22 3 3 3 2" xfId="32068"/>
    <cellStyle name="Normal 22 3 3 4" xfId="18337"/>
    <cellStyle name="Normal 22 3 3 4 2" xfId="38220"/>
    <cellStyle name="Normal 22 3 3 5" xfId="25915"/>
    <cellStyle name="Normal 22 3 4" xfId="7523"/>
    <cellStyle name="Normal 22 3 4 2" xfId="13717"/>
    <cellStyle name="Normal 22 3 4 2 2" xfId="33600"/>
    <cellStyle name="Normal 22 3 4 3" xfId="19869"/>
    <cellStyle name="Normal 22 3 4 3 2" xfId="39752"/>
    <cellStyle name="Normal 22 3 4 4" xfId="27447"/>
    <cellStyle name="Normal 22 3 5" xfId="10651"/>
    <cellStyle name="Normal 22 3 5 2" xfId="30534"/>
    <cellStyle name="Normal 22 3 6" xfId="16803"/>
    <cellStyle name="Normal 22 3 6 2" xfId="36686"/>
    <cellStyle name="Normal 22 3 7" xfId="24381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2 2" xfId="35904"/>
    <cellStyle name="Normal 22 4 2 2 2 3" xfId="22173"/>
    <cellStyle name="Normal 22 4 2 2 2 3 2" xfId="42056"/>
    <cellStyle name="Normal 22 4 2 2 2 4" xfId="29751"/>
    <cellStyle name="Normal 22 4 2 2 3" xfId="12955"/>
    <cellStyle name="Normal 22 4 2 2 3 2" xfId="32838"/>
    <cellStyle name="Normal 22 4 2 2 4" xfId="19107"/>
    <cellStyle name="Normal 22 4 2 2 4 2" xfId="38990"/>
    <cellStyle name="Normal 22 4 2 2 5" xfId="26685"/>
    <cellStyle name="Normal 22 4 2 3" xfId="8293"/>
    <cellStyle name="Normal 22 4 2 3 2" xfId="14487"/>
    <cellStyle name="Normal 22 4 2 3 2 2" xfId="34370"/>
    <cellStyle name="Normal 22 4 2 3 3" xfId="20639"/>
    <cellStyle name="Normal 22 4 2 3 3 2" xfId="40522"/>
    <cellStyle name="Normal 22 4 2 3 4" xfId="28217"/>
    <cellStyle name="Normal 22 4 2 4" xfId="11421"/>
    <cellStyle name="Normal 22 4 2 4 2" xfId="31304"/>
    <cellStyle name="Normal 22 4 2 5" xfId="17573"/>
    <cellStyle name="Normal 22 4 2 5 2" xfId="37456"/>
    <cellStyle name="Normal 22 4 2 6" xfId="25151"/>
    <cellStyle name="Normal 22 4 3" xfId="5959"/>
    <cellStyle name="Normal 22 4 3 2" xfId="9059"/>
    <cellStyle name="Normal 22 4 3 2 2" xfId="15252"/>
    <cellStyle name="Normal 22 4 3 2 2 2" xfId="35135"/>
    <cellStyle name="Normal 22 4 3 2 3" xfId="21404"/>
    <cellStyle name="Normal 22 4 3 2 3 2" xfId="41287"/>
    <cellStyle name="Normal 22 4 3 2 4" xfId="28982"/>
    <cellStyle name="Normal 22 4 3 3" xfId="12186"/>
    <cellStyle name="Normal 22 4 3 3 2" xfId="32069"/>
    <cellStyle name="Normal 22 4 3 4" xfId="18338"/>
    <cellStyle name="Normal 22 4 3 4 2" xfId="38221"/>
    <cellStyle name="Normal 22 4 3 5" xfId="25916"/>
    <cellStyle name="Normal 22 4 4" xfId="7524"/>
    <cellStyle name="Normal 22 4 4 2" xfId="13718"/>
    <cellStyle name="Normal 22 4 4 2 2" xfId="33601"/>
    <cellStyle name="Normal 22 4 4 3" xfId="19870"/>
    <cellStyle name="Normal 22 4 4 3 2" xfId="39753"/>
    <cellStyle name="Normal 22 4 4 4" xfId="27448"/>
    <cellStyle name="Normal 22 4 5" xfId="10652"/>
    <cellStyle name="Normal 22 4 5 2" xfId="30535"/>
    <cellStyle name="Normal 22 4 6" xfId="16804"/>
    <cellStyle name="Normal 22 4 6 2" xfId="36687"/>
    <cellStyle name="Normal 22 4 7" xfId="24382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2 2" xfId="35905"/>
    <cellStyle name="Normal 22 5 2 2 2 3" xfId="22174"/>
    <cellStyle name="Normal 22 5 2 2 2 3 2" xfId="42057"/>
    <cellStyle name="Normal 22 5 2 2 2 4" xfId="29752"/>
    <cellStyle name="Normal 22 5 2 2 3" xfId="12956"/>
    <cellStyle name="Normal 22 5 2 2 3 2" xfId="32839"/>
    <cellStyle name="Normal 22 5 2 2 4" xfId="19108"/>
    <cellStyle name="Normal 22 5 2 2 4 2" xfId="38991"/>
    <cellStyle name="Normal 22 5 2 2 5" xfId="26686"/>
    <cellStyle name="Normal 22 5 2 3" xfId="8294"/>
    <cellStyle name="Normal 22 5 2 3 2" xfId="14488"/>
    <cellStyle name="Normal 22 5 2 3 2 2" xfId="34371"/>
    <cellStyle name="Normal 22 5 2 3 3" xfId="20640"/>
    <cellStyle name="Normal 22 5 2 3 3 2" xfId="40523"/>
    <cellStyle name="Normal 22 5 2 3 4" xfId="28218"/>
    <cellStyle name="Normal 22 5 2 4" xfId="11422"/>
    <cellStyle name="Normal 22 5 2 4 2" xfId="31305"/>
    <cellStyle name="Normal 22 5 2 5" xfId="17574"/>
    <cellStyle name="Normal 22 5 2 5 2" xfId="37457"/>
    <cellStyle name="Normal 22 5 2 6" xfId="25152"/>
    <cellStyle name="Normal 22 5 3" xfId="5960"/>
    <cellStyle name="Normal 22 5 3 2" xfId="9060"/>
    <cellStyle name="Normal 22 5 3 2 2" xfId="15253"/>
    <cellStyle name="Normal 22 5 3 2 2 2" xfId="35136"/>
    <cellStyle name="Normal 22 5 3 2 3" xfId="21405"/>
    <cellStyle name="Normal 22 5 3 2 3 2" xfId="41288"/>
    <cellStyle name="Normal 22 5 3 2 4" xfId="28983"/>
    <cellStyle name="Normal 22 5 3 3" xfId="12187"/>
    <cellStyle name="Normal 22 5 3 3 2" xfId="32070"/>
    <cellStyle name="Normal 22 5 3 4" xfId="18339"/>
    <cellStyle name="Normal 22 5 3 4 2" xfId="38222"/>
    <cellStyle name="Normal 22 5 3 5" xfId="25917"/>
    <cellStyle name="Normal 22 5 4" xfId="7525"/>
    <cellStyle name="Normal 22 5 4 2" xfId="13719"/>
    <cellStyle name="Normal 22 5 4 2 2" xfId="33602"/>
    <cellStyle name="Normal 22 5 4 3" xfId="19871"/>
    <cellStyle name="Normal 22 5 4 3 2" xfId="39754"/>
    <cellStyle name="Normal 22 5 4 4" xfId="27449"/>
    <cellStyle name="Normal 22 5 5" xfId="10653"/>
    <cellStyle name="Normal 22 5 5 2" xfId="30536"/>
    <cellStyle name="Normal 22 5 6" xfId="16805"/>
    <cellStyle name="Normal 22 5 6 2" xfId="36688"/>
    <cellStyle name="Normal 22 5 7" xfId="24383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2 2" xfId="35906"/>
    <cellStyle name="Normal 22 6 2 2 2 3" xfId="22175"/>
    <cellStyle name="Normal 22 6 2 2 2 3 2" xfId="42058"/>
    <cellStyle name="Normal 22 6 2 2 2 4" xfId="29753"/>
    <cellStyle name="Normal 22 6 2 2 3" xfId="12957"/>
    <cellStyle name="Normal 22 6 2 2 3 2" xfId="32840"/>
    <cellStyle name="Normal 22 6 2 2 4" xfId="19109"/>
    <cellStyle name="Normal 22 6 2 2 4 2" xfId="38992"/>
    <cellStyle name="Normal 22 6 2 2 5" xfId="26687"/>
    <cellStyle name="Normal 22 6 2 3" xfId="8295"/>
    <cellStyle name="Normal 22 6 2 3 2" xfId="14489"/>
    <cellStyle name="Normal 22 6 2 3 2 2" xfId="34372"/>
    <cellStyle name="Normal 22 6 2 3 3" xfId="20641"/>
    <cellStyle name="Normal 22 6 2 3 3 2" xfId="40524"/>
    <cellStyle name="Normal 22 6 2 3 4" xfId="28219"/>
    <cellStyle name="Normal 22 6 2 4" xfId="11423"/>
    <cellStyle name="Normal 22 6 2 4 2" xfId="31306"/>
    <cellStyle name="Normal 22 6 2 5" xfId="17575"/>
    <cellStyle name="Normal 22 6 2 5 2" xfId="37458"/>
    <cellStyle name="Normal 22 6 2 6" xfId="25153"/>
    <cellStyle name="Normal 22 6 3" xfId="5961"/>
    <cellStyle name="Normal 22 6 3 2" xfId="9061"/>
    <cellStyle name="Normal 22 6 3 2 2" xfId="15254"/>
    <cellStyle name="Normal 22 6 3 2 2 2" xfId="35137"/>
    <cellStyle name="Normal 22 6 3 2 3" xfId="21406"/>
    <cellStyle name="Normal 22 6 3 2 3 2" xfId="41289"/>
    <cellStyle name="Normal 22 6 3 2 4" xfId="28984"/>
    <cellStyle name="Normal 22 6 3 3" xfId="12188"/>
    <cellStyle name="Normal 22 6 3 3 2" xfId="32071"/>
    <cellStyle name="Normal 22 6 3 4" xfId="18340"/>
    <cellStyle name="Normal 22 6 3 4 2" xfId="38223"/>
    <cellStyle name="Normal 22 6 3 5" xfId="25918"/>
    <cellStyle name="Normal 22 6 4" xfId="7526"/>
    <cellStyle name="Normal 22 6 4 2" xfId="13720"/>
    <cellStyle name="Normal 22 6 4 2 2" xfId="33603"/>
    <cellStyle name="Normal 22 6 4 3" xfId="19872"/>
    <cellStyle name="Normal 22 6 4 3 2" xfId="39755"/>
    <cellStyle name="Normal 22 6 4 4" xfId="27450"/>
    <cellStyle name="Normal 22 6 5" xfId="10654"/>
    <cellStyle name="Normal 22 6 5 2" xfId="30537"/>
    <cellStyle name="Normal 22 6 6" xfId="16806"/>
    <cellStyle name="Normal 22 6 6 2" xfId="36689"/>
    <cellStyle name="Normal 22 6 7" xfId="24384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2 2" xfId="35897"/>
    <cellStyle name="Normal 22 8 2 2 3" xfId="22166"/>
    <cellStyle name="Normal 22 8 2 2 3 2" xfId="42049"/>
    <cellStyle name="Normal 22 8 2 2 4" xfId="29744"/>
    <cellStyle name="Normal 22 8 2 3" xfId="12948"/>
    <cellStyle name="Normal 22 8 2 3 2" xfId="32831"/>
    <cellStyle name="Normal 22 8 2 4" xfId="19100"/>
    <cellStyle name="Normal 22 8 2 4 2" xfId="38983"/>
    <cellStyle name="Normal 22 8 2 5" xfId="26678"/>
    <cellStyle name="Normal 22 8 3" xfId="8286"/>
    <cellStyle name="Normal 22 8 3 2" xfId="14480"/>
    <cellStyle name="Normal 22 8 3 2 2" xfId="34363"/>
    <cellStyle name="Normal 22 8 3 3" xfId="20632"/>
    <cellStyle name="Normal 22 8 3 3 2" xfId="40515"/>
    <cellStyle name="Normal 22 8 3 4" xfId="28210"/>
    <cellStyle name="Normal 22 8 4" xfId="11414"/>
    <cellStyle name="Normal 22 8 4 2" xfId="31297"/>
    <cellStyle name="Normal 22 8 5" xfId="17566"/>
    <cellStyle name="Normal 22 8 5 2" xfId="37449"/>
    <cellStyle name="Normal 22 8 6" xfId="25144"/>
    <cellStyle name="Normal 22 9" xfId="5952"/>
    <cellStyle name="Normal 22 9 2" xfId="9052"/>
    <cellStyle name="Normal 22 9 2 2" xfId="15245"/>
    <cellStyle name="Normal 22 9 2 2 2" xfId="35128"/>
    <cellStyle name="Normal 22 9 2 3" xfId="21397"/>
    <cellStyle name="Normal 22 9 2 3 2" xfId="41280"/>
    <cellStyle name="Normal 22 9 2 4" xfId="28975"/>
    <cellStyle name="Normal 22 9 3" xfId="12179"/>
    <cellStyle name="Normal 22 9 3 2" xfId="32062"/>
    <cellStyle name="Normal 22 9 4" xfId="18331"/>
    <cellStyle name="Normal 22 9 4 2" xfId="38214"/>
    <cellStyle name="Normal 22 9 5" xfId="25909"/>
    <cellStyle name="Normal 23" xfId="598"/>
    <cellStyle name="Normal 23 10" xfId="7527"/>
    <cellStyle name="Normal 23 10 2" xfId="13721"/>
    <cellStyle name="Normal 23 10 2 2" xfId="33604"/>
    <cellStyle name="Normal 23 10 3" xfId="19873"/>
    <cellStyle name="Normal 23 10 3 2" xfId="39756"/>
    <cellStyle name="Normal 23 10 4" xfId="27451"/>
    <cellStyle name="Normal 23 11" xfId="10655"/>
    <cellStyle name="Normal 23 11 2" xfId="30538"/>
    <cellStyle name="Normal 23 12" xfId="16807"/>
    <cellStyle name="Normal 23 12 2" xfId="36690"/>
    <cellStyle name="Normal 23 13" xfId="3660"/>
    <cellStyle name="Normal 23 13 2" xfId="24385"/>
    <cellStyle name="Normal 23 2" xfId="3661"/>
    <cellStyle name="Normal 23 2 10" xfId="16808"/>
    <cellStyle name="Normal 23 2 10 2" xfId="36691"/>
    <cellStyle name="Normal 23 2 11" xfId="23250"/>
    <cellStyle name="Normal 23 2 12" xfId="24386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2 2" xfId="35909"/>
    <cellStyle name="Normal 23 2 2 2 2 2 3" xfId="22178"/>
    <cellStyle name="Normal 23 2 2 2 2 2 3 2" xfId="42061"/>
    <cellStyle name="Normal 23 2 2 2 2 2 4" xfId="29756"/>
    <cellStyle name="Normal 23 2 2 2 2 3" xfId="12960"/>
    <cellStyle name="Normal 23 2 2 2 2 3 2" xfId="32843"/>
    <cellStyle name="Normal 23 2 2 2 2 4" xfId="19112"/>
    <cellStyle name="Normal 23 2 2 2 2 4 2" xfId="38995"/>
    <cellStyle name="Normal 23 2 2 2 2 5" xfId="26690"/>
    <cellStyle name="Normal 23 2 2 2 3" xfId="8298"/>
    <cellStyle name="Normal 23 2 2 2 3 2" xfId="14492"/>
    <cellStyle name="Normal 23 2 2 2 3 2 2" xfId="34375"/>
    <cellStyle name="Normal 23 2 2 2 3 3" xfId="20644"/>
    <cellStyle name="Normal 23 2 2 2 3 3 2" xfId="40527"/>
    <cellStyle name="Normal 23 2 2 2 3 4" xfId="28222"/>
    <cellStyle name="Normal 23 2 2 2 4" xfId="11426"/>
    <cellStyle name="Normal 23 2 2 2 4 2" xfId="31309"/>
    <cellStyle name="Normal 23 2 2 2 5" xfId="17578"/>
    <cellStyle name="Normal 23 2 2 2 5 2" xfId="37461"/>
    <cellStyle name="Normal 23 2 2 2 6" xfId="25156"/>
    <cellStyle name="Normal 23 2 2 3" xfId="5964"/>
    <cellStyle name="Normal 23 2 2 3 2" xfId="9064"/>
    <cellStyle name="Normal 23 2 2 3 2 2" xfId="15257"/>
    <cellStyle name="Normal 23 2 2 3 2 2 2" xfId="35140"/>
    <cellStyle name="Normal 23 2 2 3 2 3" xfId="21409"/>
    <cellStyle name="Normal 23 2 2 3 2 3 2" xfId="41292"/>
    <cellStyle name="Normal 23 2 2 3 2 4" xfId="28987"/>
    <cellStyle name="Normal 23 2 2 3 3" xfId="12191"/>
    <cellStyle name="Normal 23 2 2 3 3 2" xfId="32074"/>
    <cellStyle name="Normal 23 2 2 3 4" xfId="18343"/>
    <cellStyle name="Normal 23 2 2 3 4 2" xfId="38226"/>
    <cellStyle name="Normal 23 2 2 3 5" xfId="25921"/>
    <cellStyle name="Normal 23 2 2 4" xfId="7529"/>
    <cellStyle name="Normal 23 2 2 4 2" xfId="13723"/>
    <cellStyle name="Normal 23 2 2 4 2 2" xfId="33606"/>
    <cellStyle name="Normal 23 2 2 4 3" xfId="19875"/>
    <cellStyle name="Normal 23 2 2 4 3 2" xfId="39758"/>
    <cellStyle name="Normal 23 2 2 4 4" xfId="27453"/>
    <cellStyle name="Normal 23 2 2 5" xfId="10657"/>
    <cellStyle name="Normal 23 2 2 5 2" xfId="30540"/>
    <cellStyle name="Normal 23 2 2 6" xfId="16809"/>
    <cellStyle name="Normal 23 2 2 6 2" xfId="36692"/>
    <cellStyle name="Normal 23 2 2 7" xfId="24387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2 2" xfId="35910"/>
    <cellStyle name="Normal 23 2 3 2 2 2 3" xfId="22179"/>
    <cellStyle name="Normal 23 2 3 2 2 2 3 2" xfId="42062"/>
    <cellStyle name="Normal 23 2 3 2 2 2 4" xfId="29757"/>
    <cellStyle name="Normal 23 2 3 2 2 3" xfId="12961"/>
    <cellStyle name="Normal 23 2 3 2 2 3 2" xfId="32844"/>
    <cellStyle name="Normal 23 2 3 2 2 4" xfId="19113"/>
    <cellStyle name="Normal 23 2 3 2 2 4 2" xfId="38996"/>
    <cellStyle name="Normal 23 2 3 2 2 5" xfId="26691"/>
    <cellStyle name="Normal 23 2 3 2 3" xfId="8299"/>
    <cellStyle name="Normal 23 2 3 2 3 2" xfId="14493"/>
    <cellStyle name="Normal 23 2 3 2 3 2 2" xfId="34376"/>
    <cellStyle name="Normal 23 2 3 2 3 3" xfId="20645"/>
    <cellStyle name="Normal 23 2 3 2 3 3 2" xfId="40528"/>
    <cellStyle name="Normal 23 2 3 2 3 4" xfId="28223"/>
    <cellStyle name="Normal 23 2 3 2 4" xfId="11427"/>
    <cellStyle name="Normal 23 2 3 2 4 2" xfId="31310"/>
    <cellStyle name="Normal 23 2 3 2 5" xfId="17579"/>
    <cellStyle name="Normal 23 2 3 2 5 2" xfId="37462"/>
    <cellStyle name="Normal 23 2 3 2 6" xfId="25157"/>
    <cellStyle name="Normal 23 2 3 3" xfId="5965"/>
    <cellStyle name="Normal 23 2 3 3 2" xfId="9065"/>
    <cellStyle name="Normal 23 2 3 3 2 2" xfId="15258"/>
    <cellStyle name="Normal 23 2 3 3 2 2 2" xfId="35141"/>
    <cellStyle name="Normal 23 2 3 3 2 3" xfId="21410"/>
    <cellStyle name="Normal 23 2 3 3 2 3 2" xfId="41293"/>
    <cellStyle name="Normal 23 2 3 3 2 4" xfId="28988"/>
    <cellStyle name="Normal 23 2 3 3 3" xfId="12192"/>
    <cellStyle name="Normal 23 2 3 3 3 2" xfId="32075"/>
    <cellStyle name="Normal 23 2 3 3 4" xfId="18344"/>
    <cellStyle name="Normal 23 2 3 3 4 2" xfId="38227"/>
    <cellStyle name="Normal 23 2 3 3 5" xfId="25922"/>
    <cellStyle name="Normal 23 2 3 4" xfId="7530"/>
    <cellStyle name="Normal 23 2 3 4 2" xfId="13724"/>
    <cellStyle name="Normal 23 2 3 4 2 2" xfId="33607"/>
    <cellStyle name="Normal 23 2 3 4 3" xfId="19876"/>
    <cellStyle name="Normal 23 2 3 4 3 2" xfId="39759"/>
    <cellStyle name="Normal 23 2 3 4 4" xfId="27454"/>
    <cellStyle name="Normal 23 2 3 5" xfId="10658"/>
    <cellStyle name="Normal 23 2 3 5 2" xfId="30541"/>
    <cellStyle name="Normal 23 2 3 6" xfId="16810"/>
    <cellStyle name="Normal 23 2 3 6 2" xfId="36693"/>
    <cellStyle name="Normal 23 2 3 7" xfId="24388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2 2" xfId="35911"/>
    <cellStyle name="Normal 23 2 4 2 2 2 3" xfId="22180"/>
    <cellStyle name="Normal 23 2 4 2 2 2 3 2" xfId="42063"/>
    <cellStyle name="Normal 23 2 4 2 2 2 4" xfId="29758"/>
    <cellStyle name="Normal 23 2 4 2 2 3" xfId="12962"/>
    <cellStyle name="Normal 23 2 4 2 2 3 2" xfId="32845"/>
    <cellStyle name="Normal 23 2 4 2 2 4" xfId="19114"/>
    <cellStyle name="Normal 23 2 4 2 2 4 2" xfId="38997"/>
    <cellStyle name="Normal 23 2 4 2 2 5" xfId="26692"/>
    <cellStyle name="Normal 23 2 4 2 3" xfId="8300"/>
    <cellStyle name="Normal 23 2 4 2 3 2" xfId="14494"/>
    <cellStyle name="Normal 23 2 4 2 3 2 2" xfId="34377"/>
    <cellStyle name="Normal 23 2 4 2 3 3" xfId="20646"/>
    <cellStyle name="Normal 23 2 4 2 3 3 2" xfId="40529"/>
    <cellStyle name="Normal 23 2 4 2 3 4" xfId="28224"/>
    <cellStyle name="Normal 23 2 4 2 4" xfId="11428"/>
    <cellStyle name="Normal 23 2 4 2 4 2" xfId="31311"/>
    <cellStyle name="Normal 23 2 4 2 5" xfId="17580"/>
    <cellStyle name="Normal 23 2 4 2 5 2" xfId="37463"/>
    <cellStyle name="Normal 23 2 4 2 6" xfId="25158"/>
    <cellStyle name="Normal 23 2 4 3" xfId="5966"/>
    <cellStyle name="Normal 23 2 4 3 2" xfId="9066"/>
    <cellStyle name="Normal 23 2 4 3 2 2" xfId="15259"/>
    <cellStyle name="Normal 23 2 4 3 2 2 2" xfId="35142"/>
    <cellStyle name="Normal 23 2 4 3 2 3" xfId="21411"/>
    <cellStyle name="Normal 23 2 4 3 2 3 2" xfId="41294"/>
    <cellStyle name="Normal 23 2 4 3 2 4" xfId="28989"/>
    <cellStyle name="Normal 23 2 4 3 3" xfId="12193"/>
    <cellStyle name="Normal 23 2 4 3 3 2" xfId="32076"/>
    <cellStyle name="Normal 23 2 4 3 4" xfId="18345"/>
    <cellStyle name="Normal 23 2 4 3 4 2" xfId="38228"/>
    <cellStyle name="Normal 23 2 4 3 5" xfId="25923"/>
    <cellStyle name="Normal 23 2 4 4" xfId="7531"/>
    <cellStyle name="Normal 23 2 4 4 2" xfId="13725"/>
    <cellStyle name="Normal 23 2 4 4 2 2" xfId="33608"/>
    <cellStyle name="Normal 23 2 4 4 3" xfId="19877"/>
    <cellStyle name="Normal 23 2 4 4 3 2" xfId="39760"/>
    <cellStyle name="Normal 23 2 4 4 4" xfId="27455"/>
    <cellStyle name="Normal 23 2 4 5" xfId="10659"/>
    <cellStyle name="Normal 23 2 4 5 2" xfId="30542"/>
    <cellStyle name="Normal 23 2 4 6" xfId="16811"/>
    <cellStyle name="Normal 23 2 4 6 2" xfId="36694"/>
    <cellStyle name="Normal 23 2 4 7" xfId="24389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2 2" xfId="35912"/>
    <cellStyle name="Normal 23 2 5 2 2 2 3" xfId="22181"/>
    <cellStyle name="Normal 23 2 5 2 2 2 3 2" xfId="42064"/>
    <cellStyle name="Normal 23 2 5 2 2 2 4" xfId="29759"/>
    <cellStyle name="Normal 23 2 5 2 2 3" xfId="12963"/>
    <cellStyle name="Normal 23 2 5 2 2 3 2" xfId="32846"/>
    <cellStyle name="Normal 23 2 5 2 2 4" xfId="19115"/>
    <cellStyle name="Normal 23 2 5 2 2 4 2" xfId="38998"/>
    <cellStyle name="Normal 23 2 5 2 2 5" xfId="26693"/>
    <cellStyle name="Normal 23 2 5 2 3" xfId="8301"/>
    <cellStyle name="Normal 23 2 5 2 3 2" xfId="14495"/>
    <cellStyle name="Normal 23 2 5 2 3 2 2" xfId="34378"/>
    <cellStyle name="Normal 23 2 5 2 3 3" xfId="20647"/>
    <cellStyle name="Normal 23 2 5 2 3 3 2" xfId="40530"/>
    <cellStyle name="Normal 23 2 5 2 3 4" xfId="28225"/>
    <cellStyle name="Normal 23 2 5 2 4" xfId="11429"/>
    <cellStyle name="Normal 23 2 5 2 4 2" xfId="31312"/>
    <cellStyle name="Normal 23 2 5 2 5" xfId="17581"/>
    <cellStyle name="Normal 23 2 5 2 5 2" xfId="37464"/>
    <cellStyle name="Normal 23 2 5 2 6" xfId="25159"/>
    <cellStyle name="Normal 23 2 5 3" xfId="5967"/>
    <cellStyle name="Normal 23 2 5 3 2" xfId="9067"/>
    <cellStyle name="Normal 23 2 5 3 2 2" xfId="15260"/>
    <cellStyle name="Normal 23 2 5 3 2 2 2" xfId="35143"/>
    <cellStyle name="Normal 23 2 5 3 2 3" xfId="21412"/>
    <cellStyle name="Normal 23 2 5 3 2 3 2" xfId="41295"/>
    <cellStyle name="Normal 23 2 5 3 2 4" xfId="28990"/>
    <cellStyle name="Normal 23 2 5 3 3" xfId="12194"/>
    <cellStyle name="Normal 23 2 5 3 3 2" xfId="32077"/>
    <cellStyle name="Normal 23 2 5 3 4" xfId="18346"/>
    <cellStyle name="Normal 23 2 5 3 4 2" xfId="38229"/>
    <cellStyle name="Normal 23 2 5 3 5" xfId="25924"/>
    <cellStyle name="Normal 23 2 5 4" xfId="7532"/>
    <cellStyle name="Normal 23 2 5 4 2" xfId="13726"/>
    <cellStyle name="Normal 23 2 5 4 2 2" xfId="33609"/>
    <cellStyle name="Normal 23 2 5 4 3" xfId="19878"/>
    <cellStyle name="Normal 23 2 5 4 3 2" xfId="39761"/>
    <cellStyle name="Normal 23 2 5 4 4" xfId="27456"/>
    <cellStyle name="Normal 23 2 5 5" xfId="10660"/>
    <cellStyle name="Normal 23 2 5 5 2" xfId="30543"/>
    <cellStyle name="Normal 23 2 5 6" xfId="16812"/>
    <cellStyle name="Normal 23 2 5 6 2" xfId="36695"/>
    <cellStyle name="Normal 23 2 5 7" xfId="24390"/>
    <cellStyle name="Normal 23 2 6" xfId="5121"/>
    <cellStyle name="Normal 23 2 6 2" xfId="6746"/>
    <cellStyle name="Normal 23 2 6 2 2" xfId="9832"/>
    <cellStyle name="Normal 23 2 6 2 2 2" xfId="16025"/>
    <cellStyle name="Normal 23 2 6 2 2 2 2" xfId="35908"/>
    <cellStyle name="Normal 23 2 6 2 2 3" xfId="22177"/>
    <cellStyle name="Normal 23 2 6 2 2 3 2" xfId="42060"/>
    <cellStyle name="Normal 23 2 6 2 2 4" xfId="29755"/>
    <cellStyle name="Normal 23 2 6 2 3" xfId="12959"/>
    <cellStyle name="Normal 23 2 6 2 3 2" xfId="32842"/>
    <cellStyle name="Normal 23 2 6 2 4" xfId="19111"/>
    <cellStyle name="Normal 23 2 6 2 4 2" xfId="38994"/>
    <cellStyle name="Normal 23 2 6 2 5" xfId="26689"/>
    <cellStyle name="Normal 23 2 6 3" xfId="8297"/>
    <cellStyle name="Normal 23 2 6 3 2" xfId="14491"/>
    <cellStyle name="Normal 23 2 6 3 2 2" xfId="34374"/>
    <cellStyle name="Normal 23 2 6 3 3" xfId="20643"/>
    <cellStyle name="Normal 23 2 6 3 3 2" xfId="40526"/>
    <cellStyle name="Normal 23 2 6 3 4" xfId="28221"/>
    <cellStyle name="Normal 23 2 6 4" xfId="11425"/>
    <cellStyle name="Normal 23 2 6 4 2" xfId="31308"/>
    <cellStyle name="Normal 23 2 6 5" xfId="17577"/>
    <cellStyle name="Normal 23 2 6 5 2" xfId="37460"/>
    <cellStyle name="Normal 23 2 6 6" xfId="25155"/>
    <cellStyle name="Normal 23 2 7" xfId="5963"/>
    <cellStyle name="Normal 23 2 7 2" xfId="9063"/>
    <cellStyle name="Normal 23 2 7 2 2" xfId="15256"/>
    <cellStyle name="Normal 23 2 7 2 2 2" xfId="35139"/>
    <cellStyle name="Normal 23 2 7 2 3" xfId="21408"/>
    <cellStyle name="Normal 23 2 7 2 3 2" xfId="41291"/>
    <cellStyle name="Normal 23 2 7 2 4" xfId="28986"/>
    <cellStyle name="Normal 23 2 7 3" xfId="12190"/>
    <cellStyle name="Normal 23 2 7 3 2" xfId="32073"/>
    <cellStyle name="Normal 23 2 7 4" xfId="18342"/>
    <cellStyle name="Normal 23 2 7 4 2" xfId="38225"/>
    <cellStyle name="Normal 23 2 7 5" xfId="25920"/>
    <cellStyle name="Normal 23 2 8" xfId="7528"/>
    <cellStyle name="Normal 23 2 8 2" xfId="13722"/>
    <cellStyle name="Normal 23 2 8 2 2" xfId="33605"/>
    <cellStyle name="Normal 23 2 8 3" xfId="19874"/>
    <cellStyle name="Normal 23 2 8 3 2" xfId="39757"/>
    <cellStyle name="Normal 23 2 8 4" xfId="27452"/>
    <cellStyle name="Normal 23 2 9" xfId="10656"/>
    <cellStyle name="Normal 23 2 9 2" xfId="30539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2 2" xfId="35913"/>
    <cellStyle name="Normal 23 3 2 2 2 3" xfId="22182"/>
    <cellStyle name="Normal 23 3 2 2 2 3 2" xfId="42065"/>
    <cellStyle name="Normal 23 3 2 2 2 4" xfId="29760"/>
    <cellStyle name="Normal 23 3 2 2 3" xfId="12964"/>
    <cellStyle name="Normal 23 3 2 2 3 2" xfId="32847"/>
    <cellStyle name="Normal 23 3 2 2 4" xfId="19116"/>
    <cellStyle name="Normal 23 3 2 2 4 2" xfId="38999"/>
    <cellStyle name="Normal 23 3 2 2 5" xfId="26694"/>
    <cellStyle name="Normal 23 3 2 3" xfId="8302"/>
    <cellStyle name="Normal 23 3 2 3 2" xfId="14496"/>
    <cellStyle name="Normal 23 3 2 3 2 2" xfId="34379"/>
    <cellStyle name="Normal 23 3 2 3 3" xfId="20648"/>
    <cellStyle name="Normal 23 3 2 3 3 2" xfId="40531"/>
    <cellStyle name="Normal 23 3 2 3 4" xfId="28226"/>
    <cellStyle name="Normal 23 3 2 4" xfId="11430"/>
    <cellStyle name="Normal 23 3 2 4 2" xfId="31313"/>
    <cellStyle name="Normal 23 3 2 5" xfId="17582"/>
    <cellStyle name="Normal 23 3 2 5 2" xfId="37465"/>
    <cellStyle name="Normal 23 3 2 6" xfId="25160"/>
    <cellStyle name="Normal 23 3 3" xfId="5968"/>
    <cellStyle name="Normal 23 3 3 2" xfId="9068"/>
    <cellStyle name="Normal 23 3 3 2 2" xfId="15261"/>
    <cellStyle name="Normal 23 3 3 2 2 2" xfId="35144"/>
    <cellStyle name="Normal 23 3 3 2 3" xfId="21413"/>
    <cellStyle name="Normal 23 3 3 2 3 2" xfId="41296"/>
    <cellStyle name="Normal 23 3 3 2 4" xfId="28991"/>
    <cellStyle name="Normal 23 3 3 3" xfId="12195"/>
    <cellStyle name="Normal 23 3 3 3 2" xfId="32078"/>
    <cellStyle name="Normal 23 3 3 4" xfId="18347"/>
    <cellStyle name="Normal 23 3 3 4 2" xfId="38230"/>
    <cellStyle name="Normal 23 3 3 5" xfId="25925"/>
    <cellStyle name="Normal 23 3 4" xfId="7533"/>
    <cellStyle name="Normal 23 3 4 2" xfId="13727"/>
    <cellStyle name="Normal 23 3 4 2 2" xfId="33610"/>
    <cellStyle name="Normal 23 3 4 3" xfId="19879"/>
    <cellStyle name="Normal 23 3 4 3 2" xfId="39762"/>
    <cellStyle name="Normal 23 3 4 4" xfId="27457"/>
    <cellStyle name="Normal 23 3 5" xfId="10661"/>
    <cellStyle name="Normal 23 3 5 2" xfId="30544"/>
    <cellStyle name="Normal 23 3 6" xfId="16813"/>
    <cellStyle name="Normal 23 3 6 2" xfId="36696"/>
    <cellStyle name="Normal 23 3 7" xfId="24391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2 2" xfId="35914"/>
    <cellStyle name="Normal 23 4 2 2 2 3" xfId="22183"/>
    <cellStyle name="Normal 23 4 2 2 2 3 2" xfId="42066"/>
    <cellStyle name="Normal 23 4 2 2 2 4" xfId="29761"/>
    <cellStyle name="Normal 23 4 2 2 3" xfId="12965"/>
    <cellStyle name="Normal 23 4 2 2 3 2" xfId="32848"/>
    <cellStyle name="Normal 23 4 2 2 4" xfId="19117"/>
    <cellStyle name="Normal 23 4 2 2 4 2" xfId="39000"/>
    <cellStyle name="Normal 23 4 2 2 5" xfId="26695"/>
    <cellStyle name="Normal 23 4 2 3" xfId="8303"/>
    <cellStyle name="Normal 23 4 2 3 2" xfId="14497"/>
    <cellStyle name="Normal 23 4 2 3 2 2" xfId="34380"/>
    <cellStyle name="Normal 23 4 2 3 3" xfId="20649"/>
    <cellStyle name="Normal 23 4 2 3 3 2" xfId="40532"/>
    <cellStyle name="Normal 23 4 2 3 4" xfId="28227"/>
    <cellStyle name="Normal 23 4 2 4" xfId="11431"/>
    <cellStyle name="Normal 23 4 2 4 2" xfId="31314"/>
    <cellStyle name="Normal 23 4 2 5" xfId="17583"/>
    <cellStyle name="Normal 23 4 2 5 2" xfId="37466"/>
    <cellStyle name="Normal 23 4 2 6" xfId="25161"/>
    <cellStyle name="Normal 23 4 3" xfId="5969"/>
    <cellStyle name="Normal 23 4 3 2" xfId="9069"/>
    <cellStyle name="Normal 23 4 3 2 2" xfId="15262"/>
    <cellStyle name="Normal 23 4 3 2 2 2" xfId="35145"/>
    <cellStyle name="Normal 23 4 3 2 3" xfId="21414"/>
    <cellStyle name="Normal 23 4 3 2 3 2" xfId="41297"/>
    <cellStyle name="Normal 23 4 3 2 4" xfId="28992"/>
    <cellStyle name="Normal 23 4 3 3" xfId="12196"/>
    <cellStyle name="Normal 23 4 3 3 2" xfId="32079"/>
    <cellStyle name="Normal 23 4 3 4" xfId="18348"/>
    <cellStyle name="Normal 23 4 3 4 2" xfId="38231"/>
    <cellStyle name="Normal 23 4 3 5" xfId="25926"/>
    <cellStyle name="Normal 23 4 4" xfId="7534"/>
    <cellStyle name="Normal 23 4 4 2" xfId="13728"/>
    <cellStyle name="Normal 23 4 4 2 2" xfId="33611"/>
    <cellStyle name="Normal 23 4 4 3" xfId="19880"/>
    <cellStyle name="Normal 23 4 4 3 2" xfId="39763"/>
    <cellStyle name="Normal 23 4 4 4" xfId="27458"/>
    <cellStyle name="Normal 23 4 5" xfId="10662"/>
    <cellStyle name="Normal 23 4 5 2" xfId="30545"/>
    <cellStyle name="Normal 23 4 6" xfId="16814"/>
    <cellStyle name="Normal 23 4 6 2" xfId="36697"/>
    <cellStyle name="Normal 23 4 7" xfId="24392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2 2" xfId="35915"/>
    <cellStyle name="Normal 23 5 2 2 2 3" xfId="22184"/>
    <cellStyle name="Normal 23 5 2 2 2 3 2" xfId="42067"/>
    <cellStyle name="Normal 23 5 2 2 2 4" xfId="29762"/>
    <cellStyle name="Normal 23 5 2 2 3" xfId="12966"/>
    <cellStyle name="Normal 23 5 2 2 3 2" xfId="32849"/>
    <cellStyle name="Normal 23 5 2 2 4" xfId="19118"/>
    <cellStyle name="Normal 23 5 2 2 4 2" xfId="39001"/>
    <cellStyle name="Normal 23 5 2 2 5" xfId="26696"/>
    <cellStyle name="Normal 23 5 2 3" xfId="8304"/>
    <cellStyle name="Normal 23 5 2 3 2" xfId="14498"/>
    <cellStyle name="Normal 23 5 2 3 2 2" xfId="34381"/>
    <cellStyle name="Normal 23 5 2 3 3" xfId="20650"/>
    <cellStyle name="Normal 23 5 2 3 3 2" xfId="40533"/>
    <cellStyle name="Normal 23 5 2 3 4" xfId="28228"/>
    <cellStyle name="Normal 23 5 2 4" xfId="11432"/>
    <cellStyle name="Normal 23 5 2 4 2" xfId="31315"/>
    <cellStyle name="Normal 23 5 2 5" xfId="17584"/>
    <cellStyle name="Normal 23 5 2 5 2" xfId="37467"/>
    <cellStyle name="Normal 23 5 2 6" xfId="25162"/>
    <cellStyle name="Normal 23 5 3" xfId="5970"/>
    <cellStyle name="Normal 23 5 3 2" xfId="9070"/>
    <cellStyle name="Normal 23 5 3 2 2" xfId="15263"/>
    <cellStyle name="Normal 23 5 3 2 2 2" xfId="35146"/>
    <cellStyle name="Normal 23 5 3 2 3" xfId="21415"/>
    <cellStyle name="Normal 23 5 3 2 3 2" xfId="41298"/>
    <cellStyle name="Normal 23 5 3 2 4" xfId="28993"/>
    <cellStyle name="Normal 23 5 3 3" xfId="12197"/>
    <cellStyle name="Normal 23 5 3 3 2" xfId="32080"/>
    <cellStyle name="Normal 23 5 3 4" xfId="18349"/>
    <cellStyle name="Normal 23 5 3 4 2" xfId="38232"/>
    <cellStyle name="Normal 23 5 3 5" xfId="25927"/>
    <cellStyle name="Normal 23 5 4" xfId="7535"/>
    <cellStyle name="Normal 23 5 4 2" xfId="13729"/>
    <cellStyle name="Normal 23 5 4 2 2" xfId="33612"/>
    <cellStyle name="Normal 23 5 4 3" xfId="19881"/>
    <cellStyle name="Normal 23 5 4 3 2" xfId="39764"/>
    <cellStyle name="Normal 23 5 4 4" xfId="27459"/>
    <cellStyle name="Normal 23 5 5" xfId="10663"/>
    <cellStyle name="Normal 23 5 5 2" xfId="30546"/>
    <cellStyle name="Normal 23 5 6" xfId="16815"/>
    <cellStyle name="Normal 23 5 6 2" xfId="36698"/>
    <cellStyle name="Normal 23 5 7" xfId="24393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2 2" xfId="35916"/>
    <cellStyle name="Normal 23 6 2 2 2 3" xfId="22185"/>
    <cellStyle name="Normal 23 6 2 2 2 3 2" xfId="42068"/>
    <cellStyle name="Normal 23 6 2 2 2 4" xfId="29763"/>
    <cellStyle name="Normal 23 6 2 2 3" xfId="12967"/>
    <cellStyle name="Normal 23 6 2 2 3 2" xfId="32850"/>
    <cellStyle name="Normal 23 6 2 2 4" xfId="19119"/>
    <cellStyle name="Normal 23 6 2 2 4 2" xfId="39002"/>
    <cellStyle name="Normal 23 6 2 2 5" xfId="26697"/>
    <cellStyle name="Normal 23 6 2 3" xfId="8305"/>
    <cellStyle name="Normal 23 6 2 3 2" xfId="14499"/>
    <cellStyle name="Normal 23 6 2 3 2 2" xfId="34382"/>
    <cellStyle name="Normal 23 6 2 3 3" xfId="20651"/>
    <cellStyle name="Normal 23 6 2 3 3 2" xfId="40534"/>
    <cellStyle name="Normal 23 6 2 3 4" xfId="28229"/>
    <cellStyle name="Normal 23 6 2 4" xfId="11433"/>
    <cellStyle name="Normal 23 6 2 4 2" xfId="31316"/>
    <cellStyle name="Normal 23 6 2 5" xfId="17585"/>
    <cellStyle name="Normal 23 6 2 5 2" xfId="37468"/>
    <cellStyle name="Normal 23 6 2 6" xfId="25163"/>
    <cellStyle name="Normal 23 6 3" xfId="5971"/>
    <cellStyle name="Normal 23 6 3 2" xfId="9071"/>
    <cellStyle name="Normal 23 6 3 2 2" xfId="15264"/>
    <cellStyle name="Normal 23 6 3 2 2 2" xfId="35147"/>
    <cellStyle name="Normal 23 6 3 2 3" xfId="21416"/>
    <cellStyle name="Normal 23 6 3 2 3 2" xfId="41299"/>
    <cellStyle name="Normal 23 6 3 2 4" xfId="28994"/>
    <cellStyle name="Normal 23 6 3 3" xfId="12198"/>
    <cellStyle name="Normal 23 6 3 3 2" xfId="32081"/>
    <cellStyle name="Normal 23 6 3 4" xfId="18350"/>
    <cellStyle name="Normal 23 6 3 4 2" xfId="38233"/>
    <cellStyle name="Normal 23 6 3 5" xfId="25928"/>
    <cellStyle name="Normal 23 6 4" xfId="7536"/>
    <cellStyle name="Normal 23 6 4 2" xfId="13730"/>
    <cellStyle name="Normal 23 6 4 2 2" xfId="33613"/>
    <cellStyle name="Normal 23 6 4 3" xfId="19882"/>
    <cellStyle name="Normal 23 6 4 3 2" xfId="39765"/>
    <cellStyle name="Normal 23 6 4 4" xfId="27460"/>
    <cellStyle name="Normal 23 6 5" xfId="10664"/>
    <cellStyle name="Normal 23 6 5 2" xfId="30547"/>
    <cellStyle name="Normal 23 6 6" xfId="16816"/>
    <cellStyle name="Normal 23 6 6 2" xfId="36699"/>
    <cellStyle name="Normal 23 6 7" xfId="24394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2 2" xfId="35907"/>
    <cellStyle name="Normal 23 8 2 2 3" xfId="22176"/>
    <cellStyle name="Normal 23 8 2 2 3 2" xfId="42059"/>
    <cellStyle name="Normal 23 8 2 2 4" xfId="29754"/>
    <cellStyle name="Normal 23 8 2 3" xfId="12958"/>
    <cellStyle name="Normal 23 8 2 3 2" xfId="32841"/>
    <cellStyle name="Normal 23 8 2 4" xfId="19110"/>
    <cellStyle name="Normal 23 8 2 4 2" xfId="38993"/>
    <cellStyle name="Normal 23 8 2 5" xfId="26688"/>
    <cellStyle name="Normal 23 8 3" xfId="8296"/>
    <cellStyle name="Normal 23 8 3 2" xfId="14490"/>
    <cellStyle name="Normal 23 8 3 2 2" xfId="34373"/>
    <cellStyle name="Normal 23 8 3 3" xfId="20642"/>
    <cellStyle name="Normal 23 8 3 3 2" xfId="40525"/>
    <cellStyle name="Normal 23 8 3 4" xfId="28220"/>
    <cellStyle name="Normal 23 8 4" xfId="11424"/>
    <cellStyle name="Normal 23 8 4 2" xfId="31307"/>
    <cellStyle name="Normal 23 8 5" xfId="17576"/>
    <cellStyle name="Normal 23 8 5 2" xfId="37459"/>
    <cellStyle name="Normal 23 8 6" xfId="25154"/>
    <cellStyle name="Normal 23 9" xfId="5962"/>
    <cellStyle name="Normal 23 9 2" xfId="9062"/>
    <cellStyle name="Normal 23 9 2 2" xfId="15255"/>
    <cellStyle name="Normal 23 9 2 2 2" xfId="35138"/>
    <cellStyle name="Normal 23 9 2 3" xfId="21407"/>
    <cellStyle name="Normal 23 9 2 3 2" xfId="41290"/>
    <cellStyle name="Normal 23 9 2 4" xfId="28985"/>
    <cellStyle name="Normal 23 9 3" xfId="12189"/>
    <cellStyle name="Normal 23 9 3 2" xfId="32072"/>
    <cellStyle name="Normal 23 9 4" xfId="18341"/>
    <cellStyle name="Normal 23 9 4 2" xfId="38224"/>
    <cellStyle name="Normal 23 9 5" xfId="25919"/>
    <cellStyle name="Normal 24" xfId="3671"/>
    <cellStyle name="Normal 24 10" xfId="7537"/>
    <cellStyle name="Normal 24 10 2" xfId="13731"/>
    <cellStyle name="Normal 24 10 2 2" xfId="33614"/>
    <cellStyle name="Normal 24 10 3" xfId="19883"/>
    <cellStyle name="Normal 24 10 3 2" xfId="39766"/>
    <cellStyle name="Normal 24 10 4" xfId="27461"/>
    <cellStyle name="Normal 24 11" xfId="10665"/>
    <cellStyle name="Normal 24 11 2" xfId="30548"/>
    <cellStyle name="Normal 24 12" xfId="16817"/>
    <cellStyle name="Normal 24 12 2" xfId="36700"/>
    <cellStyle name="Normal 24 13" xfId="24395"/>
    <cellStyle name="Normal 24 2" xfId="3672"/>
    <cellStyle name="Normal 24 2 10" xfId="16818"/>
    <cellStyle name="Normal 24 2 10 2" xfId="36701"/>
    <cellStyle name="Normal 24 2 11" xfId="24396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2 2" xfId="35919"/>
    <cellStyle name="Normal 24 2 2 2 2 2 3" xfId="22188"/>
    <cellStyle name="Normal 24 2 2 2 2 2 3 2" xfId="42071"/>
    <cellStyle name="Normal 24 2 2 2 2 2 4" xfId="29766"/>
    <cellStyle name="Normal 24 2 2 2 2 3" xfId="12970"/>
    <cellStyle name="Normal 24 2 2 2 2 3 2" xfId="32853"/>
    <cellStyle name="Normal 24 2 2 2 2 4" xfId="19122"/>
    <cellStyle name="Normal 24 2 2 2 2 4 2" xfId="39005"/>
    <cellStyle name="Normal 24 2 2 2 2 5" xfId="26700"/>
    <cellStyle name="Normal 24 2 2 2 3" xfId="8308"/>
    <cellStyle name="Normal 24 2 2 2 3 2" xfId="14502"/>
    <cellStyle name="Normal 24 2 2 2 3 2 2" xfId="34385"/>
    <cellStyle name="Normal 24 2 2 2 3 3" xfId="20654"/>
    <cellStyle name="Normal 24 2 2 2 3 3 2" xfId="40537"/>
    <cellStyle name="Normal 24 2 2 2 3 4" xfId="28232"/>
    <cellStyle name="Normal 24 2 2 2 4" xfId="11436"/>
    <cellStyle name="Normal 24 2 2 2 4 2" xfId="31319"/>
    <cellStyle name="Normal 24 2 2 2 5" xfId="17588"/>
    <cellStyle name="Normal 24 2 2 2 5 2" xfId="37471"/>
    <cellStyle name="Normal 24 2 2 2 6" xfId="25166"/>
    <cellStyle name="Normal 24 2 2 3" xfId="5974"/>
    <cellStyle name="Normal 24 2 2 3 2" xfId="9074"/>
    <cellStyle name="Normal 24 2 2 3 2 2" xfId="15267"/>
    <cellStyle name="Normal 24 2 2 3 2 2 2" xfId="35150"/>
    <cellStyle name="Normal 24 2 2 3 2 3" xfId="21419"/>
    <cellStyle name="Normal 24 2 2 3 2 3 2" xfId="41302"/>
    <cellStyle name="Normal 24 2 2 3 2 4" xfId="28997"/>
    <cellStyle name="Normal 24 2 2 3 3" xfId="12201"/>
    <cellStyle name="Normal 24 2 2 3 3 2" xfId="32084"/>
    <cellStyle name="Normal 24 2 2 3 4" xfId="18353"/>
    <cellStyle name="Normal 24 2 2 3 4 2" xfId="38236"/>
    <cellStyle name="Normal 24 2 2 3 5" xfId="25931"/>
    <cellStyle name="Normal 24 2 2 4" xfId="7539"/>
    <cellStyle name="Normal 24 2 2 4 2" xfId="13733"/>
    <cellStyle name="Normal 24 2 2 4 2 2" xfId="33616"/>
    <cellStyle name="Normal 24 2 2 4 3" xfId="19885"/>
    <cellStyle name="Normal 24 2 2 4 3 2" xfId="39768"/>
    <cellStyle name="Normal 24 2 2 4 4" xfId="27463"/>
    <cellStyle name="Normal 24 2 2 5" xfId="10667"/>
    <cellStyle name="Normal 24 2 2 5 2" xfId="30550"/>
    <cellStyle name="Normal 24 2 2 6" xfId="16819"/>
    <cellStyle name="Normal 24 2 2 6 2" xfId="36702"/>
    <cellStyle name="Normal 24 2 2 7" xfId="24397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2 2" xfId="35920"/>
    <cellStyle name="Normal 24 2 3 2 2 2 3" xfId="22189"/>
    <cellStyle name="Normal 24 2 3 2 2 2 3 2" xfId="42072"/>
    <cellStyle name="Normal 24 2 3 2 2 2 4" xfId="29767"/>
    <cellStyle name="Normal 24 2 3 2 2 3" xfId="12971"/>
    <cellStyle name="Normal 24 2 3 2 2 3 2" xfId="32854"/>
    <cellStyle name="Normal 24 2 3 2 2 4" xfId="19123"/>
    <cellStyle name="Normal 24 2 3 2 2 4 2" xfId="39006"/>
    <cellStyle name="Normal 24 2 3 2 2 5" xfId="26701"/>
    <cellStyle name="Normal 24 2 3 2 3" xfId="8309"/>
    <cellStyle name="Normal 24 2 3 2 3 2" xfId="14503"/>
    <cellStyle name="Normal 24 2 3 2 3 2 2" xfId="34386"/>
    <cellStyle name="Normal 24 2 3 2 3 3" xfId="20655"/>
    <cellStyle name="Normal 24 2 3 2 3 3 2" xfId="40538"/>
    <cellStyle name="Normal 24 2 3 2 3 4" xfId="28233"/>
    <cellStyle name="Normal 24 2 3 2 4" xfId="11437"/>
    <cellStyle name="Normal 24 2 3 2 4 2" xfId="31320"/>
    <cellStyle name="Normal 24 2 3 2 5" xfId="17589"/>
    <cellStyle name="Normal 24 2 3 2 5 2" xfId="37472"/>
    <cellStyle name="Normal 24 2 3 2 6" xfId="25167"/>
    <cellStyle name="Normal 24 2 3 3" xfId="5975"/>
    <cellStyle name="Normal 24 2 3 3 2" xfId="9075"/>
    <cellStyle name="Normal 24 2 3 3 2 2" xfId="15268"/>
    <cellStyle name="Normal 24 2 3 3 2 2 2" xfId="35151"/>
    <cellStyle name="Normal 24 2 3 3 2 3" xfId="21420"/>
    <cellStyle name="Normal 24 2 3 3 2 3 2" xfId="41303"/>
    <cellStyle name="Normal 24 2 3 3 2 4" xfId="28998"/>
    <cellStyle name="Normal 24 2 3 3 3" xfId="12202"/>
    <cellStyle name="Normal 24 2 3 3 3 2" xfId="32085"/>
    <cellStyle name="Normal 24 2 3 3 4" xfId="18354"/>
    <cellStyle name="Normal 24 2 3 3 4 2" xfId="38237"/>
    <cellStyle name="Normal 24 2 3 3 5" xfId="25932"/>
    <cellStyle name="Normal 24 2 3 4" xfId="7540"/>
    <cellStyle name="Normal 24 2 3 4 2" xfId="13734"/>
    <cellStyle name="Normal 24 2 3 4 2 2" xfId="33617"/>
    <cellStyle name="Normal 24 2 3 4 3" xfId="19886"/>
    <cellStyle name="Normal 24 2 3 4 3 2" xfId="39769"/>
    <cellStyle name="Normal 24 2 3 4 4" xfId="27464"/>
    <cellStyle name="Normal 24 2 3 5" xfId="10668"/>
    <cellStyle name="Normal 24 2 3 5 2" xfId="30551"/>
    <cellStyle name="Normal 24 2 3 6" xfId="16820"/>
    <cellStyle name="Normal 24 2 3 6 2" xfId="36703"/>
    <cellStyle name="Normal 24 2 3 7" xfId="24398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2 2" xfId="35921"/>
    <cellStyle name="Normal 24 2 4 2 2 2 3" xfId="22190"/>
    <cellStyle name="Normal 24 2 4 2 2 2 3 2" xfId="42073"/>
    <cellStyle name="Normal 24 2 4 2 2 2 4" xfId="29768"/>
    <cellStyle name="Normal 24 2 4 2 2 3" xfId="12972"/>
    <cellStyle name="Normal 24 2 4 2 2 3 2" xfId="32855"/>
    <cellStyle name="Normal 24 2 4 2 2 4" xfId="19124"/>
    <cellStyle name="Normal 24 2 4 2 2 4 2" xfId="39007"/>
    <cellStyle name="Normal 24 2 4 2 2 5" xfId="26702"/>
    <cellStyle name="Normal 24 2 4 2 3" xfId="8310"/>
    <cellStyle name="Normal 24 2 4 2 3 2" xfId="14504"/>
    <cellStyle name="Normal 24 2 4 2 3 2 2" xfId="34387"/>
    <cellStyle name="Normal 24 2 4 2 3 3" xfId="20656"/>
    <cellStyle name="Normal 24 2 4 2 3 3 2" xfId="40539"/>
    <cellStyle name="Normal 24 2 4 2 3 4" xfId="28234"/>
    <cellStyle name="Normal 24 2 4 2 4" xfId="11438"/>
    <cellStyle name="Normal 24 2 4 2 4 2" xfId="31321"/>
    <cellStyle name="Normal 24 2 4 2 5" xfId="17590"/>
    <cellStyle name="Normal 24 2 4 2 5 2" xfId="37473"/>
    <cellStyle name="Normal 24 2 4 2 6" xfId="25168"/>
    <cellStyle name="Normal 24 2 4 3" xfId="5976"/>
    <cellStyle name="Normal 24 2 4 3 2" xfId="9076"/>
    <cellStyle name="Normal 24 2 4 3 2 2" xfId="15269"/>
    <cellStyle name="Normal 24 2 4 3 2 2 2" xfId="35152"/>
    <cellStyle name="Normal 24 2 4 3 2 3" xfId="21421"/>
    <cellStyle name="Normal 24 2 4 3 2 3 2" xfId="41304"/>
    <cellStyle name="Normal 24 2 4 3 2 4" xfId="28999"/>
    <cellStyle name="Normal 24 2 4 3 3" xfId="12203"/>
    <cellStyle name="Normal 24 2 4 3 3 2" xfId="32086"/>
    <cellStyle name="Normal 24 2 4 3 4" xfId="18355"/>
    <cellStyle name="Normal 24 2 4 3 4 2" xfId="38238"/>
    <cellStyle name="Normal 24 2 4 3 5" xfId="25933"/>
    <cellStyle name="Normal 24 2 4 4" xfId="7541"/>
    <cellStyle name="Normal 24 2 4 4 2" xfId="13735"/>
    <cellStyle name="Normal 24 2 4 4 2 2" xfId="33618"/>
    <cellStyle name="Normal 24 2 4 4 3" xfId="19887"/>
    <cellStyle name="Normal 24 2 4 4 3 2" xfId="39770"/>
    <cellStyle name="Normal 24 2 4 4 4" xfId="27465"/>
    <cellStyle name="Normal 24 2 4 5" xfId="10669"/>
    <cellStyle name="Normal 24 2 4 5 2" xfId="30552"/>
    <cellStyle name="Normal 24 2 4 6" xfId="16821"/>
    <cellStyle name="Normal 24 2 4 6 2" xfId="36704"/>
    <cellStyle name="Normal 24 2 4 7" xfId="24399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2 2" xfId="35922"/>
    <cellStyle name="Normal 24 2 5 2 2 2 3" xfId="22191"/>
    <cellStyle name="Normal 24 2 5 2 2 2 3 2" xfId="42074"/>
    <cellStyle name="Normal 24 2 5 2 2 2 4" xfId="29769"/>
    <cellStyle name="Normal 24 2 5 2 2 3" xfId="12973"/>
    <cellStyle name="Normal 24 2 5 2 2 3 2" xfId="32856"/>
    <cellStyle name="Normal 24 2 5 2 2 4" xfId="19125"/>
    <cellStyle name="Normal 24 2 5 2 2 4 2" xfId="39008"/>
    <cellStyle name="Normal 24 2 5 2 2 5" xfId="26703"/>
    <cellStyle name="Normal 24 2 5 2 3" xfId="8311"/>
    <cellStyle name="Normal 24 2 5 2 3 2" xfId="14505"/>
    <cellStyle name="Normal 24 2 5 2 3 2 2" xfId="34388"/>
    <cellStyle name="Normal 24 2 5 2 3 3" xfId="20657"/>
    <cellStyle name="Normal 24 2 5 2 3 3 2" xfId="40540"/>
    <cellStyle name="Normal 24 2 5 2 3 4" xfId="28235"/>
    <cellStyle name="Normal 24 2 5 2 4" xfId="11439"/>
    <cellStyle name="Normal 24 2 5 2 4 2" xfId="31322"/>
    <cellStyle name="Normal 24 2 5 2 5" xfId="17591"/>
    <cellStyle name="Normal 24 2 5 2 5 2" xfId="37474"/>
    <cellStyle name="Normal 24 2 5 2 6" xfId="25169"/>
    <cellStyle name="Normal 24 2 5 3" xfId="5977"/>
    <cellStyle name="Normal 24 2 5 3 2" xfId="9077"/>
    <cellStyle name="Normal 24 2 5 3 2 2" xfId="15270"/>
    <cellStyle name="Normal 24 2 5 3 2 2 2" xfId="35153"/>
    <cellStyle name="Normal 24 2 5 3 2 3" xfId="21422"/>
    <cellStyle name="Normal 24 2 5 3 2 3 2" xfId="41305"/>
    <cellStyle name="Normal 24 2 5 3 2 4" xfId="29000"/>
    <cellStyle name="Normal 24 2 5 3 3" xfId="12204"/>
    <cellStyle name="Normal 24 2 5 3 3 2" xfId="32087"/>
    <cellStyle name="Normal 24 2 5 3 4" xfId="18356"/>
    <cellStyle name="Normal 24 2 5 3 4 2" xfId="38239"/>
    <cellStyle name="Normal 24 2 5 3 5" xfId="25934"/>
    <cellStyle name="Normal 24 2 5 4" xfId="7542"/>
    <cellStyle name="Normal 24 2 5 4 2" xfId="13736"/>
    <cellStyle name="Normal 24 2 5 4 2 2" xfId="33619"/>
    <cellStyle name="Normal 24 2 5 4 3" xfId="19888"/>
    <cellStyle name="Normal 24 2 5 4 3 2" xfId="39771"/>
    <cellStyle name="Normal 24 2 5 4 4" xfId="27466"/>
    <cellStyle name="Normal 24 2 5 5" xfId="10670"/>
    <cellStyle name="Normal 24 2 5 5 2" xfId="30553"/>
    <cellStyle name="Normal 24 2 5 6" xfId="16822"/>
    <cellStyle name="Normal 24 2 5 6 2" xfId="36705"/>
    <cellStyle name="Normal 24 2 5 7" xfId="24400"/>
    <cellStyle name="Normal 24 2 6" xfId="5131"/>
    <cellStyle name="Normal 24 2 6 2" xfId="6756"/>
    <cellStyle name="Normal 24 2 6 2 2" xfId="9842"/>
    <cellStyle name="Normal 24 2 6 2 2 2" xfId="16035"/>
    <cellStyle name="Normal 24 2 6 2 2 2 2" xfId="35918"/>
    <cellStyle name="Normal 24 2 6 2 2 3" xfId="22187"/>
    <cellStyle name="Normal 24 2 6 2 2 3 2" xfId="42070"/>
    <cellStyle name="Normal 24 2 6 2 2 4" xfId="29765"/>
    <cellStyle name="Normal 24 2 6 2 3" xfId="12969"/>
    <cellStyle name="Normal 24 2 6 2 3 2" xfId="32852"/>
    <cellStyle name="Normal 24 2 6 2 4" xfId="19121"/>
    <cellStyle name="Normal 24 2 6 2 4 2" xfId="39004"/>
    <cellStyle name="Normal 24 2 6 2 5" xfId="26699"/>
    <cellStyle name="Normal 24 2 6 3" xfId="8307"/>
    <cellStyle name="Normal 24 2 6 3 2" xfId="14501"/>
    <cellStyle name="Normal 24 2 6 3 2 2" xfId="34384"/>
    <cellStyle name="Normal 24 2 6 3 3" xfId="20653"/>
    <cellStyle name="Normal 24 2 6 3 3 2" xfId="40536"/>
    <cellStyle name="Normal 24 2 6 3 4" xfId="28231"/>
    <cellStyle name="Normal 24 2 6 4" xfId="11435"/>
    <cellStyle name="Normal 24 2 6 4 2" xfId="31318"/>
    <cellStyle name="Normal 24 2 6 5" xfId="17587"/>
    <cellStyle name="Normal 24 2 6 5 2" xfId="37470"/>
    <cellStyle name="Normal 24 2 6 6" xfId="25165"/>
    <cellStyle name="Normal 24 2 7" xfId="5973"/>
    <cellStyle name="Normal 24 2 7 2" xfId="9073"/>
    <cellStyle name="Normal 24 2 7 2 2" xfId="15266"/>
    <cellStyle name="Normal 24 2 7 2 2 2" xfId="35149"/>
    <cellStyle name="Normal 24 2 7 2 3" xfId="21418"/>
    <cellStyle name="Normal 24 2 7 2 3 2" xfId="41301"/>
    <cellStyle name="Normal 24 2 7 2 4" xfId="28996"/>
    <cellStyle name="Normal 24 2 7 3" xfId="12200"/>
    <cellStyle name="Normal 24 2 7 3 2" xfId="32083"/>
    <cellStyle name="Normal 24 2 7 4" xfId="18352"/>
    <cellStyle name="Normal 24 2 7 4 2" xfId="38235"/>
    <cellStyle name="Normal 24 2 7 5" xfId="25930"/>
    <cellStyle name="Normal 24 2 8" xfId="7538"/>
    <cellStyle name="Normal 24 2 8 2" xfId="13732"/>
    <cellStyle name="Normal 24 2 8 2 2" xfId="33615"/>
    <cellStyle name="Normal 24 2 8 3" xfId="19884"/>
    <cellStyle name="Normal 24 2 8 3 2" xfId="39767"/>
    <cellStyle name="Normal 24 2 8 4" xfId="27462"/>
    <cellStyle name="Normal 24 2 9" xfId="10666"/>
    <cellStyle name="Normal 24 2 9 2" xfId="30549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2 2" xfId="35923"/>
    <cellStyle name="Normal 24 3 2 2 2 3" xfId="22192"/>
    <cellStyle name="Normal 24 3 2 2 2 3 2" xfId="42075"/>
    <cellStyle name="Normal 24 3 2 2 2 4" xfId="29770"/>
    <cellStyle name="Normal 24 3 2 2 3" xfId="12974"/>
    <cellStyle name="Normal 24 3 2 2 3 2" xfId="32857"/>
    <cellStyle name="Normal 24 3 2 2 4" xfId="19126"/>
    <cellStyle name="Normal 24 3 2 2 4 2" xfId="39009"/>
    <cellStyle name="Normal 24 3 2 2 5" xfId="26704"/>
    <cellStyle name="Normal 24 3 2 3" xfId="8312"/>
    <cellStyle name="Normal 24 3 2 3 2" xfId="14506"/>
    <cellStyle name="Normal 24 3 2 3 2 2" xfId="34389"/>
    <cellStyle name="Normal 24 3 2 3 3" xfId="20658"/>
    <cellStyle name="Normal 24 3 2 3 3 2" xfId="40541"/>
    <cellStyle name="Normal 24 3 2 3 4" xfId="28236"/>
    <cellStyle name="Normal 24 3 2 4" xfId="11440"/>
    <cellStyle name="Normal 24 3 2 4 2" xfId="31323"/>
    <cellStyle name="Normal 24 3 2 5" xfId="17592"/>
    <cellStyle name="Normal 24 3 2 5 2" xfId="37475"/>
    <cellStyle name="Normal 24 3 2 6" xfId="25170"/>
    <cellStyle name="Normal 24 3 3" xfId="5978"/>
    <cellStyle name="Normal 24 3 3 2" xfId="9078"/>
    <cellStyle name="Normal 24 3 3 2 2" xfId="15271"/>
    <cellStyle name="Normal 24 3 3 2 2 2" xfId="35154"/>
    <cellStyle name="Normal 24 3 3 2 3" xfId="21423"/>
    <cellStyle name="Normal 24 3 3 2 3 2" xfId="41306"/>
    <cellStyle name="Normal 24 3 3 2 4" xfId="29001"/>
    <cellStyle name="Normal 24 3 3 3" xfId="12205"/>
    <cellStyle name="Normal 24 3 3 3 2" xfId="32088"/>
    <cellStyle name="Normal 24 3 3 4" xfId="18357"/>
    <cellStyle name="Normal 24 3 3 4 2" xfId="38240"/>
    <cellStyle name="Normal 24 3 3 5" xfId="25935"/>
    <cellStyle name="Normal 24 3 4" xfId="7543"/>
    <cellStyle name="Normal 24 3 4 2" xfId="13737"/>
    <cellStyle name="Normal 24 3 4 2 2" xfId="33620"/>
    <cellStyle name="Normal 24 3 4 3" xfId="19889"/>
    <cellStyle name="Normal 24 3 4 3 2" xfId="39772"/>
    <cellStyle name="Normal 24 3 4 4" xfId="27467"/>
    <cellStyle name="Normal 24 3 5" xfId="10671"/>
    <cellStyle name="Normal 24 3 5 2" xfId="30554"/>
    <cellStyle name="Normal 24 3 6" xfId="16823"/>
    <cellStyle name="Normal 24 3 6 2" xfId="36706"/>
    <cellStyle name="Normal 24 3 7" xfId="24401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2 2" xfId="35924"/>
    <cellStyle name="Normal 24 4 2 2 2 3" xfId="22193"/>
    <cellStyle name="Normal 24 4 2 2 2 3 2" xfId="42076"/>
    <cellStyle name="Normal 24 4 2 2 2 4" xfId="29771"/>
    <cellStyle name="Normal 24 4 2 2 3" xfId="12975"/>
    <cellStyle name="Normal 24 4 2 2 3 2" xfId="32858"/>
    <cellStyle name="Normal 24 4 2 2 4" xfId="19127"/>
    <cellStyle name="Normal 24 4 2 2 4 2" xfId="39010"/>
    <cellStyle name="Normal 24 4 2 2 5" xfId="26705"/>
    <cellStyle name="Normal 24 4 2 3" xfId="8313"/>
    <cellStyle name="Normal 24 4 2 3 2" xfId="14507"/>
    <cellStyle name="Normal 24 4 2 3 2 2" xfId="34390"/>
    <cellStyle name="Normal 24 4 2 3 3" xfId="20659"/>
    <cellStyle name="Normal 24 4 2 3 3 2" xfId="40542"/>
    <cellStyle name="Normal 24 4 2 3 4" xfId="28237"/>
    <cellStyle name="Normal 24 4 2 4" xfId="11441"/>
    <cellStyle name="Normal 24 4 2 4 2" xfId="31324"/>
    <cellStyle name="Normal 24 4 2 5" xfId="17593"/>
    <cellStyle name="Normal 24 4 2 5 2" xfId="37476"/>
    <cellStyle name="Normal 24 4 2 6" xfId="25171"/>
    <cellStyle name="Normal 24 4 3" xfId="5979"/>
    <cellStyle name="Normal 24 4 3 2" xfId="9079"/>
    <cellStyle name="Normal 24 4 3 2 2" xfId="15272"/>
    <cellStyle name="Normal 24 4 3 2 2 2" xfId="35155"/>
    <cellStyle name="Normal 24 4 3 2 3" xfId="21424"/>
    <cellStyle name="Normal 24 4 3 2 3 2" xfId="41307"/>
    <cellStyle name="Normal 24 4 3 2 4" xfId="29002"/>
    <cellStyle name="Normal 24 4 3 3" xfId="12206"/>
    <cellStyle name="Normal 24 4 3 3 2" xfId="32089"/>
    <cellStyle name="Normal 24 4 3 4" xfId="18358"/>
    <cellStyle name="Normal 24 4 3 4 2" xfId="38241"/>
    <cellStyle name="Normal 24 4 3 5" xfId="25936"/>
    <cellStyle name="Normal 24 4 4" xfId="7544"/>
    <cellStyle name="Normal 24 4 4 2" xfId="13738"/>
    <cellStyle name="Normal 24 4 4 2 2" xfId="33621"/>
    <cellStyle name="Normal 24 4 4 3" xfId="19890"/>
    <cellStyle name="Normal 24 4 4 3 2" xfId="39773"/>
    <cellStyle name="Normal 24 4 4 4" xfId="27468"/>
    <cellStyle name="Normal 24 4 5" xfId="10672"/>
    <cellStyle name="Normal 24 4 5 2" xfId="30555"/>
    <cellStyle name="Normal 24 4 6" xfId="16824"/>
    <cellStyle name="Normal 24 4 6 2" xfId="36707"/>
    <cellStyle name="Normal 24 4 7" xfId="24402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2 2" xfId="35925"/>
    <cellStyle name="Normal 24 5 2 2 2 3" xfId="22194"/>
    <cellStyle name="Normal 24 5 2 2 2 3 2" xfId="42077"/>
    <cellStyle name="Normal 24 5 2 2 2 4" xfId="29772"/>
    <cellStyle name="Normal 24 5 2 2 3" xfId="12976"/>
    <cellStyle name="Normal 24 5 2 2 3 2" xfId="32859"/>
    <cellStyle name="Normal 24 5 2 2 4" xfId="19128"/>
    <cellStyle name="Normal 24 5 2 2 4 2" xfId="39011"/>
    <cellStyle name="Normal 24 5 2 2 5" xfId="26706"/>
    <cellStyle name="Normal 24 5 2 3" xfId="8314"/>
    <cellStyle name="Normal 24 5 2 3 2" xfId="14508"/>
    <cellStyle name="Normal 24 5 2 3 2 2" xfId="34391"/>
    <cellStyle name="Normal 24 5 2 3 3" xfId="20660"/>
    <cellStyle name="Normal 24 5 2 3 3 2" xfId="40543"/>
    <cellStyle name="Normal 24 5 2 3 4" xfId="28238"/>
    <cellStyle name="Normal 24 5 2 4" xfId="11442"/>
    <cellStyle name="Normal 24 5 2 4 2" xfId="31325"/>
    <cellStyle name="Normal 24 5 2 5" xfId="17594"/>
    <cellStyle name="Normal 24 5 2 5 2" xfId="37477"/>
    <cellStyle name="Normal 24 5 2 6" xfId="25172"/>
    <cellStyle name="Normal 24 5 3" xfId="5980"/>
    <cellStyle name="Normal 24 5 3 2" xfId="9080"/>
    <cellStyle name="Normal 24 5 3 2 2" xfId="15273"/>
    <cellStyle name="Normal 24 5 3 2 2 2" xfId="35156"/>
    <cellStyle name="Normal 24 5 3 2 3" xfId="21425"/>
    <cellStyle name="Normal 24 5 3 2 3 2" xfId="41308"/>
    <cellStyle name="Normal 24 5 3 2 4" xfId="29003"/>
    <cellStyle name="Normal 24 5 3 3" xfId="12207"/>
    <cellStyle name="Normal 24 5 3 3 2" xfId="32090"/>
    <cellStyle name="Normal 24 5 3 4" xfId="18359"/>
    <cellStyle name="Normal 24 5 3 4 2" xfId="38242"/>
    <cellStyle name="Normal 24 5 3 5" xfId="25937"/>
    <cellStyle name="Normal 24 5 4" xfId="7545"/>
    <cellStyle name="Normal 24 5 4 2" xfId="13739"/>
    <cellStyle name="Normal 24 5 4 2 2" xfId="33622"/>
    <cellStyle name="Normal 24 5 4 3" xfId="19891"/>
    <cellStyle name="Normal 24 5 4 3 2" xfId="39774"/>
    <cellStyle name="Normal 24 5 4 4" xfId="27469"/>
    <cellStyle name="Normal 24 5 5" xfId="10673"/>
    <cellStyle name="Normal 24 5 5 2" xfId="30556"/>
    <cellStyle name="Normal 24 5 6" xfId="16825"/>
    <cellStyle name="Normal 24 5 6 2" xfId="36708"/>
    <cellStyle name="Normal 24 5 7" xfId="24403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2 2" xfId="35926"/>
    <cellStyle name="Normal 24 6 2 2 2 3" xfId="22195"/>
    <cellStyle name="Normal 24 6 2 2 2 3 2" xfId="42078"/>
    <cellStyle name="Normal 24 6 2 2 2 4" xfId="29773"/>
    <cellStyle name="Normal 24 6 2 2 3" xfId="12977"/>
    <cellStyle name="Normal 24 6 2 2 3 2" xfId="32860"/>
    <cellStyle name="Normal 24 6 2 2 4" xfId="19129"/>
    <cellStyle name="Normal 24 6 2 2 4 2" xfId="39012"/>
    <cellStyle name="Normal 24 6 2 2 5" xfId="26707"/>
    <cellStyle name="Normal 24 6 2 3" xfId="8315"/>
    <cellStyle name="Normal 24 6 2 3 2" xfId="14509"/>
    <cellStyle name="Normal 24 6 2 3 2 2" xfId="34392"/>
    <cellStyle name="Normal 24 6 2 3 3" xfId="20661"/>
    <cellStyle name="Normal 24 6 2 3 3 2" xfId="40544"/>
    <cellStyle name="Normal 24 6 2 3 4" xfId="28239"/>
    <cellStyle name="Normal 24 6 2 4" xfId="11443"/>
    <cellStyle name="Normal 24 6 2 4 2" xfId="31326"/>
    <cellStyle name="Normal 24 6 2 5" xfId="17595"/>
    <cellStyle name="Normal 24 6 2 5 2" xfId="37478"/>
    <cellStyle name="Normal 24 6 2 6" xfId="25173"/>
    <cellStyle name="Normal 24 6 3" xfId="5981"/>
    <cellStyle name="Normal 24 6 3 2" xfId="9081"/>
    <cellStyle name="Normal 24 6 3 2 2" xfId="15274"/>
    <cellStyle name="Normal 24 6 3 2 2 2" xfId="35157"/>
    <cellStyle name="Normal 24 6 3 2 3" xfId="21426"/>
    <cellStyle name="Normal 24 6 3 2 3 2" xfId="41309"/>
    <cellStyle name="Normal 24 6 3 2 4" xfId="29004"/>
    <cellStyle name="Normal 24 6 3 3" xfId="12208"/>
    <cellStyle name="Normal 24 6 3 3 2" xfId="32091"/>
    <cellStyle name="Normal 24 6 3 4" xfId="18360"/>
    <cellStyle name="Normal 24 6 3 4 2" xfId="38243"/>
    <cellStyle name="Normal 24 6 3 5" xfId="25938"/>
    <cellStyle name="Normal 24 6 4" xfId="7546"/>
    <cellStyle name="Normal 24 6 4 2" xfId="13740"/>
    <cellStyle name="Normal 24 6 4 2 2" xfId="33623"/>
    <cellStyle name="Normal 24 6 4 3" xfId="19892"/>
    <cellStyle name="Normal 24 6 4 3 2" xfId="39775"/>
    <cellStyle name="Normal 24 6 4 4" xfId="27470"/>
    <cellStyle name="Normal 24 6 5" xfId="10674"/>
    <cellStyle name="Normal 24 6 5 2" xfId="30557"/>
    <cellStyle name="Normal 24 6 6" xfId="16826"/>
    <cellStyle name="Normal 24 6 6 2" xfId="36709"/>
    <cellStyle name="Normal 24 6 7" xfId="24404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2 2" xfId="35917"/>
    <cellStyle name="Normal 24 8 2 2 3" xfId="22186"/>
    <cellStyle name="Normal 24 8 2 2 3 2" xfId="42069"/>
    <cellStyle name="Normal 24 8 2 2 4" xfId="29764"/>
    <cellStyle name="Normal 24 8 2 3" xfId="12968"/>
    <cellStyle name="Normal 24 8 2 3 2" xfId="32851"/>
    <cellStyle name="Normal 24 8 2 4" xfId="19120"/>
    <cellStyle name="Normal 24 8 2 4 2" xfId="39003"/>
    <cellStyle name="Normal 24 8 2 5" xfId="26698"/>
    <cellStyle name="Normal 24 8 3" xfId="8306"/>
    <cellStyle name="Normal 24 8 3 2" xfId="14500"/>
    <cellStyle name="Normal 24 8 3 2 2" xfId="34383"/>
    <cellStyle name="Normal 24 8 3 3" xfId="20652"/>
    <cellStyle name="Normal 24 8 3 3 2" xfId="40535"/>
    <cellStyle name="Normal 24 8 3 4" xfId="28230"/>
    <cellStyle name="Normal 24 8 4" xfId="11434"/>
    <cellStyle name="Normal 24 8 4 2" xfId="31317"/>
    <cellStyle name="Normal 24 8 5" xfId="17586"/>
    <cellStyle name="Normal 24 8 5 2" xfId="37469"/>
    <cellStyle name="Normal 24 8 6" xfId="25164"/>
    <cellStyle name="Normal 24 9" xfId="5972"/>
    <cellStyle name="Normal 24 9 2" xfId="9072"/>
    <cellStyle name="Normal 24 9 2 2" xfId="15265"/>
    <cellStyle name="Normal 24 9 2 2 2" xfId="35148"/>
    <cellStyle name="Normal 24 9 2 3" xfId="21417"/>
    <cellStyle name="Normal 24 9 2 3 2" xfId="41300"/>
    <cellStyle name="Normal 24 9 2 4" xfId="28995"/>
    <cellStyle name="Normal 24 9 3" xfId="12199"/>
    <cellStyle name="Normal 24 9 3 2" xfId="32082"/>
    <cellStyle name="Normal 24 9 4" xfId="18351"/>
    <cellStyle name="Normal 24 9 4 2" xfId="38234"/>
    <cellStyle name="Normal 24 9 5" xfId="25929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2 2" xfId="33624"/>
    <cellStyle name="Normal 26 10 3" xfId="19893"/>
    <cellStyle name="Normal 26 10 3 2" xfId="39776"/>
    <cellStyle name="Normal 26 10 4" xfId="27471"/>
    <cellStyle name="Normal 26 11" xfId="10675"/>
    <cellStyle name="Normal 26 11 2" xfId="30558"/>
    <cellStyle name="Normal 26 12" xfId="16827"/>
    <cellStyle name="Normal 26 12 2" xfId="36710"/>
    <cellStyle name="Normal 26 13" xfId="3705"/>
    <cellStyle name="Normal 26 13 2" xfId="24405"/>
    <cellStyle name="Normal 26 2" xfId="3706"/>
    <cellStyle name="Normal 26 2 10" xfId="16828"/>
    <cellStyle name="Normal 26 2 10 2" xfId="36711"/>
    <cellStyle name="Normal 26 2 11" xfId="23252"/>
    <cellStyle name="Normal 26 2 12" xfId="24406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2 2" xfId="35929"/>
    <cellStyle name="Normal 26 2 2 2 2 2 3" xfId="22198"/>
    <cellStyle name="Normal 26 2 2 2 2 2 3 2" xfId="42081"/>
    <cellStyle name="Normal 26 2 2 2 2 2 4" xfId="29776"/>
    <cellStyle name="Normal 26 2 2 2 2 3" xfId="12980"/>
    <cellStyle name="Normal 26 2 2 2 2 3 2" xfId="32863"/>
    <cellStyle name="Normal 26 2 2 2 2 4" xfId="19132"/>
    <cellStyle name="Normal 26 2 2 2 2 4 2" xfId="39015"/>
    <cellStyle name="Normal 26 2 2 2 2 5" xfId="26710"/>
    <cellStyle name="Normal 26 2 2 2 3" xfId="8318"/>
    <cellStyle name="Normal 26 2 2 2 3 2" xfId="14512"/>
    <cellStyle name="Normal 26 2 2 2 3 2 2" xfId="34395"/>
    <cellStyle name="Normal 26 2 2 2 3 3" xfId="20664"/>
    <cellStyle name="Normal 26 2 2 2 3 3 2" xfId="40547"/>
    <cellStyle name="Normal 26 2 2 2 3 4" xfId="28242"/>
    <cellStyle name="Normal 26 2 2 2 4" xfId="11446"/>
    <cellStyle name="Normal 26 2 2 2 4 2" xfId="31329"/>
    <cellStyle name="Normal 26 2 2 2 5" xfId="17598"/>
    <cellStyle name="Normal 26 2 2 2 5 2" xfId="37481"/>
    <cellStyle name="Normal 26 2 2 2 6" xfId="25176"/>
    <cellStyle name="Normal 26 2 2 3" xfId="5984"/>
    <cellStyle name="Normal 26 2 2 3 2" xfId="9084"/>
    <cellStyle name="Normal 26 2 2 3 2 2" xfId="15277"/>
    <cellStyle name="Normal 26 2 2 3 2 2 2" xfId="35160"/>
    <cellStyle name="Normal 26 2 2 3 2 3" xfId="21429"/>
    <cellStyle name="Normal 26 2 2 3 2 3 2" xfId="41312"/>
    <cellStyle name="Normal 26 2 2 3 2 4" xfId="29007"/>
    <cellStyle name="Normal 26 2 2 3 3" xfId="12211"/>
    <cellStyle name="Normal 26 2 2 3 3 2" xfId="32094"/>
    <cellStyle name="Normal 26 2 2 3 4" xfId="18363"/>
    <cellStyle name="Normal 26 2 2 3 4 2" xfId="38246"/>
    <cellStyle name="Normal 26 2 2 3 5" xfId="25941"/>
    <cellStyle name="Normal 26 2 2 4" xfId="7549"/>
    <cellStyle name="Normal 26 2 2 4 2" xfId="13743"/>
    <cellStyle name="Normal 26 2 2 4 2 2" xfId="33626"/>
    <cellStyle name="Normal 26 2 2 4 3" xfId="19895"/>
    <cellStyle name="Normal 26 2 2 4 3 2" xfId="39778"/>
    <cellStyle name="Normal 26 2 2 4 4" xfId="27473"/>
    <cellStyle name="Normal 26 2 2 5" xfId="10677"/>
    <cellStyle name="Normal 26 2 2 5 2" xfId="30560"/>
    <cellStyle name="Normal 26 2 2 6" xfId="16829"/>
    <cellStyle name="Normal 26 2 2 6 2" xfId="36712"/>
    <cellStyle name="Normal 26 2 2 7" xfId="24407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2 2" xfId="35930"/>
    <cellStyle name="Normal 26 2 3 2 2 2 3" xfId="22199"/>
    <cellStyle name="Normal 26 2 3 2 2 2 3 2" xfId="42082"/>
    <cellStyle name="Normal 26 2 3 2 2 2 4" xfId="29777"/>
    <cellStyle name="Normal 26 2 3 2 2 3" xfId="12981"/>
    <cellStyle name="Normal 26 2 3 2 2 3 2" xfId="32864"/>
    <cellStyle name="Normal 26 2 3 2 2 4" xfId="19133"/>
    <cellStyle name="Normal 26 2 3 2 2 4 2" xfId="39016"/>
    <cellStyle name="Normal 26 2 3 2 2 5" xfId="26711"/>
    <cellStyle name="Normal 26 2 3 2 3" xfId="8319"/>
    <cellStyle name="Normal 26 2 3 2 3 2" xfId="14513"/>
    <cellStyle name="Normal 26 2 3 2 3 2 2" xfId="34396"/>
    <cellStyle name="Normal 26 2 3 2 3 3" xfId="20665"/>
    <cellStyle name="Normal 26 2 3 2 3 3 2" xfId="40548"/>
    <cellStyle name="Normal 26 2 3 2 3 4" xfId="28243"/>
    <cellStyle name="Normal 26 2 3 2 4" xfId="11447"/>
    <cellStyle name="Normal 26 2 3 2 4 2" xfId="31330"/>
    <cellStyle name="Normal 26 2 3 2 5" xfId="17599"/>
    <cellStyle name="Normal 26 2 3 2 5 2" xfId="37482"/>
    <cellStyle name="Normal 26 2 3 2 6" xfId="25177"/>
    <cellStyle name="Normal 26 2 3 3" xfId="5985"/>
    <cellStyle name="Normal 26 2 3 3 2" xfId="9085"/>
    <cellStyle name="Normal 26 2 3 3 2 2" xfId="15278"/>
    <cellStyle name="Normal 26 2 3 3 2 2 2" xfId="35161"/>
    <cellStyle name="Normal 26 2 3 3 2 3" xfId="21430"/>
    <cellStyle name="Normal 26 2 3 3 2 3 2" xfId="41313"/>
    <cellStyle name="Normal 26 2 3 3 2 4" xfId="29008"/>
    <cellStyle name="Normal 26 2 3 3 3" xfId="12212"/>
    <cellStyle name="Normal 26 2 3 3 3 2" xfId="32095"/>
    <cellStyle name="Normal 26 2 3 3 4" xfId="18364"/>
    <cellStyle name="Normal 26 2 3 3 4 2" xfId="38247"/>
    <cellStyle name="Normal 26 2 3 3 5" xfId="25942"/>
    <cellStyle name="Normal 26 2 3 4" xfId="7550"/>
    <cellStyle name="Normal 26 2 3 4 2" xfId="13744"/>
    <cellStyle name="Normal 26 2 3 4 2 2" xfId="33627"/>
    <cellStyle name="Normal 26 2 3 4 3" xfId="19896"/>
    <cellStyle name="Normal 26 2 3 4 3 2" xfId="39779"/>
    <cellStyle name="Normal 26 2 3 4 4" xfId="27474"/>
    <cellStyle name="Normal 26 2 3 5" xfId="10678"/>
    <cellStyle name="Normal 26 2 3 5 2" xfId="30561"/>
    <cellStyle name="Normal 26 2 3 6" xfId="16830"/>
    <cellStyle name="Normal 26 2 3 6 2" xfId="36713"/>
    <cellStyle name="Normal 26 2 3 7" xfId="24408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2 2" xfId="35931"/>
    <cellStyle name="Normal 26 2 4 2 2 2 3" xfId="22200"/>
    <cellStyle name="Normal 26 2 4 2 2 2 3 2" xfId="42083"/>
    <cellStyle name="Normal 26 2 4 2 2 2 4" xfId="29778"/>
    <cellStyle name="Normal 26 2 4 2 2 3" xfId="12982"/>
    <cellStyle name="Normal 26 2 4 2 2 3 2" xfId="32865"/>
    <cellStyle name="Normal 26 2 4 2 2 4" xfId="19134"/>
    <cellStyle name="Normal 26 2 4 2 2 4 2" xfId="39017"/>
    <cellStyle name="Normal 26 2 4 2 2 5" xfId="26712"/>
    <cellStyle name="Normal 26 2 4 2 3" xfId="8320"/>
    <cellStyle name="Normal 26 2 4 2 3 2" xfId="14514"/>
    <cellStyle name="Normal 26 2 4 2 3 2 2" xfId="34397"/>
    <cellStyle name="Normal 26 2 4 2 3 3" xfId="20666"/>
    <cellStyle name="Normal 26 2 4 2 3 3 2" xfId="40549"/>
    <cellStyle name="Normal 26 2 4 2 3 4" xfId="28244"/>
    <cellStyle name="Normal 26 2 4 2 4" xfId="11448"/>
    <cellStyle name="Normal 26 2 4 2 4 2" xfId="31331"/>
    <cellStyle name="Normal 26 2 4 2 5" xfId="17600"/>
    <cellStyle name="Normal 26 2 4 2 5 2" xfId="37483"/>
    <cellStyle name="Normal 26 2 4 2 6" xfId="25178"/>
    <cellStyle name="Normal 26 2 4 3" xfId="5986"/>
    <cellStyle name="Normal 26 2 4 3 2" xfId="9086"/>
    <cellStyle name="Normal 26 2 4 3 2 2" xfId="15279"/>
    <cellStyle name="Normal 26 2 4 3 2 2 2" xfId="35162"/>
    <cellStyle name="Normal 26 2 4 3 2 3" xfId="21431"/>
    <cellStyle name="Normal 26 2 4 3 2 3 2" xfId="41314"/>
    <cellStyle name="Normal 26 2 4 3 2 4" xfId="29009"/>
    <cellStyle name="Normal 26 2 4 3 3" xfId="12213"/>
    <cellStyle name="Normal 26 2 4 3 3 2" xfId="32096"/>
    <cellStyle name="Normal 26 2 4 3 4" xfId="18365"/>
    <cellStyle name="Normal 26 2 4 3 4 2" xfId="38248"/>
    <cellStyle name="Normal 26 2 4 3 5" xfId="25943"/>
    <cellStyle name="Normal 26 2 4 4" xfId="7551"/>
    <cellStyle name="Normal 26 2 4 4 2" xfId="13745"/>
    <cellStyle name="Normal 26 2 4 4 2 2" xfId="33628"/>
    <cellStyle name="Normal 26 2 4 4 3" xfId="19897"/>
    <cellStyle name="Normal 26 2 4 4 3 2" xfId="39780"/>
    <cellStyle name="Normal 26 2 4 4 4" xfId="27475"/>
    <cellStyle name="Normal 26 2 4 5" xfId="10679"/>
    <cellStyle name="Normal 26 2 4 5 2" xfId="30562"/>
    <cellStyle name="Normal 26 2 4 6" xfId="16831"/>
    <cellStyle name="Normal 26 2 4 6 2" xfId="36714"/>
    <cellStyle name="Normal 26 2 4 7" xfId="24409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2 2" xfId="35932"/>
    <cellStyle name="Normal 26 2 5 2 2 2 3" xfId="22201"/>
    <cellStyle name="Normal 26 2 5 2 2 2 3 2" xfId="42084"/>
    <cellStyle name="Normal 26 2 5 2 2 2 4" xfId="29779"/>
    <cellStyle name="Normal 26 2 5 2 2 3" xfId="12983"/>
    <cellStyle name="Normal 26 2 5 2 2 3 2" xfId="32866"/>
    <cellStyle name="Normal 26 2 5 2 2 4" xfId="19135"/>
    <cellStyle name="Normal 26 2 5 2 2 4 2" xfId="39018"/>
    <cellStyle name="Normal 26 2 5 2 2 5" xfId="26713"/>
    <cellStyle name="Normal 26 2 5 2 3" xfId="8321"/>
    <cellStyle name="Normal 26 2 5 2 3 2" xfId="14515"/>
    <cellStyle name="Normal 26 2 5 2 3 2 2" xfId="34398"/>
    <cellStyle name="Normal 26 2 5 2 3 3" xfId="20667"/>
    <cellStyle name="Normal 26 2 5 2 3 3 2" xfId="40550"/>
    <cellStyle name="Normal 26 2 5 2 3 4" xfId="28245"/>
    <cellStyle name="Normal 26 2 5 2 4" xfId="11449"/>
    <cellStyle name="Normal 26 2 5 2 4 2" xfId="31332"/>
    <cellStyle name="Normal 26 2 5 2 5" xfId="17601"/>
    <cellStyle name="Normal 26 2 5 2 5 2" xfId="37484"/>
    <cellStyle name="Normal 26 2 5 2 6" xfId="25179"/>
    <cellStyle name="Normal 26 2 5 3" xfId="5987"/>
    <cellStyle name="Normal 26 2 5 3 2" xfId="9087"/>
    <cellStyle name="Normal 26 2 5 3 2 2" xfId="15280"/>
    <cellStyle name="Normal 26 2 5 3 2 2 2" xfId="35163"/>
    <cellStyle name="Normal 26 2 5 3 2 3" xfId="21432"/>
    <cellStyle name="Normal 26 2 5 3 2 3 2" xfId="41315"/>
    <cellStyle name="Normal 26 2 5 3 2 4" xfId="29010"/>
    <cellStyle name="Normal 26 2 5 3 3" xfId="12214"/>
    <cellStyle name="Normal 26 2 5 3 3 2" xfId="32097"/>
    <cellStyle name="Normal 26 2 5 3 4" xfId="18366"/>
    <cellStyle name="Normal 26 2 5 3 4 2" xfId="38249"/>
    <cellStyle name="Normal 26 2 5 3 5" xfId="25944"/>
    <cellStyle name="Normal 26 2 5 4" xfId="7552"/>
    <cellStyle name="Normal 26 2 5 4 2" xfId="13746"/>
    <cellStyle name="Normal 26 2 5 4 2 2" xfId="33629"/>
    <cellStyle name="Normal 26 2 5 4 3" xfId="19898"/>
    <cellStyle name="Normal 26 2 5 4 3 2" xfId="39781"/>
    <cellStyle name="Normal 26 2 5 4 4" xfId="27476"/>
    <cellStyle name="Normal 26 2 5 5" xfId="10680"/>
    <cellStyle name="Normal 26 2 5 5 2" xfId="30563"/>
    <cellStyle name="Normal 26 2 5 6" xfId="16832"/>
    <cellStyle name="Normal 26 2 5 6 2" xfId="36715"/>
    <cellStyle name="Normal 26 2 5 7" xfId="24410"/>
    <cellStyle name="Normal 26 2 6" xfId="5141"/>
    <cellStyle name="Normal 26 2 6 2" xfId="6766"/>
    <cellStyle name="Normal 26 2 6 2 2" xfId="9852"/>
    <cellStyle name="Normal 26 2 6 2 2 2" xfId="16045"/>
    <cellStyle name="Normal 26 2 6 2 2 2 2" xfId="35928"/>
    <cellStyle name="Normal 26 2 6 2 2 3" xfId="22197"/>
    <cellStyle name="Normal 26 2 6 2 2 3 2" xfId="42080"/>
    <cellStyle name="Normal 26 2 6 2 2 4" xfId="29775"/>
    <cellStyle name="Normal 26 2 6 2 3" xfId="12979"/>
    <cellStyle name="Normal 26 2 6 2 3 2" xfId="32862"/>
    <cellStyle name="Normal 26 2 6 2 4" xfId="19131"/>
    <cellStyle name="Normal 26 2 6 2 4 2" xfId="39014"/>
    <cellStyle name="Normal 26 2 6 2 5" xfId="26709"/>
    <cellStyle name="Normal 26 2 6 3" xfId="8317"/>
    <cellStyle name="Normal 26 2 6 3 2" xfId="14511"/>
    <cellStyle name="Normal 26 2 6 3 2 2" xfId="34394"/>
    <cellStyle name="Normal 26 2 6 3 3" xfId="20663"/>
    <cellStyle name="Normal 26 2 6 3 3 2" xfId="40546"/>
    <cellStyle name="Normal 26 2 6 3 4" xfId="28241"/>
    <cellStyle name="Normal 26 2 6 4" xfId="11445"/>
    <cellStyle name="Normal 26 2 6 4 2" xfId="31328"/>
    <cellStyle name="Normal 26 2 6 5" xfId="17597"/>
    <cellStyle name="Normal 26 2 6 5 2" xfId="37480"/>
    <cellStyle name="Normal 26 2 6 6" xfId="25175"/>
    <cellStyle name="Normal 26 2 7" xfId="5983"/>
    <cellStyle name="Normal 26 2 7 2" xfId="9083"/>
    <cellStyle name="Normal 26 2 7 2 2" xfId="15276"/>
    <cellStyle name="Normal 26 2 7 2 2 2" xfId="35159"/>
    <cellStyle name="Normal 26 2 7 2 3" xfId="21428"/>
    <cellStyle name="Normal 26 2 7 2 3 2" xfId="41311"/>
    <cellStyle name="Normal 26 2 7 2 4" xfId="29006"/>
    <cellStyle name="Normal 26 2 7 3" xfId="12210"/>
    <cellStyle name="Normal 26 2 7 3 2" xfId="32093"/>
    <cellStyle name="Normal 26 2 7 4" xfId="18362"/>
    <cellStyle name="Normal 26 2 7 4 2" xfId="38245"/>
    <cellStyle name="Normal 26 2 7 5" xfId="25940"/>
    <cellStyle name="Normal 26 2 8" xfId="7548"/>
    <cellStyle name="Normal 26 2 8 2" xfId="13742"/>
    <cellStyle name="Normal 26 2 8 2 2" xfId="33625"/>
    <cellStyle name="Normal 26 2 8 3" xfId="19894"/>
    <cellStyle name="Normal 26 2 8 3 2" xfId="39777"/>
    <cellStyle name="Normal 26 2 8 4" xfId="27472"/>
    <cellStyle name="Normal 26 2 9" xfId="10676"/>
    <cellStyle name="Normal 26 2 9 2" xfId="30559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2 2" xfId="35933"/>
    <cellStyle name="Normal 26 3 2 2 2 3" xfId="22202"/>
    <cellStyle name="Normal 26 3 2 2 2 3 2" xfId="42085"/>
    <cellStyle name="Normal 26 3 2 2 2 4" xfId="29780"/>
    <cellStyle name="Normal 26 3 2 2 3" xfId="12984"/>
    <cellStyle name="Normal 26 3 2 2 3 2" xfId="32867"/>
    <cellStyle name="Normal 26 3 2 2 4" xfId="19136"/>
    <cellStyle name="Normal 26 3 2 2 4 2" xfId="39019"/>
    <cellStyle name="Normal 26 3 2 2 5" xfId="26714"/>
    <cellStyle name="Normal 26 3 2 3" xfId="8322"/>
    <cellStyle name="Normal 26 3 2 3 2" xfId="14516"/>
    <cellStyle name="Normal 26 3 2 3 2 2" xfId="34399"/>
    <cellStyle name="Normal 26 3 2 3 3" xfId="20668"/>
    <cellStyle name="Normal 26 3 2 3 3 2" xfId="40551"/>
    <cellStyle name="Normal 26 3 2 3 4" xfId="28246"/>
    <cellStyle name="Normal 26 3 2 4" xfId="11450"/>
    <cellStyle name="Normal 26 3 2 4 2" xfId="31333"/>
    <cellStyle name="Normal 26 3 2 5" xfId="17602"/>
    <cellStyle name="Normal 26 3 2 5 2" xfId="37485"/>
    <cellStyle name="Normal 26 3 2 6" xfId="25180"/>
    <cellStyle name="Normal 26 3 3" xfId="5988"/>
    <cellStyle name="Normal 26 3 3 2" xfId="9088"/>
    <cellStyle name="Normal 26 3 3 2 2" xfId="15281"/>
    <cellStyle name="Normal 26 3 3 2 2 2" xfId="35164"/>
    <cellStyle name="Normal 26 3 3 2 3" xfId="21433"/>
    <cellStyle name="Normal 26 3 3 2 3 2" xfId="41316"/>
    <cellStyle name="Normal 26 3 3 2 4" xfId="29011"/>
    <cellStyle name="Normal 26 3 3 3" xfId="12215"/>
    <cellStyle name="Normal 26 3 3 3 2" xfId="32098"/>
    <cellStyle name="Normal 26 3 3 4" xfId="18367"/>
    <cellStyle name="Normal 26 3 3 4 2" xfId="38250"/>
    <cellStyle name="Normal 26 3 3 5" xfId="25945"/>
    <cellStyle name="Normal 26 3 4" xfId="7553"/>
    <cellStyle name="Normal 26 3 4 2" xfId="13747"/>
    <cellStyle name="Normal 26 3 4 2 2" xfId="33630"/>
    <cellStyle name="Normal 26 3 4 3" xfId="19899"/>
    <cellStyle name="Normal 26 3 4 3 2" xfId="39782"/>
    <cellStyle name="Normal 26 3 4 4" xfId="27477"/>
    <cellStyle name="Normal 26 3 5" xfId="10681"/>
    <cellStyle name="Normal 26 3 5 2" xfId="30564"/>
    <cellStyle name="Normal 26 3 6" xfId="16833"/>
    <cellStyle name="Normal 26 3 6 2" xfId="36716"/>
    <cellStyle name="Normal 26 3 7" xfId="24411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2 2" xfId="35934"/>
    <cellStyle name="Normal 26 4 2 2 2 3" xfId="22203"/>
    <cellStyle name="Normal 26 4 2 2 2 3 2" xfId="42086"/>
    <cellStyle name="Normal 26 4 2 2 2 4" xfId="29781"/>
    <cellStyle name="Normal 26 4 2 2 3" xfId="12985"/>
    <cellStyle name="Normal 26 4 2 2 3 2" xfId="32868"/>
    <cellStyle name="Normal 26 4 2 2 4" xfId="19137"/>
    <cellStyle name="Normal 26 4 2 2 4 2" xfId="39020"/>
    <cellStyle name="Normal 26 4 2 2 5" xfId="26715"/>
    <cellStyle name="Normal 26 4 2 3" xfId="8323"/>
    <cellStyle name="Normal 26 4 2 3 2" xfId="14517"/>
    <cellStyle name="Normal 26 4 2 3 2 2" xfId="34400"/>
    <cellStyle name="Normal 26 4 2 3 3" xfId="20669"/>
    <cellStyle name="Normal 26 4 2 3 3 2" xfId="40552"/>
    <cellStyle name="Normal 26 4 2 3 4" xfId="28247"/>
    <cellStyle name="Normal 26 4 2 4" xfId="11451"/>
    <cellStyle name="Normal 26 4 2 4 2" xfId="31334"/>
    <cellStyle name="Normal 26 4 2 5" xfId="17603"/>
    <cellStyle name="Normal 26 4 2 5 2" xfId="37486"/>
    <cellStyle name="Normal 26 4 2 6" xfId="25181"/>
    <cellStyle name="Normal 26 4 3" xfId="5989"/>
    <cellStyle name="Normal 26 4 3 2" xfId="9089"/>
    <cellStyle name="Normal 26 4 3 2 2" xfId="15282"/>
    <cellStyle name="Normal 26 4 3 2 2 2" xfId="35165"/>
    <cellStyle name="Normal 26 4 3 2 3" xfId="21434"/>
    <cellStyle name="Normal 26 4 3 2 3 2" xfId="41317"/>
    <cellStyle name="Normal 26 4 3 2 4" xfId="29012"/>
    <cellStyle name="Normal 26 4 3 3" xfId="12216"/>
    <cellStyle name="Normal 26 4 3 3 2" xfId="32099"/>
    <cellStyle name="Normal 26 4 3 4" xfId="18368"/>
    <cellStyle name="Normal 26 4 3 4 2" xfId="38251"/>
    <cellStyle name="Normal 26 4 3 5" xfId="25946"/>
    <cellStyle name="Normal 26 4 4" xfId="7554"/>
    <cellStyle name="Normal 26 4 4 2" xfId="13748"/>
    <cellStyle name="Normal 26 4 4 2 2" xfId="33631"/>
    <cellStyle name="Normal 26 4 4 3" xfId="19900"/>
    <cellStyle name="Normal 26 4 4 3 2" xfId="39783"/>
    <cellStyle name="Normal 26 4 4 4" xfId="27478"/>
    <cellStyle name="Normal 26 4 5" xfId="10682"/>
    <cellStyle name="Normal 26 4 5 2" xfId="30565"/>
    <cellStyle name="Normal 26 4 6" xfId="16834"/>
    <cellStyle name="Normal 26 4 6 2" xfId="36717"/>
    <cellStyle name="Normal 26 4 7" xfId="24412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2 2" xfId="35935"/>
    <cellStyle name="Normal 26 5 2 2 2 3" xfId="22204"/>
    <cellStyle name="Normal 26 5 2 2 2 3 2" xfId="42087"/>
    <cellStyle name="Normal 26 5 2 2 2 4" xfId="29782"/>
    <cellStyle name="Normal 26 5 2 2 3" xfId="12986"/>
    <cellStyle name="Normal 26 5 2 2 3 2" xfId="32869"/>
    <cellStyle name="Normal 26 5 2 2 4" xfId="19138"/>
    <cellStyle name="Normal 26 5 2 2 4 2" xfId="39021"/>
    <cellStyle name="Normal 26 5 2 2 5" xfId="26716"/>
    <cellStyle name="Normal 26 5 2 3" xfId="8324"/>
    <cellStyle name="Normal 26 5 2 3 2" xfId="14518"/>
    <cellStyle name="Normal 26 5 2 3 2 2" xfId="34401"/>
    <cellStyle name="Normal 26 5 2 3 3" xfId="20670"/>
    <cellStyle name="Normal 26 5 2 3 3 2" xfId="40553"/>
    <cellStyle name="Normal 26 5 2 3 4" xfId="28248"/>
    <cellStyle name="Normal 26 5 2 4" xfId="11452"/>
    <cellStyle name="Normal 26 5 2 4 2" xfId="31335"/>
    <cellStyle name="Normal 26 5 2 5" xfId="17604"/>
    <cellStyle name="Normal 26 5 2 5 2" xfId="37487"/>
    <cellStyle name="Normal 26 5 2 6" xfId="25182"/>
    <cellStyle name="Normal 26 5 3" xfId="5990"/>
    <cellStyle name="Normal 26 5 3 2" xfId="9090"/>
    <cellStyle name="Normal 26 5 3 2 2" xfId="15283"/>
    <cellStyle name="Normal 26 5 3 2 2 2" xfId="35166"/>
    <cellStyle name="Normal 26 5 3 2 3" xfId="21435"/>
    <cellStyle name="Normal 26 5 3 2 3 2" xfId="41318"/>
    <cellStyle name="Normal 26 5 3 2 4" xfId="29013"/>
    <cellStyle name="Normal 26 5 3 3" xfId="12217"/>
    <cellStyle name="Normal 26 5 3 3 2" xfId="32100"/>
    <cellStyle name="Normal 26 5 3 4" xfId="18369"/>
    <cellStyle name="Normal 26 5 3 4 2" xfId="38252"/>
    <cellStyle name="Normal 26 5 3 5" xfId="25947"/>
    <cellStyle name="Normal 26 5 4" xfId="7555"/>
    <cellStyle name="Normal 26 5 4 2" xfId="13749"/>
    <cellStyle name="Normal 26 5 4 2 2" xfId="33632"/>
    <cellStyle name="Normal 26 5 4 3" xfId="19901"/>
    <cellStyle name="Normal 26 5 4 3 2" xfId="39784"/>
    <cellStyle name="Normal 26 5 4 4" xfId="27479"/>
    <cellStyle name="Normal 26 5 5" xfId="10683"/>
    <cellStyle name="Normal 26 5 5 2" xfId="30566"/>
    <cellStyle name="Normal 26 5 6" xfId="16835"/>
    <cellStyle name="Normal 26 5 6 2" xfId="36718"/>
    <cellStyle name="Normal 26 5 7" xfId="24413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2 2" xfId="35936"/>
    <cellStyle name="Normal 26 6 2 2 2 3" xfId="22205"/>
    <cellStyle name="Normal 26 6 2 2 2 3 2" xfId="42088"/>
    <cellStyle name="Normal 26 6 2 2 2 4" xfId="29783"/>
    <cellStyle name="Normal 26 6 2 2 3" xfId="12987"/>
    <cellStyle name="Normal 26 6 2 2 3 2" xfId="32870"/>
    <cellStyle name="Normal 26 6 2 2 4" xfId="19139"/>
    <cellStyle name="Normal 26 6 2 2 4 2" xfId="39022"/>
    <cellStyle name="Normal 26 6 2 2 5" xfId="26717"/>
    <cellStyle name="Normal 26 6 2 3" xfId="8325"/>
    <cellStyle name="Normal 26 6 2 3 2" xfId="14519"/>
    <cellStyle name="Normal 26 6 2 3 2 2" xfId="34402"/>
    <cellStyle name="Normal 26 6 2 3 3" xfId="20671"/>
    <cellStyle name="Normal 26 6 2 3 3 2" xfId="40554"/>
    <cellStyle name="Normal 26 6 2 3 4" xfId="28249"/>
    <cellStyle name="Normal 26 6 2 4" xfId="11453"/>
    <cellStyle name="Normal 26 6 2 4 2" xfId="31336"/>
    <cellStyle name="Normal 26 6 2 5" xfId="17605"/>
    <cellStyle name="Normal 26 6 2 5 2" xfId="37488"/>
    <cellStyle name="Normal 26 6 2 6" xfId="25183"/>
    <cellStyle name="Normal 26 6 3" xfId="5991"/>
    <cellStyle name="Normal 26 6 3 2" xfId="9091"/>
    <cellStyle name="Normal 26 6 3 2 2" xfId="15284"/>
    <cellStyle name="Normal 26 6 3 2 2 2" xfId="35167"/>
    <cellStyle name="Normal 26 6 3 2 3" xfId="21436"/>
    <cellStyle name="Normal 26 6 3 2 3 2" xfId="41319"/>
    <cellStyle name="Normal 26 6 3 2 4" xfId="29014"/>
    <cellStyle name="Normal 26 6 3 3" xfId="12218"/>
    <cellStyle name="Normal 26 6 3 3 2" xfId="32101"/>
    <cellStyle name="Normal 26 6 3 4" xfId="18370"/>
    <cellStyle name="Normal 26 6 3 4 2" xfId="38253"/>
    <cellStyle name="Normal 26 6 3 5" xfId="25948"/>
    <cellStyle name="Normal 26 6 4" xfId="7556"/>
    <cellStyle name="Normal 26 6 4 2" xfId="13750"/>
    <cellStyle name="Normal 26 6 4 2 2" xfId="33633"/>
    <cellStyle name="Normal 26 6 4 3" xfId="19902"/>
    <cellStyle name="Normal 26 6 4 3 2" xfId="39785"/>
    <cellStyle name="Normal 26 6 4 4" xfId="27480"/>
    <cellStyle name="Normal 26 6 5" xfId="10684"/>
    <cellStyle name="Normal 26 6 5 2" xfId="30567"/>
    <cellStyle name="Normal 26 6 6" xfId="16836"/>
    <cellStyle name="Normal 26 6 6 2" xfId="36719"/>
    <cellStyle name="Normal 26 6 7" xfId="24414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2 2" xfId="35927"/>
    <cellStyle name="Normal 26 8 2 2 3" xfId="22196"/>
    <cellStyle name="Normal 26 8 2 2 3 2" xfId="42079"/>
    <cellStyle name="Normal 26 8 2 2 4" xfId="29774"/>
    <cellStyle name="Normal 26 8 2 3" xfId="12978"/>
    <cellStyle name="Normal 26 8 2 3 2" xfId="32861"/>
    <cellStyle name="Normal 26 8 2 4" xfId="19130"/>
    <cellStyle name="Normal 26 8 2 4 2" xfId="39013"/>
    <cellStyle name="Normal 26 8 2 5" xfId="26708"/>
    <cellStyle name="Normal 26 8 3" xfId="8316"/>
    <cellStyle name="Normal 26 8 3 2" xfId="14510"/>
    <cellStyle name="Normal 26 8 3 2 2" xfId="34393"/>
    <cellStyle name="Normal 26 8 3 3" xfId="20662"/>
    <cellStyle name="Normal 26 8 3 3 2" xfId="40545"/>
    <cellStyle name="Normal 26 8 3 4" xfId="28240"/>
    <cellStyle name="Normal 26 8 4" xfId="11444"/>
    <cellStyle name="Normal 26 8 4 2" xfId="31327"/>
    <cellStyle name="Normal 26 8 5" xfId="17596"/>
    <cellStyle name="Normal 26 8 5 2" xfId="37479"/>
    <cellStyle name="Normal 26 8 6" xfId="25174"/>
    <cellStyle name="Normal 26 9" xfId="5982"/>
    <cellStyle name="Normal 26 9 2" xfId="9082"/>
    <cellStyle name="Normal 26 9 2 2" xfId="15275"/>
    <cellStyle name="Normal 26 9 2 2 2" xfId="35158"/>
    <cellStyle name="Normal 26 9 2 3" xfId="21427"/>
    <cellStyle name="Normal 26 9 2 3 2" xfId="41310"/>
    <cellStyle name="Normal 26 9 2 4" xfId="29005"/>
    <cellStyle name="Normal 26 9 3" xfId="12209"/>
    <cellStyle name="Normal 26 9 3 2" xfId="32092"/>
    <cellStyle name="Normal 26 9 4" xfId="18361"/>
    <cellStyle name="Normal 26 9 4 2" xfId="38244"/>
    <cellStyle name="Normal 26 9 5" xfId="25939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2 2" xfId="35937"/>
    <cellStyle name="Normal 3 10 2 2 2 3" xfId="22206"/>
    <cellStyle name="Normal 3 10 2 2 2 3 2" xfId="42089"/>
    <cellStyle name="Normal 3 10 2 2 2 4" xfId="29784"/>
    <cellStyle name="Normal 3 10 2 2 3" xfId="12988"/>
    <cellStyle name="Normal 3 10 2 2 3 2" xfId="32871"/>
    <cellStyle name="Normal 3 10 2 2 4" xfId="19140"/>
    <cellStyle name="Normal 3 10 2 2 4 2" xfId="39023"/>
    <cellStyle name="Normal 3 10 2 2 5" xfId="26718"/>
    <cellStyle name="Normal 3 10 2 3" xfId="8326"/>
    <cellStyle name="Normal 3 10 2 3 2" xfId="14520"/>
    <cellStyle name="Normal 3 10 2 3 2 2" xfId="34403"/>
    <cellStyle name="Normal 3 10 2 3 3" xfId="20672"/>
    <cellStyle name="Normal 3 10 2 3 3 2" xfId="40555"/>
    <cellStyle name="Normal 3 10 2 3 4" xfId="28250"/>
    <cellStyle name="Normal 3 10 2 4" xfId="11454"/>
    <cellStyle name="Normal 3 10 2 4 2" xfId="31337"/>
    <cellStyle name="Normal 3 10 2 5" xfId="17606"/>
    <cellStyle name="Normal 3 10 2 5 2" xfId="37489"/>
    <cellStyle name="Normal 3 10 2 6" xfId="25184"/>
    <cellStyle name="Normal 3 10 3" xfId="5992"/>
    <cellStyle name="Normal 3 10 3 2" xfId="9092"/>
    <cellStyle name="Normal 3 10 3 2 2" xfId="15285"/>
    <cellStyle name="Normal 3 10 3 2 2 2" xfId="35168"/>
    <cellStyle name="Normal 3 10 3 2 3" xfId="21437"/>
    <cellStyle name="Normal 3 10 3 2 3 2" xfId="41320"/>
    <cellStyle name="Normal 3 10 3 2 4" xfId="29015"/>
    <cellStyle name="Normal 3 10 3 3" xfId="12219"/>
    <cellStyle name="Normal 3 10 3 3 2" xfId="32102"/>
    <cellStyle name="Normal 3 10 3 4" xfId="18371"/>
    <cellStyle name="Normal 3 10 3 4 2" xfId="38254"/>
    <cellStyle name="Normal 3 10 3 5" xfId="25949"/>
    <cellStyle name="Normal 3 10 4" xfId="7557"/>
    <cellStyle name="Normal 3 10 4 2" xfId="13751"/>
    <cellStyle name="Normal 3 10 4 2 2" xfId="33634"/>
    <cellStyle name="Normal 3 10 4 3" xfId="19903"/>
    <cellStyle name="Normal 3 10 4 3 2" xfId="39786"/>
    <cellStyle name="Normal 3 10 4 4" xfId="27481"/>
    <cellStyle name="Normal 3 10 5" xfId="10685"/>
    <cellStyle name="Normal 3 10 5 2" xfId="30568"/>
    <cellStyle name="Normal 3 10 6" xfId="16837"/>
    <cellStyle name="Normal 3 10 6 2" xfId="36720"/>
    <cellStyle name="Normal 3 10 7" xfId="3721"/>
    <cellStyle name="Normal 3 10 7 2" xfId="24415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2 2" xfId="35938"/>
    <cellStyle name="Normal 3 11 2 2 2 3" xfId="22207"/>
    <cellStyle name="Normal 3 11 2 2 2 3 2" xfId="42090"/>
    <cellStyle name="Normal 3 11 2 2 2 4" xfId="29785"/>
    <cellStyle name="Normal 3 11 2 2 3" xfId="12989"/>
    <cellStyle name="Normal 3 11 2 2 3 2" xfId="32872"/>
    <cellStyle name="Normal 3 11 2 2 4" xfId="19141"/>
    <cellStyle name="Normal 3 11 2 2 4 2" xfId="39024"/>
    <cellStyle name="Normal 3 11 2 2 5" xfId="26719"/>
    <cellStyle name="Normal 3 11 2 3" xfId="8327"/>
    <cellStyle name="Normal 3 11 2 3 2" xfId="14521"/>
    <cellStyle name="Normal 3 11 2 3 2 2" xfId="34404"/>
    <cellStyle name="Normal 3 11 2 3 3" xfId="20673"/>
    <cellStyle name="Normal 3 11 2 3 3 2" xfId="40556"/>
    <cellStyle name="Normal 3 11 2 3 4" xfId="28251"/>
    <cellStyle name="Normal 3 11 2 4" xfId="11455"/>
    <cellStyle name="Normal 3 11 2 4 2" xfId="31338"/>
    <cellStyle name="Normal 3 11 2 5" xfId="17607"/>
    <cellStyle name="Normal 3 11 2 5 2" xfId="37490"/>
    <cellStyle name="Normal 3 11 2 6" xfId="25185"/>
    <cellStyle name="Normal 3 11 3" xfId="5993"/>
    <cellStyle name="Normal 3 11 3 2" xfId="9093"/>
    <cellStyle name="Normal 3 11 3 2 2" xfId="15286"/>
    <cellStyle name="Normal 3 11 3 2 2 2" xfId="35169"/>
    <cellStyle name="Normal 3 11 3 2 3" xfId="21438"/>
    <cellStyle name="Normal 3 11 3 2 3 2" xfId="41321"/>
    <cellStyle name="Normal 3 11 3 2 4" xfId="29016"/>
    <cellStyle name="Normal 3 11 3 3" xfId="12220"/>
    <cellStyle name="Normal 3 11 3 3 2" xfId="32103"/>
    <cellStyle name="Normal 3 11 3 4" xfId="18372"/>
    <cellStyle name="Normal 3 11 3 4 2" xfId="38255"/>
    <cellStyle name="Normal 3 11 3 5" xfId="25950"/>
    <cellStyle name="Normal 3 11 4" xfId="7558"/>
    <cellStyle name="Normal 3 11 4 2" xfId="13752"/>
    <cellStyle name="Normal 3 11 4 2 2" xfId="33635"/>
    <cellStyle name="Normal 3 11 4 3" xfId="19904"/>
    <cellStyle name="Normal 3 11 4 3 2" xfId="39787"/>
    <cellStyle name="Normal 3 11 4 4" xfId="27482"/>
    <cellStyle name="Normal 3 11 5" xfId="10686"/>
    <cellStyle name="Normal 3 11 5 2" xfId="30569"/>
    <cellStyle name="Normal 3 11 6" xfId="16838"/>
    <cellStyle name="Normal 3 11 6 2" xfId="36721"/>
    <cellStyle name="Normal 3 11 7" xfId="3722"/>
    <cellStyle name="Normal 3 11 7 2" xfId="24416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2 2" xfId="35939"/>
    <cellStyle name="Normal 3 12 2 2 2 3" xfId="22208"/>
    <cellStyle name="Normal 3 12 2 2 2 3 2" xfId="42091"/>
    <cellStyle name="Normal 3 12 2 2 2 4" xfId="29786"/>
    <cellStyle name="Normal 3 12 2 2 3" xfId="12990"/>
    <cellStyle name="Normal 3 12 2 2 3 2" xfId="32873"/>
    <cellStyle name="Normal 3 12 2 2 4" xfId="19142"/>
    <cellStyle name="Normal 3 12 2 2 4 2" xfId="39025"/>
    <cellStyle name="Normal 3 12 2 2 5" xfId="26720"/>
    <cellStyle name="Normal 3 12 2 3" xfId="8328"/>
    <cellStyle name="Normal 3 12 2 3 2" xfId="14522"/>
    <cellStyle name="Normal 3 12 2 3 2 2" xfId="34405"/>
    <cellStyle name="Normal 3 12 2 3 3" xfId="20674"/>
    <cellStyle name="Normal 3 12 2 3 3 2" xfId="40557"/>
    <cellStyle name="Normal 3 12 2 3 4" xfId="28252"/>
    <cellStyle name="Normal 3 12 2 4" xfId="11456"/>
    <cellStyle name="Normal 3 12 2 4 2" xfId="31339"/>
    <cellStyle name="Normal 3 12 2 5" xfId="17608"/>
    <cellStyle name="Normal 3 12 2 5 2" xfId="37491"/>
    <cellStyle name="Normal 3 12 2 6" xfId="25186"/>
    <cellStyle name="Normal 3 12 3" xfId="5994"/>
    <cellStyle name="Normal 3 12 3 2" xfId="9094"/>
    <cellStyle name="Normal 3 12 3 2 2" xfId="15287"/>
    <cellStyle name="Normal 3 12 3 2 2 2" xfId="35170"/>
    <cellStyle name="Normal 3 12 3 2 3" xfId="21439"/>
    <cellStyle name="Normal 3 12 3 2 3 2" xfId="41322"/>
    <cellStyle name="Normal 3 12 3 2 4" xfId="29017"/>
    <cellStyle name="Normal 3 12 3 3" xfId="12221"/>
    <cellStyle name="Normal 3 12 3 3 2" xfId="32104"/>
    <cellStyle name="Normal 3 12 3 4" xfId="18373"/>
    <cellStyle name="Normal 3 12 3 4 2" xfId="38256"/>
    <cellStyle name="Normal 3 12 3 5" xfId="25951"/>
    <cellStyle name="Normal 3 12 4" xfId="7559"/>
    <cellStyle name="Normal 3 12 4 2" xfId="13753"/>
    <cellStyle name="Normal 3 12 4 2 2" xfId="33636"/>
    <cellStyle name="Normal 3 12 4 3" xfId="19905"/>
    <cellStyle name="Normal 3 12 4 3 2" xfId="39788"/>
    <cellStyle name="Normal 3 12 4 4" xfId="27483"/>
    <cellStyle name="Normal 3 12 5" xfId="10687"/>
    <cellStyle name="Normal 3 12 5 2" xfId="30570"/>
    <cellStyle name="Normal 3 12 6" xfId="16839"/>
    <cellStyle name="Normal 3 12 6 2" xfId="36722"/>
    <cellStyle name="Normal 3 12 7" xfId="3723"/>
    <cellStyle name="Normal 3 12 7 2" xfId="24417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2 2" xfId="35940"/>
    <cellStyle name="Normal 3 13 2 2 2 3" xfId="22209"/>
    <cellStyle name="Normal 3 13 2 2 2 3 2" xfId="42092"/>
    <cellStyle name="Normal 3 13 2 2 2 4" xfId="29787"/>
    <cellStyle name="Normal 3 13 2 2 3" xfId="12991"/>
    <cellStyle name="Normal 3 13 2 2 3 2" xfId="32874"/>
    <cellStyle name="Normal 3 13 2 2 4" xfId="19143"/>
    <cellStyle name="Normal 3 13 2 2 4 2" xfId="39026"/>
    <cellStyle name="Normal 3 13 2 2 5" xfId="26721"/>
    <cellStyle name="Normal 3 13 2 3" xfId="8329"/>
    <cellStyle name="Normal 3 13 2 3 2" xfId="14523"/>
    <cellStyle name="Normal 3 13 2 3 2 2" xfId="34406"/>
    <cellStyle name="Normal 3 13 2 3 3" xfId="20675"/>
    <cellStyle name="Normal 3 13 2 3 3 2" xfId="40558"/>
    <cellStyle name="Normal 3 13 2 3 4" xfId="28253"/>
    <cellStyle name="Normal 3 13 2 4" xfId="11457"/>
    <cellStyle name="Normal 3 13 2 4 2" xfId="31340"/>
    <cellStyle name="Normal 3 13 2 5" xfId="17609"/>
    <cellStyle name="Normal 3 13 2 5 2" xfId="37492"/>
    <cellStyle name="Normal 3 13 2 6" xfId="25187"/>
    <cellStyle name="Normal 3 13 3" xfId="5995"/>
    <cellStyle name="Normal 3 13 3 2" xfId="9095"/>
    <cellStyle name="Normal 3 13 3 2 2" xfId="15288"/>
    <cellStyle name="Normal 3 13 3 2 2 2" xfId="35171"/>
    <cellStyle name="Normal 3 13 3 2 3" xfId="21440"/>
    <cellStyle name="Normal 3 13 3 2 3 2" xfId="41323"/>
    <cellStyle name="Normal 3 13 3 2 4" xfId="29018"/>
    <cellStyle name="Normal 3 13 3 3" xfId="12222"/>
    <cellStyle name="Normal 3 13 3 3 2" xfId="32105"/>
    <cellStyle name="Normal 3 13 3 4" xfId="18374"/>
    <cellStyle name="Normal 3 13 3 4 2" xfId="38257"/>
    <cellStyle name="Normal 3 13 3 5" xfId="25952"/>
    <cellStyle name="Normal 3 13 4" xfId="7560"/>
    <cellStyle name="Normal 3 13 4 2" xfId="13754"/>
    <cellStyle name="Normal 3 13 4 2 2" xfId="33637"/>
    <cellStyle name="Normal 3 13 4 3" xfId="19906"/>
    <cellStyle name="Normal 3 13 4 3 2" xfId="39789"/>
    <cellStyle name="Normal 3 13 4 4" xfId="27484"/>
    <cellStyle name="Normal 3 13 5" xfId="10688"/>
    <cellStyle name="Normal 3 13 5 2" xfId="30571"/>
    <cellStyle name="Normal 3 13 6" xfId="16840"/>
    <cellStyle name="Normal 3 13 6 2" xfId="36723"/>
    <cellStyle name="Normal 3 13 7" xfId="3724"/>
    <cellStyle name="Normal 3 13 7 2" xfId="24418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2 2" xfId="35941"/>
    <cellStyle name="Normal 3 14 2 2 2 3" xfId="22210"/>
    <cellStyle name="Normal 3 14 2 2 2 3 2" xfId="42093"/>
    <cellStyle name="Normal 3 14 2 2 2 4" xfId="29788"/>
    <cellStyle name="Normal 3 14 2 2 3" xfId="12992"/>
    <cellStyle name="Normal 3 14 2 2 3 2" xfId="32875"/>
    <cellStyle name="Normal 3 14 2 2 4" xfId="19144"/>
    <cellStyle name="Normal 3 14 2 2 4 2" xfId="39027"/>
    <cellStyle name="Normal 3 14 2 2 5" xfId="26722"/>
    <cellStyle name="Normal 3 14 2 3" xfId="8330"/>
    <cellStyle name="Normal 3 14 2 3 2" xfId="14524"/>
    <cellStyle name="Normal 3 14 2 3 2 2" xfId="34407"/>
    <cellStyle name="Normal 3 14 2 3 3" xfId="20676"/>
    <cellStyle name="Normal 3 14 2 3 3 2" xfId="40559"/>
    <cellStyle name="Normal 3 14 2 3 4" xfId="28254"/>
    <cellStyle name="Normal 3 14 2 4" xfId="11458"/>
    <cellStyle name="Normal 3 14 2 4 2" xfId="31341"/>
    <cellStyle name="Normal 3 14 2 5" xfId="17610"/>
    <cellStyle name="Normal 3 14 2 5 2" xfId="37493"/>
    <cellStyle name="Normal 3 14 2 6" xfId="25188"/>
    <cellStyle name="Normal 3 14 3" xfId="5996"/>
    <cellStyle name="Normal 3 14 3 2" xfId="9096"/>
    <cellStyle name="Normal 3 14 3 2 2" xfId="15289"/>
    <cellStyle name="Normal 3 14 3 2 2 2" xfId="35172"/>
    <cellStyle name="Normal 3 14 3 2 3" xfId="21441"/>
    <cellStyle name="Normal 3 14 3 2 3 2" xfId="41324"/>
    <cellStyle name="Normal 3 14 3 2 4" xfId="29019"/>
    <cellStyle name="Normal 3 14 3 3" xfId="12223"/>
    <cellStyle name="Normal 3 14 3 3 2" xfId="32106"/>
    <cellStyle name="Normal 3 14 3 4" xfId="18375"/>
    <cellStyle name="Normal 3 14 3 4 2" xfId="38258"/>
    <cellStyle name="Normal 3 14 3 5" xfId="25953"/>
    <cellStyle name="Normal 3 14 4" xfId="7561"/>
    <cellStyle name="Normal 3 14 4 2" xfId="13755"/>
    <cellStyle name="Normal 3 14 4 2 2" xfId="33638"/>
    <cellStyle name="Normal 3 14 4 3" xfId="19907"/>
    <cellStyle name="Normal 3 14 4 3 2" xfId="39790"/>
    <cellStyle name="Normal 3 14 4 4" xfId="27485"/>
    <cellStyle name="Normal 3 14 5" xfId="10689"/>
    <cellStyle name="Normal 3 14 5 2" xfId="30572"/>
    <cellStyle name="Normal 3 14 6" xfId="16841"/>
    <cellStyle name="Normal 3 14 6 2" xfId="36724"/>
    <cellStyle name="Normal 3 14 7" xfId="3725"/>
    <cellStyle name="Normal 3 14 7 2" xfId="24419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2 2" xfId="35942"/>
    <cellStyle name="Normal 3 15 2 2 2 3" xfId="22211"/>
    <cellStyle name="Normal 3 15 2 2 2 3 2" xfId="42094"/>
    <cellStyle name="Normal 3 15 2 2 2 4" xfId="29789"/>
    <cellStyle name="Normal 3 15 2 2 3" xfId="12993"/>
    <cellStyle name="Normal 3 15 2 2 3 2" xfId="32876"/>
    <cellStyle name="Normal 3 15 2 2 4" xfId="19145"/>
    <cellStyle name="Normal 3 15 2 2 4 2" xfId="39028"/>
    <cellStyle name="Normal 3 15 2 2 5" xfId="26723"/>
    <cellStyle name="Normal 3 15 2 3" xfId="8331"/>
    <cellStyle name="Normal 3 15 2 3 2" xfId="14525"/>
    <cellStyle name="Normal 3 15 2 3 2 2" xfId="34408"/>
    <cellStyle name="Normal 3 15 2 3 3" xfId="20677"/>
    <cellStyle name="Normal 3 15 2 3 3 2" xfId="40560"/>
    <cellStyle name="Normal 3 15 2 3 4" xfId="28255"/>
    <cellStyle name="Normal 3 15 2 4" xfId="11459"/>
    <cellStyle name="Normal 3 15 2 4 2" xfId="31342"/>
    <cellStyle name="Normal 3 15 2 5" xfId="17611"/>
    <cellStyle name="Normal 3 15 2 5 2" xfId="37494"/>
    <cellStyle name="Normal 3 15 2 6" xfId="25189"/>
    <cellStyle name="Normal 3 15 3" xfId="5997"/>
    <cellStyle name="Normal 3 15 3 2" xfId="9097"/>
    <cellStyle name="Normal 3 15 3 2 2" xfId="15290"/>
    <cellStyle name="Normal 3 15 3 2 2 2" xfId="35173"/>
    <cellStyle name="Normal 3 15 3 2 3" xfId="21442"/>
    <cellStyle name="Normal 3 15 3 2 3 2" xfId="41325"/>
    <cellStyle name="Normal 3 15 3 2 4" xfId="29020"/>
    <cellStyle name="Normal 3 15 3 3" xfId="12224"/>
    <cellStyle name="Normal 3 15 3 3 2" xfId="32107"/>
    <cellStyle name="Normal 3 15 3 4" xfId="18376"/>
    <cellStyle name="Normal 3 15 3 4 2" xfId="38259"/>
    <cellStyle name="Normal 3 15 3 5" xfId="25954"/>
    <cellStyle name="Normal 3 15 4" xfId="7562"/>
    <cellStyle name="Normal 3 15 4 2" xfId="13756"/>
    <cellStyle name="Normal 3 15 4 2 2" xfId="33639"/>
    <cellStyle name="Normal 3 15 4 3" xfId="19908"/>
    <cellStyle name="Normal 3 15 4 3 2" xfId="39791"/>
    <cellStyle name="Normal 3 15 4 4" xfId="27486"/>
    <cellStyle name="Normal 3 15 5" xfId="10690"/>
    <cellStyle name="Normal 3 15 5 2" xfId="30573"/>
    <cellStyle name="Normal 3 15 6" xfId="16842"/>
    <cellStyle name="Normal 3 15 6 2" xfId="36725"/>
    <cellStyle name="Normal 3 15 7" xfId="3726"/>
    <cellStyle name="Normal 3 15 7 2" xfId="24420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2 2" xfId="35943"/>
    <cellStyle name="Normal 3 16 2 2 2 3" xfId="22212"/>
    <cellStyle name="Normal 3 16 2 2 2 3 2" xfId="42095"/>
    <cellStyle name="Normal 3 16 2 2 2 4" xfId="29790"/>
    <cellStyle name="Normal 3 16 2 2 3" xfId="12994"/>
    <cellStyle name="Normal 3 16 2 2 3 2" xfId="32877"/>
    <cellStyle name="Normal 3 16 2 2 4" xfId="19146"/>
    <cellStyle name="Normal 3 16 2 2 4 2" xfId="39029"/>
    <cellStyle name="Normal 3 16 2 2 5" xfId="26724"/>
    <cellStyle name="Normal 3 16 2 3" xfId="8332"/>
    <cellStyle name="Normal 3 16 2 3 2" xfId="14526"/>
    <cellStyle name="Normal 3 16 2 3 2 2" xfId="34409"/>
    <cellStyle name="Normal 3 16 2 3 3" xfId="20678"/>
    <cellStyle name="Normal 3 16 2 3 3 2" xfId="40561"/>
    <cellStyle name="Normal 3 16 2 3 4" xfId="28256"/>
    <cellStyle name="Normal 3 16 2 4" xfId="11460"/>
    <cellStyle name="Normal 3 16 2 4 2" xfId="31343"/>
    <cellStyle name="Normal 3 16 2 5" xfId="17612"/>
    <cellStyle name="Normal 3 16 2 5 2" xfId="37495"/>
    <cellStyle name="Normal 3 16 2 6" xfId="25190"/>
    <cellStyle name="Normal 3 16 3" xfId="5998"/>
    <cellStyle name="Normal 3 16 3 2" xfId="9098"/>
    <cellStyle name="Normal 3 16 3 2 2" xfId="15291"/>
    <cellStyle name="Normal 3 16 3 2 2 2" xfId="35174"/>
    <cellStyle name="Normal 3 16 3 2 3" xfId="21443"/>
    <cellStyle name="Normal 3 16 3 2 3 2" xfId="41326"/>
    <cellStyle name="Normal 3 16 3 2 4" xfId="29021"/>
    <cellStyle name="Normal 3 16 3 3" xfId="12225"/>
    <cellStyle name="Normal 3 16 3 3 2" xfId="32108"/>
    <cellStyle name="Normal 3 16 3 4" xfId="18377"/>
    <cellStyle name="Normal 3 16 3 4 2" xfId="38260"/>
    <cellStyle name="Normal 3 16 3 5" xfId="25955"/>
    <cellStyle name="Normal 3 16 4" xfId="7563"/>
    <cellStyle name="Normal 3 16 4 2" xfId="13757"/>
    <cellStyle name="Normal 3 16 4 2 2" xfId="33640"/>
    <cellStyle name="Normal 3 16 4 3" xfId="19909"/>
    <cellStyle name="Normal 3 16 4 3 2" xfId="39792"/>
    <cellStyle name="Normal 3 16 4 4" xfId="27487"/>
    <cellStyle name="Normal 3 16 5" xfId="10691"/>
    <cellStyle name="Normal 3 16 5 2" xfId="30574"/>
    <cellStyle name="Normal 3 16 6" xfId="16843"/>
    <cellStyle name="Normal 3 16 6 2" xfId="36726"/>
    <cellStyle name="Normal 3 16 7" xfId="3727"/>
    <cellStyle name="Normal 3 16 7 2" xfId="24421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2 2" xfId="35944"/>
    <cellStyle name="Normal 3 17 2 2 2 3" xfId="22213"/>
    <cellStyle name="Normal 3 17 2 2 2 3 2" xfId="42096"/>
    <cellStyle name="Normal 3 17 2 2 2 4" xfId="29791"/>
    <cellStyle name="Normal 3 17 2 2 3" xfId="12995"/>
    <cellStyle name="Normal 3 17 2 2 3 2" xfId="32878"/>
    <cellStyle name="Normal 3 17 2 2 4" xfId="19147"/>
    <cellStyle name="Normal 3 17 2 2 4 2" xfId="39030"/>
    <cellStyle name="Normal 3 17 2 2 5" xfId="26725"/>
    <cellStyle name="Normal 3 17 2 3" xfId="8333"/>
    <cellStyle name="Normal 3 17 2 3 2" xfId="14527"/>
    <cellStyle name="Normal 3 17 2 3 2 2" xfId="34410"/>
    <cellStyle name="Normal 3 17 2 3 3" xfId="20679"/>
    <cellStyle name="Normal 3 17 2 3 3 2" xfId="40562"/>
    <cellStyle name="Normal 3 17 2 3 4" xfId="28257"/>
    <cellStyle name="Normal 3 17 2 4" xfId="11461"/>
    <cellStyle name="Normal 3 17 2 4 2" xfId="31344"/>
    <cellStyle name="Normal 3 17 2 5" xfId="17613"/>
    <cellStyle name="Normal 3 17 2 5 2" xfId="37496"/>
    <cellStyle name="Normal 3 17 2 6" xfId="25191"/>
    <cellStyle name="Normal 3 17 3" xfId="5999"/>
    <cellStyle name="Normal 3 17 3 2" xfId="9099"/>
    <cellStyle name="Normal 3 17 3 2 2" xfId="15292"/>
    <cellStyle name="Normal 3 17 3 2 2 2" xfId="35175"/>
    <cellStyle name="Normal 3 17 3 2 3" xfId="21444"/>
    <cellStyle name="Normal 3 17 3 2 3 2" xfId="41327"/>
    <cellStyle name="Normal 3 17 3 2 4" xfId="29022"/>
    <cellStyle name="Normal 3 17 3 3" xfId="12226"/>
    <cellStyle name="Normal 3 17 3 3 2" xfId="32109"/>
    <cellStyle name="Normal 3 17 3 4" xfId="18378"/>
    <cellStyle name="Normal 3 17 3 4 2" xfId="38261"/>
    <cellStyle name="Normal 3 17 3 5" xfId="25956"/>
    <cellStyle name="Normal 3 17 4" xfId="7564"/>
    <cellStyle name="Normal 3 17 4 2" xfId="13758"/>
    <cellStyle name="Normal 3 17 4 2 2" xfId="33641"/>
    <cellStyle name="Normal 3 17 4 3" xfId="19910"/>
    <cellStyle name="Normal 3 17 4 3 2" xfId="39793"/>
    <cellStyle name="Normal 3 17 4 4" xfId="27488"/>
    <cellStyle name="Normal 3 17 5" xfId="10692"/>
    <cellStyle name="Normal 3 17 5 2" xfId="30575"/>
    <cellStyle name="Normal 3 17 6" xfId="16844"/>
    <cellStyle name="Normal 3 17 6 2" xfId="36727"/>
    <cellStyle name="Normal 3 17 7" xfId="3728"/>
    <cellStyle name="Normal 3 17 7 2" xfId="24422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2 2" xfId="35945"/>
    <cellStyle name="Normal 3 18 2 2 2 3" xfId="22214"/>
    <cellStyle name="Normal 3 18 2 2 2 3 2" xfId="42097"/>
    <cellStyle name="Normal 3 18 2 2 2 4" xfId="29792"/>
    <cellStyle name="Normal 3 18 2 2 3" xfId="12996"/>
    <cellStyle name="Normal 3 18 2 2 3 2" xfId="32879"/>
    <cellStyle name="Normal 3 18 2 2 4" xfId="19148"/>
    <cellStyle name="Normal 3 18 2 2 4 2" xfId="39031"/>
    <cellStyle name="Normal 3 18 2 2 5" xfId="26726"/>
    <cellStyle name="Normal 3 18 2 3" xfId="8334"/>
    <cellStyle name="Normal 3 18 2 3 2" xfId="14528"/>
    <cellStyle name="Normal 3 18 2 3 2 2" xfId="34411"/>
    <cellStyle name="Normal 3 18 2 3 3" xfId="20680"/>
    <cellStyle name="Normal 3 18 2 3 3 2" xfId="40563"/>
    <cellStyle name="Normal 3 18 2 3 4" xfId="28258"/>
    <cellStyle name="Normal 3 18 2 4" xfId="11462"/>
    <cellStyle name="Normal 3 18 2 4 2" xfId="31345"/>
    <cellStyle name="Normal 3 18 2 5" xfId="17614"/>
    <cellStyle name="Normal 3 18 2 5 2" xfId="37497"/>
    <cellStyle name="Normal 3 18 2 6" xfId="25192"/>
    <cellStyle name="Normal 3 18 3" xfId="6000"/>
    <cellStyle name="Normal 3 18 3 2" xfId="9100"/>
    <cellStyle name="Normal 3 18 3 2 2" xfId="15293"/>
    <cellStyle name="Normal 3 18 3 2 2 2" xfId="35176"/>
    <cellStyle name="Normal 3 18 3 2 3" xfId="21445"/>
    <cellStyle name="Normal 3 18 3 2 3 2" xfId="41328"/>
    <cellStyle name="Normal 3 18 3 2 4" xfId="29023"/>
    <cellStyle name="Normal 3 18 3 3" xfId="12227"/>
    <cellStyle name="Normal 3 18 3 3 2" xfId="32110"/>
    <cellStyle name="Normal 3 18 3 4" xfId="18379"/>
    <cellStyle name="Normal 3 18 3 4 2" xfId="38262"/>
    <cellStyle name="Normal 3 18 3 5" xfId="25957"/>
    <cellStyle name="Normal 3 18 4" xfId="7565"/>
    <cellStyle name="Normal 3 18 4 2" xfId="13759"/>
    <cellStyle name="Normal 3 18 4 2 2" xfId="33642"/>
    <cellStyle name="Normal 3 18 4 3" xfId="19911"/>
    <cellStyle name="Normal 3 18 4 3 2" xfId="39794"/>
    <cellStyle name="Normal 3 18 4 4" xfId="27489"/>
    <cellStyle name="Normal 3 18 5" xfId="10693"/>
    <cellStyle name="Normal 3 18 5 2" xfId="30576"/>
    <cellStyle name="Normal 3 18 6" xfId="16845"/>
    <cellStyle name="Normal 3 18 6 2" xfId="36728"/>
    <cellStyle name="Normal 3 18 7" xfId="3729"/>
    <cellStyle name="Normal 3 18 7 2" xfId="24423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2 2" xfId="35946"/>
    <cellStyle name="Normal 3 19 2 2 2 3" xfId="22215"/>
    <cellStyle name="Normal 3 19 2 2 2 3 2" xfId="42098"/>
    <cellStyle name="Normal 3 19 2 2 2 4" xfId="29793"/>
    <cellStyle name="Normal 3 19 2 2 3" xfId="12997"/>
    <cellStyle name="Normal 3 19 2 2 3 2" xfId="32880"/>
    <cellStyle name="Normal 3 19 2 2 4" xfId="19149"/>
    <cellStyle name="Normal 3 19 2 2 4 2" xfId="39032"/>
    <cellStyle name="Normal 3 19 2 2 5" xfId="26727"/>
    <cellStyle name="Normal 3 19 2 3" xfId="8335"/>
    <cellStyle name="Normal 3 19 2 3 2" xfId="14529"/>
    <cellStyle name="Normal 3 19 2 3 2 2" xfId="34412"/>
    <cellStyle name="Normal 3 19 2 3 3" xfId="20681"/>
    <cellStyle name="Normal 3 19 2 3 3 2" xfId="40564"/>
    <cellStyle name="Normal 3 19 2 3 4" xfId="28259"/>
    <cellStyle name="Normal 3 19 2 4" xfId="11463"/>
    <cellStyle name="Normal 3 19 2 4 2" xfId="31346"/>
    <cellStyle name="Normal 3 19 2 5" xfId="17615"/>
    <cellStyle name="Normal 3 19 2 5 2" xfId="37498"/>
    <cellStyle name="Normal 3 19 2 6" xfId="25193"/>
    <cellStyle name="Normal 3 19 3" xfId="6001"/>
    <cellStyle name="Normal 3 19 3 2" xfId="9101"/>
    <cellStyle name="Normal 3 19 3 2 2" xfId="15294"/>
    <cellStyle name="Normal 3 19 3 2 2 2" xfId="35177"/>
    <cellStyle name="Normal 3 19 3 2 3" xfId="21446"/>
    <cellStyle name="Normal 3 19 3 2 3 2" xfId="41329"/>
    <cellStyle name="Normal 3 19 3 2 4" xfId="29024"/>
    <cellStyle name="Normal 3 19 3 3" xfId="12228"/>
    <cellStyle name="Normal 3 19 3 3 2" xfId="32111"/>
    <cellStyle name="Normal 3 19 3 4" xfId="18380"/>
    <cellStyle name="Normal 3 19 3 4 2" xfId="38263"/>
    <cellStyle name="Normal 3 19 3 5" xfId="25958"/>
    <cellStyle name="Normal 3 19 4" xfId="7566"/>
    <cellStyle name="Normal 3 19 4 2" xfId="13760"/>
    <cellStyle name="Normal 3 19 4 2 2" xfId="33643"/>
    <cellStyle name="Normal 3 19 4 3" xfId="19912"/>
    <cellStyle name="Normal 3 19 4 3 2" xfId="39795"/>
    <cellStyle name="Normal 3 19 4 4" xfId="27490"/>
    <cellStyle name="Normal 3 19 5" xfId="10694"/>
    <cellStyle name="Normal 3 19 5 2" xfId="30577"/>
    <cellStyle name="Normal 3 19 6" xfId="16846"/>
    <cellStyle name="Normal 3 19 6 2" xfId="36729"/>
    <cellStyle name="Normal 3 19 7" xfId="3730"/>
    <cellStyle name="Normal 3 19 7 2" xfId="24424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2 2" xfId="35947"/>
    <cellStyle name="Normal 3 2 2 2 2 2 3" xfId="22216"/>
    <cellStyle name="Normal 3 2 2 2 2 2 3 2" xfId="42099"/>
    <cellStyle name="Normal 3 2 2 2 2 2 4" xfId="29794"/>
    <cellStyle name="Normal 3 2 2 2 2 3" xfId="12998"/>
    <cellStyle name="Normal 3 2 2 2 2 3 2" xfId="32881"/>
    <cellStyle name="Normal 3 2 2 2 2 4" xfId="19150"/>
    <cellStyle name="Normal 3 2 2 2 2 4 2" xfId="39033"/>
    <cellStyle name="Normal 3 2 2 2 2 5" xfId="26728"/>
    <cellStyle name="Normal 3 2 2 2 3" xfId="8336"/>
    <cellStyle name="Normal 3 2 2 2 3 2" xfId="14530"/>
    <cellStyle name="Normal 3 2 2 2 3 2 2" xfId="34413"/>
    <cellStyle name="Normal 3 2 2 2 3 3" xfId="20682"/>
    <cellStyle name="Normal 3 2 2 2 3 3 2" xfId="40565"/>
    <cellStyle name="Normal 3 2 2 2 3 4" xfId="28260"/>
    <cellStyle name="Normal 3 2 2 2 4" xfId="11464"/>
    <cellStyle name="Normal 3 2 2 2 4 2" xfId="31347"/>
    <cellStyle name="Normal 3 2 2 2 5" xfId="17616"/>
    <cellStyle name="Normal 3 2 2 2 5 2" xfId="37499"/>
    <cellStyle name="Normal 3 2 2 2 6" xfId="23261"/>
    <cellStyle name="Normal 3 2 2 2 6 2" xfId="43020"/>
    <cellStyle name="Normal 3 2 2 2 7" xfId="25194"/>
    <cellStyle name="Normal 3 2 2 3" xfId="6002"/>
    <cellStyle name="Normal 3 2 2 3 2" xfId="9102"/>
    <cellStyle name="Normal 3 2 2 3 2 2" xfId="15295"/>
    <cellStyle name="Normal 3 2 2 3 2 2 2" xfId="35178"/>
    <cellStyle name="Normal 3 2 2 3 2 3" xfId="21447"/>
    <cellStyle name="Normal 3 2 2 3 2 3 2" xfId="41330"/>
    <cellStyle name="Normal 3 2 2 3 2 4" xfId="29025"/>
    <cellStyle name="Normal 3 2 2 3 3" xfId="12229"/>
    <cellStyle name="Normal 3 2 2 3 3 2" xfId="32112"/>
    <cellStyle name="Normal 3 2 2 3 4" xfId="18381"/>
    <cellStyle name="Normal 3 2 2 3 4 2" xfId="38264"/>
    <cellStyle name="Normal 3 2 2 3 5" xfId="23262"/>
    <cellStyle name="Normal 3 2 2 3 5 2" xfId="43021"/>
    <cellStyle name="Normal 3 2 2 3 6" xfId="25959"/>
    <cellStyle name="Normal 3 2 2 4" xfId="7567"/>
    <cellStyle name="Normal 3 2 2 4 2" xfId="13761"/>
    <cellStyle name="Normal 3 2 2 4 2 2" xfId="33644"/>
    <cellStyle name="Normal 3 2 2 4 3" xfId="19913"/>
    <cellStyle name="Normal 3 2 2 4 3 2" xfId="39796"/>
    <cellStyle name="Normal 3 2 2 4 4" xfId="27491"/>
    <cellStyle name="Normal 3 2 2 5" xfId="10695"/>
    <cellStyle name="Normal 3 2 2 5 2" xfId="30578"/>
    <cellStyle name="Normal 3 2 2 6" xfId="16847"/>
    <cellStyle name="Normal 3 2 2 6 2" xfId="36730"/>
    <cellStyle name="Normal 3 2 2 7" xfId="23260"/>
    <cellStyle name="Normal 3 2 2 7 2" xfId="43019"/>
    <cellStyle name="Normal 3 2 2 8" xfId="24425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2 2" xfId="35948"/>
    <cellStyle name="Normal 3 2 3 2 2 2 3" xfId="22217"/>
    <cellStyle name="Normal 3 2 3 2 2 2 3 2" xfId="42100"/>
    <cellStyle name="Normal 3 2 3 2 2 2 4" xfId="29795"/>
    <cellStyle name="Normal 3 2 3 2 2 3" xfId="12999"/>
    <cellStyle name="Normal 3 2 3 2 2 3 2" xfId="32882"/>
    <cellStyle name="Normal 3 2 3 2 2 4" xfId="19151"/>
    <cellStyle name="Normal 3 2 3 2 2 4 2" xfId="39034"/>
    <cellStyle name="Normal 3 2 3 2 2 5" xfId="26729"/>
    <cellStyle name="Normal 3 2 3 2 3" xfId="8337"/>
    <cellStyle name="Normal 3 2 3 2 3 2" xfId="14531"/>
    <cellStyle name="Normal 3 2 3 2 3 2 2" xfId="34414"/>
    <cellStyle name="Normal 3 2 3 2 3 3" xfId="20683"/>
    <cellStyle name="Normal 3 2 3 2 3 3 2" xfId="40566"/>
    <cellStyle name="Normal 3 2 3 2 3 4" xfId="28261"/>
    <cellStyle name="Normal 3 2 3 2 4" xfId="11465"/>
    <cellStyle name="Normal 3 2 3 2 4 2" xfId="31348"/>
    <cellStyle name="Normal 3 2 3 2 5" xfId="17617"/>
    <cellStyle name="Normal 3 2 3 2 5 2" xfId="37500"/>
    <cellStyle name="Normal 3 2 3 2 6" xfId="23264"/>
    <cellStyle name="Normal 3 2 3 2 6 2" xfId="43023"/>
    <cellStyle name="Normal 3 2 3 2 7" xfId="25195"/>
    <cellStyle name="Normal 3 2 3 3" xfId="6003"/>
    <cellStyle name="Normal 3 2 3 3 2" xfId="9103"/>
    <cellStyle name="Normal 3 2 3 3 2 2" xfId="15296"/>
    <cellStyle name="Normal 3 2 3 3 2 2 2" xfId="35179"/>
    <cellStyle name="Normal 3 2 3 3 2 3" xfId="21448"/>
    <cellStyle name="Normal 3 2 3 3 2 3 2" xfId="41331"/>
    <cellStyle name="Normal 3 2 3 3 2 4" xfId="29026"/>
    <cellStyle name="Normal 3 2 3 3 3" xfId="12230"/>
    <cellStyle name="Normal 3 2 3 3 3 2" xfId="32113"/>
    <cellStyle name="Normal 3 2 3 3 4" xfId="18382"/>
    <cellStyle name="Normal 3 2 3 3 4 2" xfId="38265"/>
    <cellStyle name="Normal 3 2 3 3 5" xfId="23265"/>
    <cellStyle name="Normal 3 2 3 3 5 2" xfId="43024"/>
    <cellStyle name="Normal 3 2 3 3 6" xfId="25960"/>
    <cellStyle name="Normal 3 2 3 4" xfId="7568"/>
    <cellStyle name="Normal 3 2 3 4 2" xfId="13762"/>
    <cellStyle name="Normal 3 2 3 4 2 2" xfId="33645"/>
    <cellStyle name="Normal 3 2 3 4 3" xfId="19914"/>
    <cellStyle name="Normal 3 2 3 4 3 2" xfId="39797"/>
    <cellStyle name="Normal 3 2 3 4 4" xfId="27492"/>
    <cellStyle name="Normal 3 2 3 5" xfId="10696"/>
    <cellStyle name="Normal 3 2 3 5 2" xfId="30579"/>
    <cellStyle name="Normal 3 2 3 6" xfId="16848"/>
    <cellStyle name="Normal 3 2 3 6 2" xfId="36731"/>
    <cellStyle name="Normal 3 2 3 7" xfId="23263"/>
    <cellStyle name="Normal 3 2 3 7 2" xfId="43022"/>
    <cellStyle name="Normal 3 2 3 8" xfId="24426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2 2" xfId="35949"/>
    <cellStyle name="Normal 3 2 4 2 2 2 3" xfId="22218"/>
    <cellStyle name="Normal 3 2 4 2 2 2 3 2" xfId="42101"/>
    <cellStyle name="Normal 3 2 4 2 2 2 4" xfId="29796"/>
    <cellStyle name="Normal 3 2 4 2 2 3" xfId="13000"/>
    <cellStyle name="Normal 3 2 4 2 2 3 2" xfId="32883"/>
    <cellStyle name="Normal 3 2 4 2 2 4" xfId="19152"/>
    <cellStyle name="Normal 3 2 4 2 2 4 2" xfId="39035"/>
    <cellStyle name="Normal 3 2 4 2 2 5" xfId="26730"/>
    <cellStyle name="Normal 3 2 4 2 3" xfId="8338"/>
    <cellStyle name="Normal 3 2 4 2 3 2" xfId="14532"/>
    <cellStyle name="Normal 3 2 4 2 3 2 2" xfId="34415"/>
    <cellStyle name="Normal 3 2 4 2 3 3" xfId="20684"/>
    <cellStyle name="Normal 3 2 4 2 3 3 2" xfId="40567"/>
    <cellStyle name="Normal 3 2 4 2 3 4" xfId="28262"/>
    <cellStyle name="Normal 3 2 4 2 4" xfId="11466"/>
    <cellStyle name="Normal 3 2 4 2 4 2" xfId="31349"/>
    <cellStyle name="Normal 3 2 4 2 5" xfId="17618"/>
    <cellStyle name="Normal 3 2 4 2 5 2" xfId="37501"/>
    <cellStyle name="Normal 3 2 4 2 6" xfId="25196"/>
    <cellStyle name="Normal 3 2 4 3" xfId="6004"/>
    <cellStyle name="Normal 3 2 4 3 2" xfId="9104"/>
    <cellStyle name="Normal 3 2 4 3 2 2" xfId="15297"/>
    <cellStyle name="Normal 3 2 4 3 2 2 2" xfId="35180"/>
    <cellStyle name="Normal 3 2 4 3 2 3" xfId="21449"/>
    <cellStyle name="Normal 3 2 4 3 2 3 2" xfId="41332"/>
    <cellStyle name="Normal 3 2 4 3 2 4" xfId="29027"/>
    <cellStyle name="Normal 3 2 4 3 3" xfId="12231"/>
    <cellStyle name="Normal 3 2 4 3 3 2" xfId="32114"/>
    <cellStyle name="Normal 3 2 4 3 4" xfId="18383"/>
    <cellStyle name="Normal 3 2 4 3 4 2" xfId="38266"/>
    <cellStyle name="Normal 3 2 4 3 5" xfId="25961"/>
    <cellStyle name="Normal 3 2 4 4" xfId="7569"/>
    <cellStyle name="Normal 3 2 4 4 2" xfId="13763"/>
    <cellStyle name="Normal 3 2 4 4 2 2" xfId="33646"/>
    <cellStyle name="Normal 3 2 4 4 3" xfId="19915"/>
    <cellStyle name="Normal 3 2 4 4 3 2" xfId="39798"/>
    <cellStyle name="Normal 3 2 4 4 4" xfId="27493"/>
    <cellStyle name="Normal 3 2 4 5" xfId="10697"/>
    <cellStyle name="Normal 3 2 4 5 2" xfId="30580"/>
    <cellStyle name="Normal 3 2 4 6" xfId="16849"/>
    <cellStyle name="Normal 3 2 4 6 2" xfId="36732"/>
    <cellStyle name="Normal 3 2 4 7" xfId="23266"/>
    <cellStyle name="Normal 3 2 4 7 2" xfId="43025"/>
    <cellStyle name="Normal 3 2 4 8" xfId="24427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2 2" xfId="35950"/>
    <cellStyle name="Normal 3 2 5 2 2 2 3" xfId="22219"/>
    <cellStyle name="Normal 3 2 5 2 2 2 3 2" xfId="42102"/>
    <cellStyle name="Normal 3 2 5 2 2 2 4" xfId="29797"/>
    <cellStyle name="Normal 3 2 5 2 2 3" xfId="13001"/>
    <cellStyle name="Normal 3 2 5 2 2 3 2" xfId="32884"/>
    <cellStyle name="Normal 3 2 5 2 2 4" xfId="19153"/>
    <cellStyle name="Normal 3 2 5 2 2 4 2" xfId="39036"/>
    <cellStyle name="Normal 3 2 5 2 2 5" xfId="26731"/>
    <cellStyle name="Normal 3 2 5 2 3" xfId="8339"/>
    <cellStyle name="Normal 3 2 5 2 3 2" xfId="14533"/>
    <cellStyle name="Normal 3 2 5 2 3 2 2" xfId="34416"/>
    <cellStyle name="Normal 3 2 5 2 3 3" xfId="20685"/>
    <cellStyle name="Normal 3 2 5 2 3 3 2" xfId="40568"/>
    <cellStyle name="Normal 3 2 5 2 3 4" xfId="28263"/>
    <cellStyle name="Normal 3 2 5 2 4" xfId="11467"/>
    <cellStyle name="Normal 3 2 5 2 4 2" xfId="31350"/>
    <cellStyle name="Normal 3 2 5 2 5" xfId="17619"/>
    <cellStyle name="Normal 3 2 5 2 5 2" xfId="37502"/>
    <cellStyle name="Normal 3 2 5 2 6" xfId="25197"/>
    <cellStyle name="Normal 3 2 5 3" xfId="6005"/>
    <cellStyle name="Normal 3 2 5 3 2" xfId="9105"/>
    <cellStyle name="Normal 3 2 5 3 2 2" xfId="15298"/>
    <cellStyle name="Normal 3 2 5 3 2 2 2" xfId="35181"/>
    <cellStyle name="Normal 3 2 5 3 2 3" xfId="21450"/>
    <cellStyle name="Normal 3 2 5 3 2 3 2" xfId="41333"/>
    <cellStyle name="Normal 3 2 5 3 2 4" xfId="29028"/>
    <cellStyle name="Normal 3 2 5 3 3" xfId="12232"/>
    <cellStyle name="Normal 3 2 5 3 3 2" xfId="32115"/>
    <cellStyle name="Normal 3 2 5 3 4" xfId="18384"/>
    <cellStyle name="Normal 3 2 5 3 4 2" xfId="38267"/>
    <cellStyle name="Normal 3 2 5 3 5" xfId="25962"/>
    <cellStyle name="Normal 3 2 5 4" xfId="7570"/>
    <cellStyle name="Normal 3 2 5 4 2" xfId="13764"/>
    <cellStyle name="Normal 3 2 5 4 2 2" xfId="33647"/>
    <cellStyle name="Normal 3 2 5 4 3" xfId="19916"/>
    <cellStyle name="Normal 3 2 5 4 3 2" xfId="39799"/>
    <cellStyle name="Normal 3 2 5 4 4" xfId="27494"/>
    <cellStyle name="Normal 3 2 5 5" xfId="10698"/>
    <cellStyle name="Normal 3 2 5 5 2" xfId="30581"/>
    <cellStyle name="Normal 3 2 5 6" xfId="16850"/>
    <cellStyle name="Normal 3 2 5 6 2" xfId="36733"/>
    <cellStyle name="Normal 3 2 5 7" xfId="23267"/>
    <cellStyle name="Normal 3 2 5 7 2" xfId="43026"/>
    <cellStyle name="Normal 3 2 5 8" xfId="24428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2 2" xfId="35951"/>
    <cellStyle name="Normal 3 2 6 2 2 2 3" xfId="22220"/>
    <cellStyle name="Normal 3 2 6 2 2 2 3 2" xfId="42103"/>
    <cellStyle name="Normal 3 2 6 2 2 2 4" xfId="29798"/>
    <cellStyle name="Normal 3 2 6 2 2 3" xfId="13002"/>
    <cellStyle name="Normal 3 2 6 2 2 3 2" xfId="32885"/>
    <cellStyle name="Normal 3 2 6 2 2 4" xfId="19154"/>
    <cellStyle name="Normal 3 2 6 2 2 4 2" xfId="39037"/>
    <cellStyle name="Normal 3 2 6 2 2 5" xfId="26732"/>
    <cellStyle name="Normal 3 2 6 2 3" xfId="8340"/>
    <cellStyle name="Normal 3 2 6 2 3 2" xfId="14534"/>
    <cellStyle name="Normal 3 2 6 2 3 2 2" xfId="34417"/>
    <cellStyle name="Normal 3 2 6 2 3 3" xfId="20686"/>
    <cellStyle name="Normal 3 2 6 2 3 3 2" xfId="40569"/>
    <cellStyle name="Normal 3 2 6 2 3 4" xfId="28264"/>
    <cellStyle name="Normal 3 2 6 2 4" xfId="11468"/>
    <cellStyle name="Normal 3 2 6 2 4 2" xfId="31351"/>
    <cellStyle name="Normal 3 2 6 2 5" xfId="17620"/>
    <cellStyle name="Normal 3 2 6 2 5 2" xfId="37503"/>
    <cellStyle name="Normal 3 2 6 2 6" xfId="25198"/>
    <cellStyle name="Normal 3 2 6 3" xfId="6006"/>
    <cellStyle name="Normal 3 2 6 3 2" xfId="9106"/>
    <cellStyle name="Normal 3 2 6 3 2 2" xfId="15299"/>
    <cellStyle name="Normal 3 2 6 3 2 2 2" xfId="35182"/>
    <cellStyle name="Normal 3 2 6 3 2 3" xfId="21451"/>
    <cellStyle name="Normal 3 2 6 3 2 3 2" xfId="41334"/>
    <cellStyle name="Normal 3 2 6 3 2 4" xfId="29029"/>
    <cellStyle name="Normal 3 2 6 3 3" xfId="12233"/>
    <cellStyle name="Normal 3 2 6 3 3 2" xfId="32116"/>
    <cellStyle name="Normal 3 2 6 3 4" xfId="18385"/>
    <cellStyle name="Normal 3 2 6 3 4 2" xfId="38268"/>
    <cellStyle name="Normal 3 2 6 3 5" xfId="25963"/>
    <cellStyle name="Normal 3 2 6 4" xfId="7571"/>
    <cellStyle name="Normal 3 2 6 4 2" xfId="13765"/>
    <cellStyle name="Normal 3 2 6 4 2 2" xfId="33648"/>
    <cellStyle name="Normal 3 2 6 4 3" xfId="19917"/>
    <cellStyle name="Normal 3 2 6 4 3 2" xfId="39800"/>
    <cellStyle name="Normal 3 2 6 4 4" xfId="27495"/>
    <cellStyle name="Normal 3 2 6 5" xfId="10699"/>
    <cellStyle name="Normal 3 2 6 5 2" xfId="30582"/>
    <cellStyle name="Normal 3 2 6 6" xfId="16851"/>
    <cellStyle name="Normal 3 2 6 6 2" xfId="36734"/>
    <cellStyle name="Normal 3 2 6 7" xfId="24429"/>
    <cellStyle name="Normal 3 2 7" xfId="3731"/>
    <cellStyle name="Normal 3 2 8" xfId="198"/>
    <cellStyle name="Normal 3 2 9" xfId="23259"/>
    <cellStyle name="Normal 3 2 9 2" xfId="43018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2 2" xfId="35952"/>
    <cellStyle name="Normal 3 20 2 2 2 3" xfId="22221"/>
    <cellStyle name="Normal 3 20 2 2 2 3 2" xfId="42104"/>
    <cellStyle name="Normal 3 20 2 2 2 4" xfId="29799"/>
    <cellStyle name="Normal 3 20 2 2 3" xfId="13003"/>
    <cellStyle name="Normal 3 20 2 2 3 2" xfId="32886"/>
    <cellStyle name="Normal 3 20 2 2 4" xfId="19155"/>
    <cellStyle name="Normal 3 20 2 2 4 2" xfId="39038"/>
    <cellStyle name="Normal 3 20 2 2 5" xfId="26733"/>
    <cellStyle name="Normal 3 20 2 3" xfId="8341"/>
    <cellStyle name="Normal 3 20 2 3 2" xfId="14535"/>
    <cellStyle name="Normal 3 20 2 3 2 2" xfId="34418"/>
    <cellStyle name="Normal 3 20 2 3 3" xfId="20687"/>
    <cellStyle name="Normal 3 20 2 3 3 2" xfId="40570"/>
    <cellStyle name="Normal 3 20 2 3 4" xfId="28265"/>
    <cellStyle name="Normal 3 20 2 4" xfId="11469"/>
    <cellStyle name="Normal 3 20 2 4 2" xfId="31352"/>
    <cellStyle name="Normal 3 20 2 5" xfId="17621"/>
    <cellStyle name="Normal 3 20 2 5 2" xfId="37504"/>
    <cellStyle name="Normal 3 20 2 6" xfId="25199"/>
    <cellStyle name="Normal 3 20 3" xfId="6007"/>
    <cellStyle name="Normal 3 20 3 2" xfId="9107"/>
    <cellStyle name="Normal 3 20 3 2 2" xfId="15300"/>
    <cellStyle name="Normal 3 20 3 2 2 2" xfId="35183"/>
    <cellStyle name="Normal 3 20 3 2 3" xfId="21452"/>
    <cellStyle name="Normal 3 20 3 2 3 2" xfId="41335"/>
    <cellStyle name="Normal 3 20 3 2 4" xfId="29030"/>
    <cellStyle name="Normal 3 20 3 3" xfId="12234"/>
    <cellStyle name="Normal 3 20 3 3 2" xfId="32117"/>
    <cellStyle name="Normal 3 20 3 4" xfId="18386"/>
    <cellStyle name="Normal 3 20 3 4 2" xfId="38269"/>
    <cellStyle name="Normal 3 20 3 5" xfId="25964"/>
    <cellStyle name="Normal 3 20 4" xfId="7572"/>
    <cellStyle name="Normal 3 20 4 2" xfId="13766"/>
    <cellStyle name="Normal 3 20 4 2 2" xfId="33649"/>
    <cellStyle name="Normal 3 20 4 3" xfId="19918"/>
    <cellStyle name="Normal 3 20 4 3 2" xfId="39801"/>
    <cellStyle name="Normal 3 20 4 4" xfId="27496"/>
    <cellStyle name="Normal 3 20 5" xfId="10700"/>
    <cellStyle name="Normal 3 20 5 2" xfId="30583"/>
    <cellStyle name="Normal 3 20 6" xfId="16852"/>
    <cellStyle name="Normal 3 20 6 2" xfId="36735"/>
    <cellStyle name="Normal 3 20 7" xfId="3737"/>
    <cellStyle name="Normal 3 20 7 2" xfId="24430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2 2" xfId="35953"/>
    <cellStyle name="Normal 3 21 2 2 2 3" xfId="22222"/>
    <cellStyle name="Normal 3 21 2 2 2 3 2" xfId="42105"/>
    <cellStyle name="Normal 3 21 2 2 2 4" xfId="29800"/>
    <cellStyle name="Normal 3 21 2 2 3" xfId="13004"/>
    <cellStyle name="Normal 3 21 2 2 3 2" xfId="32887"/>
    <cellStyle name="Normal 3 21 2 2 4" xfId="19156"/>
    <cellStyle name="Normal 3 21 2 2 4 2" xfId="39039"/>
    <cellStyle name="Normal 3 21 2 2 5" xfId="26734"/>
    <cellStyle name="Normal 3 21 2 3" xfId="8342"/>
    <cellStyle name="Normal 3 21 2 3 2" xfId="14536"/>
    <cellStyle name="Normal 3 21 2 3 2 2" xfId="34419"/>
    <cellStyle name="Normal 3 21 2 3 3" xfId="20688"/>
    <cellStyle name="Normal 3 21 2 3 3 2" xfId="40571"/>
    <cellStyle name="Normal 3 21 2 3 4" xfId="28266"/>
    <cellStyle name="Normal 3 21 2 4" xfId="11470"/>
    <cellStyle name="Normal 3 21 2 4 2" xfId="31353"/>
    <cellStyle name="Normal 3 21 2 5" xfId="17622"/>
    <cellStyle name="Normal 3 21 2 5 2" xfId="37505"/>
    <cellStyle name="Normal 3 21 2 6" xfId="25200"/>
    <cellStyle name="Normal 3 21 3" xfId="6008"/>
    <cellStyle name="Normal 3 21 3 2" xfId="9108"/>
    <cellStyle name="Normal 3 21 3 2 2" xfId="15301"/>
    <cellStyle name="Normal 3 21 3 2 2 2" xfId="35184"/>
    <cellStyle name="Normal 3 21 3 2 3" xfId="21453"/>
    <cellStyle name="Normal 3 21 3 2 3 2" xfId="41336"/>
    <cellStyle name="Normal 3 21 3 2 4" xfId="29031"/>
    <cellStyle name="Normal 3 21 3 3" xfId="12235"/>
    <cellStyle name="Normal 3 21 3 3 2" xfId="32118"/>
    <cellStyle name="Normal 3 21 3 4" xfId="18387"/>
    <cellStyle name="Normal 3 21 3 4 2" xfId="38270"/>
    <cellStyle name="Normal 3 21 3 5" xfId="25965"/>
    <cellStyle name="Normal 3 21 4" xfId="7573"/>
    <cellStyle name="Normal 3 21 4 2" xfId="13767"/>
    <cellStyle name="Normal 3 21 4 2 2" xfId="33650"/>
    <cellStyle name="Normal 3 21 4 3" xfId="19919"/>
    <cellStyle name="Normal 3 21 4 3 2" xfId="39802"/>
    <cellStyle name="Normal 3 21 4 4" xfId="27497"/>
    <cellStyle name="Normal 3 21 5" xfId="10701"/>
    <cellStyle name="Normal 3 21 5 2" xfId="30584"/>
    <cellStyle name="Normal 3 21 6" xfId="16853"/>
    <cellStyle name="Normal 3 21 6 2" xfId="36736"/>
    <cellStyle name="Normal 3 21 7" xfId="3738"/>
    <cellStyle name="Normal 3 21 7 2" xfId="24431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2 2" xfId="35954"/>
    <cellStyle name="Normal 3 22 2 2 2 3" xfId="22223"/>
    <cellStyle name="Normal 3 22 2 2 2 3 2" xfId="42106"/>
    <cellStyle name="Normal 3 22 2 2 2 4" xfId="29801"/>
    <cellStyle name="Normal 3 22 2 2 3" xfId="13005"/>
    <cellStyle name="Normal 3 22 2 2 3 2" xfId="32888"/>
    <cellStyle name="Normal 3 22 2 2 4" xfId="19157"/>
    <cellStyle name="Normal 3 22 2 2 4 2" xfId="39040"/>
    <cellStyle name="Normal 3 22 2 2 5" xfId="26735"/>
    <cellStyle name="Normal 3 22 2 3" xfId="8343"/>
    <cellStyle name="Normal 3 22 2 3 2" xfId="14537"/>
    <cellStyle name="Normal 3 22 2 3 2 2" xfId="34420"/>
    <cellStyle name="Normal 3 22 2 3 3" xfId="20689"/>
    <cellStyle name="Normal 3 22 2 3 3 2" xfId="40572"/>
    <cellStyle name="Normal 3 22 2 3 4" xfId="28267"/>
    <cellStyle name="Normal 3 22 2 4" xfId="11471"/>
    <cellStyle name="Normal 3 22 2 4 2" xfId="31354"/>
    <cellStyle name="Normal 3 22 2 5" xfId="17623"/>
    <cellStyle name="Normal 3 22 2 5 2" xfId="37506"/>
    <cellStyle name="Normal 3 22 2 6" xfId="25201"/>
    <cellStyle name="Normal 3 22 3" xfId="6009"/>
    <cellStyle name="Normal 3 22 3 2" xfId="9109"/>
    <cellStyle name="Normal 3 22 3 2 2" xfId="15302"/>
    <cellStyle name="Normal 3 22 3 2 2 2" xfId="35185"/>
    <cellStyle name="Normal 3 22 3 2 3" xfId="21454"/>
    <cellStyle name="Normal 3 22 3 2 3 2" xfId="41337"/>
    <cellStyle name="Normal 3 22 3 2 4" xfId="29032"/>
    <cellStyle name="Normal 3 22 3 3" xfId="12236"/>
    <cellStyle name="Normal 3 22 3 3 2" xfId="32119"/>
    <cellStyle name="Normal 3 22 3 4" xfId="18388"/>
    <cellStyle name="Normal 3 22 3 4 2" xfId="38271"/>
    <cellStyle name="Normal 3 22 3 5" xfId="25966"/>
    <cellStyle name="Normal 3 22 4" xfId="7574"/>
    <cellStyle name="Normal 3 22 4 2" xfId="13768"/>
    <cellStyle name="Normal 3 22 4 2 2" xfId="33651"/>
    <cellStyle name="Normal 3 22 4 3" xfId="19920"/>
    <cellStyle name="Normal 3 22 4 3 2" xfId="39803"/>
    <cellStyle name="Normal 3 22 4 4" xfId="27498"/>
    <cellStyle name="Normal 3 22 5" xfId="10702"/>
    <cellStyle name="Normal 3 22 5 2" xfId="30585"/>
    <cellStyle name="Normal 3 22 6" xfId="16854"/>
    <cellStyle name="Normal 3 22 6 2" xfId="36737"/>
    <cellStyle name="Normal 3 22 7" xfId="3739"/>
    <cellStyle name="Normal 3 22 7 2" xfId="24432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2 2" xfId="35955"/>
    <cellStyle name="Normal 3 23 2 2 2 3" xfId="22224"/>
    <cellStyle name="Normal 3 23 2 2 2 3 2" xfId="42107"/>
    <cellStyle name="Normal 3 23 2 2 2 4" xfId="29802"/>
    <cellStyle name="Normal 3 23 2 2 3" xfId="13006"/>
    <cellStyle name="Normal 3 23 2 2 3 2" xfId="32889"/>
    <cellStyle name="Normal 3 23 2 2 4" xfId="19158"/>
    <cellStyle name="Normal 3 23 2 2 4 2" xfId="39041"/>
    <cellStyle name="Normal 3 23 2 2 5" xfId="26736"/>
    <cellStyle name="Normal 3 23 2 3" xfId="8344"/>
    <cellStyle name="Normal 3 23 2 3 2" xfId="14538"/>
    <cellStyle name="Normal 3 23 2 3 2 2" xfId="34421"/>
    <cellStyle name="Normal 3 23 2 3 3" xfId="20690"/>
    <cellStyle name="Normal 3 23 2 3 3 2" xfId="40573"/>
    <cellStyle name="Normal 3 23 2 3 4" xfId="28268"/>
    <cellStyle name="Normal 3 23 2 4" xfId="11472"/>
    <cellStyle name="Normal 3 23 2 4 2" xfId="31355"/>
    <cellStyle name="Normal 3 23 2 5" xfId="17624"/>
    <cellStyle name="Normal 3 23 2 5 2" xfId="37507"/>
    <cellStyle name="Normal 3 23 2 6" xfId="25202"/>
    <cellStyle name="Normal 3 23 3" xfId="6010"/>
    <cellStyle name="Normal 3 23 3 2" xfId="9110"/>
    <cellStyle name="Normal 3 23 3 2 2" xfId="15303"/>
    <cellStyle name="Normal 3 23 3 2 2 2" xfId="35186"/>
    <cellStyle name="Normal 3 23 3 2 3" xfId="21455"/>
    <cellStyle name="Normal 3 23 3 2 3 2" xfId="41338"/>
    <cellStyle name="Normal 3 23 3 2 4" xfId="29033"/>
    <cellStyle name="Normal 3 23 3 3" xfId="12237"/>
    <cellStyle name="Normal 3 23 3 3 2" xfId="32120"/>
    <cellStyle name="Normal 3 23 3 4" xfId="18389"/>
    <cellStyle name="Normal 3 23 3 4 2" xfId="38272"/>
    <cellStyle name="Normal 3 23 3 5" xfId="25967"/>
    <cellStyle name="Normal 3 23 4" xfId="7575"/>
    <cellStyle name="Normal 3 23 4 2" xfId="13769"/>
    <cellStyle name="Normal 3 23 4 2 2" xfId="33652"/>
    <cellStyle name="Normal 3 23 4 3" xfId="19921"/>
    <cellStyle name="Normal 3 23 4 3 2" xfId="39804"/>
    <cellStyle name="Normal 3 23 4 4" xfId="27499"/>
    <cellStyle name="Normal 3 23 5" xfId="10703"/>
    <cellStyle name="Normal 3 23 5 2" xfId="30586"/>
    <cellStyle name="Normal 3 23 6" xfId="16855"/>
    <cellStyle name="Normal 3 23 6 2" xfId="36738"/>
    <cellStyle name="Normal 3 23 7" xfId="3740"/>
    <cellStyle name="Normal 3 23 7 2" xfId="24433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2 2" xfId="35956"/>
    <cellStyle name="Normal 3 24 2 2 2 3" xfId="22225"/>
    <cellStyle name="Normal 3 24 2 2 2 3 2" xfId="42108"/>
    <cellStyle name="Normal 3 24 2 2 2 4" xfId="29803"/>
    <cellStyle name="Normal 3 24 2 2 3" xfId="13007"/>
    <cellStyle name="Normal 3 24 2 2 3 2" xfId="32890"/>
    <cellStyle name="Normal 3 24 2 2 4" xfId="19159"/>
    <cellStyle name="Normal 3 24 2 2 4 2" xfId="39042"/>
    <cellStyle name="Normal 3 24 2 2 5" xfId="26737"/>
    <cellStyle name="Normal 3 24 2 3" xfId="8345"/>
    <cellStyle name="Normal 3 24 2 3 2" xfId="14539"/>
    <cellStyle name="Normal 3 24 2 3 2 2" xfId="34422"/>
    <cellStyle name="Normal 3 24 2 3 3" xfId="20691"/>
    <cellStyle name="Normal 3 24 2 3 3 2" xfId="40574"/>
    <cellStyle name="Normal 3 24 2 3 4" xfId="28269"/>
    <cellStyle name="Normal 3 24 2 4" xfId="11473"/>
    <cellStyle name="Normal 3 24 2 4 2" xfId="31356"/>
    <cellStyle name="Normal 3 24 2 5" xfId="17625"/>
    <cellStyle name="Normal 3 24 2 5 2" xfId="37508"/>
    <cellStyle name="Normal 3 24 2 6" xfId="25203"/>
    <cellStyle name="Normal 3 24 3" xfId="6011"/>
    <cellStyle name="Normal 3 24 3 2" xfId="9111"/>
    <cellStyle name="Normal 3 24 3 2 2" xfId="15304"/>
    <cellStyle name="Normal 3 24 3 2 2 2" xfId="35187"/>
    <cellStyle name="Normal 3 24 3 2 3" xfId="21456"/>
    <cellStyle name="Normal 3 24 3 2 3 2" xfId="41339"/>
    <cellStyle name="Normal 3 24 3 2 4" xfId="29034"/>
    <cellStyle name="Normal 3 24 3 3" xfId="12238"/>
    <cellStyle name="Normal 3 24 3 3 2" xfId="32121"/>
    <cellStyle name="Normal 3 24 3 4" xfId="18390"/>
    <cellStyle name="Normal 3 24 3 4 2" xfId="38273"/>
    <cellStyle name="Normal 3 24 3 5" xfId="25968"/>
    <cellStyle name="Normal 3 24 4" xfId="7576"/>
    <cellStyle name="Normal 3 24 4 2" xfId="13770"/>
    <cellStyle name="Normal 3 24 4 2 2" xfId="33653"/>
    <cellStyle name="Normal 3 24 4 3" xfId="19922"/>
    <cellStyle name="Normal 3 24 4 3 2" xfId="39805"/>
    <cellStyle name="Normal 3 24 4 4" xfId="27500"/>
    <cellStyle name="Normal 3 24 5" xfId="10704"/>
    <cellStyle name="Normal 3 24 5 2" xfId="30587"/>
    <cellStyle name="Normal 3 24 6" xfId="16856"/>
    <cellStyle name="Normal 3 24 6 2" xfId="36739"/>
    <cellStyle name="Normal 3 24 7" xfId="3741"/>
    <cellStyle name="Normal 3 24 7 2" xfId="24434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0 2" xfId="24435"/>
    <cellStyle name="Normal 3 3 11" xfId="1169"/>
    <cellStyle name="Normal 3 3 12" xfId="22831"/>
    <cellStyle name="Normal 3 3 12 2" xfId="42705"/>
    <cellStyle name="Normal 3 3 13" xfId="209"/>
    <cellStyle name="Normal 3 3 13 2" xfId="23408"/>
    <cellStyle name="Normal 3 3 14" xfId="23268"/>
    <cellStyle name="Normal 3 3 14 2" xfId="43027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2 2" xfId="35958"/>
    <cellStyle name="Normal 3 3 2 2 2 2 3" xfId="22227"/>
    <cellStyle name="Normal 3 3 2 2 2 2 3 2" xfId="42110"/>
    <cellStyle name="Normal 3 3 2 2 2 2 4" xfId="29805"/>
    <cellStyle name="Normal 3 3 2 2 2 3" xfId="13009"/>
    <cellStyle name="Normal 3 3 2 2 2 3 2" xfId="32892"/>
    <cellStyle name="Normal 3 3 2 2 2 4" xfId="19161"/>
    <cellStyle name="Normal 3 3 2 2 2 4 2" xfId="39044"/>
    <cellStyle name="Normal 3 3 2 2 2 5" xfId="26739"/>
    <cellStyle name="Normal 3 3 2 2 3" xfId="8347"/>
    <cellStyle name="Normal 3 3 2 2 3 2" xfId="14541"/>
    <cellStyle name="Normal 3 3 2 2 3 2 2" xfId="34424"/>
    <cellStyle name="Normal 3 3 2 2 3 3" xfId="20693"/>
    <cellStyle name="Normal 3 3 2 2 3 3 2" xfId="40576"/>
    <cellStyle name="Normal 3 3 2 2 3 4" xfId="28271"/>
    <cellStyle name="Normal 3 3 2 2 4" xfId="11475"/>
    <cellStyle name="Normal 3 3 2 2 4 2" xfId="31358"/>
    <cellStyle name="Normal 3 3 2 2 5" xfId="17627"/>
    <cellStyle name="Normal 3 3 2 2 5 2" xfId="37510"/>
    <cellStyle name="Normal 3 3 2 2 6" xfId="23270"/>
    <cellStyle name="Normal 3 3 2 2 6 2" xfId="43029"/>
    <cellStyle name="Normal 3 3 2 2 7" xfId="25205"/>
    <cellStyle name="Normal 3 3 2 3" xfId="6013"/>
    <cellStyle name="Normal 3 3 2 3 2" xfId="9113"/>
    <cellStyle name="Normal 3 3 2 3 2 2" xfId="15306"/>
    <cellStyle name="Normal 3 3 2 3 2 2 2" xfId="35189"/>
    <cellStyle name="Normal 3 3 2 3 2 3" xfId="21458"/>
    <cellStyle name="Normal 3 3 2 3 2 3 2" xfId="41341"/>
    <cellStyle name="Normal 3 3 2 3 2 4" xfId="29036"/>
    <cellStyle name="Normal 3 3 2 3 3" xfId="12240"/>
    <cellStyle name="Normal 3 3 2 3 3 2" xfId="32123"/>
    <cellStyle name="Normal 3 3 2 3 4" xfId="18392"/>
    <cellStyle name="Normal 3 3 2 3 4 2" xfId="38275"/>
    <cellStyle name="Normal 3 3 2 3 5" xfId="25970"/>
    <cellStyle name="Normal 3 3 2 4" xfId="7578"/>
    <cellStyle name="Normal 3 3 2 4 2" xfId="13772"/>
    <cellStyle name="Normal 3 3 2 4 2 2" xfId="33655"/>
    <cellStyle name="Normal 3 3 2 4 3" xfId="19924"/>
    <cellStyle name="Normal 3 3 2 4 3 2" xfId="39807"/>
    <cellStyle name="Normal 3 3 2 4 4" xfId="27502"/>
    <cellStyle name="Normal 3 3 2 5" xfId="10706"/>
    <cellStyle name="Normal 3 3 2 5 2" xfId="30589"/>
    <cellStyle name="Normal 3 3 2 6" xfId="16858"/>
    <cellStyle name="Normal 3 3 2 6 2" xfId="36741"/>
    <cellStyle name="Normal 3 3 2 7" xfId="3749"/>
    <cellStyle name="Normal 3 3 2 7 2" xfId="24436"/>
    <cellStyle name="Normal 3 3 2 8" xfId="23269"/>
    <cellStyle name="Normal 3 3 2 8 2" xfId="43028"/>
    <cellStyle name="Normal 3 3 2 9" xfId="23711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2 2" xfId="35959"/>
    <cellStyle name="Normal 3 3 3 2 2 2 3" xfId="22228"/>
    <cellStyle name="Normal 3 3 3 2 2 2 3 2" xfId="42111"/>
    <cellStyle name="Normal 3 3 3 2 2 2 4" xfId="29806"/>
    <cellStyle name="Normal 3 3 3 2 2 3" xfId="13010"/>
    <cellStyle name="Normal 3 3 3 2 2 3 2" xfId="32893"/>
    <cellStyle name="Normal 3 3 3 2 2 4" xfId="19162"/>
    <cellStyle name="Normal 3 3 3 2 2 4 2" xfId="39045"/>
    <cellStyle name="Normal 3 3 3 2 2 5" xfId="26740"/>
    <cellStyle name="Normal 3 3 3 2 3" xfId="8348"/>
    <cellStyle name="Normal 3 3 3 2 3 2" xfId="14542"/>
    <cellStyle name="Normal 3 3 3 2 3 2 2" xfId="34425"/>
    <cellStyle name="Normal 3 3 3 2 3 3" xfId="20694"/>
    <cellStyle name="Normal 3 3 3 2 3 3 2" xfId="40577"/>
    <cellStyle name="Normal 3 3 3 2 3 4" xfId="28272"/>
    <cellStyle name="Normal 3 3 3 2 4" xfId="11476"/>
    <cellStyle name="Normal 3 3 3 2 4 2" xfId="31359"/>
    <cellStyle name="Normal 3 3 3 2 5" xfId="17628"/>
    <cellStyle name="Normal 3 3 3 2 5 2" xfId="37511"/>
    <cellStyle name="Normal 3 3 3 2 6" xfId="25206"/>
    <cellStyle name="Normal 3 3 3 3" xfId="6014"/>
    <cellStyle name="Normal 3 3 3 3 2" xfId="9114"/>
    <cellStyle name="Normal 3 3 3 3 2 2" xfId="15307"/>
    <cellStyle name="Normal 3 3 3 3 2 2 2" xfId="35190"/>
    <cellStyle name="Normal 3 3 3 3 2 3" xfId="21459"/>
    <cellStyle name="Normal 3 3 3 3 2 3 2" xfId="41342"/>
    <cellStyle name="Normal 3 3 3 3 2 4" xfId="29037"/>
    <cellStyle name="Normal 3 3 3 3 3" xfId="12241"/>
    <cellStyle name="Normal 3 3 3 3 3 2" xfId="32124"/>
    <cellStyle name="Normal 3 3 3 3 4" xfId="18393"/>
    <cellStyle name="Normal 3 3 3 3 4 2" xfId="38276"/>
    <cellStyle name="Normal 3 3 3 3 5" xfId="25971"/>
    <cellStyle name="Normal 3 3 3 4" xfId="7579"/>
    <cellStyle name="Normal 3 3 3 4 2" xfId="13773"/>
    <cellStyle name="Normal 3 3 3 4 2 2" xfId="33656"/>
    <cellStyle name="Normal 3 3 3 4 3" xfId="19925"/>
    <cellStyle name="Normal 3 3 3 4 3 2" xfId="39808"/>
    <cellStyle name="Normal 3 3 3 4 4" xfId="27503"/>
    <cellStyle name="Normal 3 3 3 5" xfId="10707"/>
    <cellStyle name="Normal 3 3 3 5 2" xfId="30590"/>
    <cellStyle name="Normal 3 3 3 6" xfId="16859"/>
    <cellStyle name="Normal 3 3 3 6 2" xfId="36742"/>
    <cellStyle name="Normal 3 3 3 7" xfId="23271"/>
    <cellStyle name="Normal 3 3 3 7 2" xfId="43030"/>
    <cellStyle name="Normal 3 3 3 8" xfId="24437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2 2" xfId="35957"/>
    <cellStyle name="Normal 3 3 5 2 2 3" xfId="22226"/>
    <cellStyle name="Normal 3 3 5 2 2 3 2" xfId="42109"/>
    <cellStyle name="Normal 3 3 5 2 2 4" xfId="29804"/>
    <cellStyle name="Normal 3 3 5 2 3" xfId="13008"/>
    <cellStyle name="Normal 3 3 5 2 3 2" xfId="32891"/>
    <cellStyle name="Normal 3 3 5 2 4" xfId="19160"/>
    <cellStyle name="Normal 3 3 5 2 4 2" xfId="39043"/>
    <cellStyle name="Normal 3 3 5 2 5" xfId="26738"/>
    <cellStyle name="Normal 3 3 5 3" xfId="8346"/>
    <cellStyle name="Normal 3 3 5 3 2" xfId="14540"/>
    <cellStyle name="Normal 3 3 5 3 2 2" xfId="34423"/>
    <cellStyle name="Normal 3 3 5 3 3" xfId="20692"/>
    <cellStyle name="Normal 3 3 5 3 3 2" xfId="40575"/>
    <cellStyle name="Normal 3 3 5 3 4" xfId="28270"/>
    <cellStyle name="Normal 3 3 5 4" xfId="11474"/>
    <cellStyle name="Normal 3 3 5 4 2" xfId="31357"/>
    <cellStyle name="Normal 3 3 5 5" xfId="17626"/>
    <cellStyle name="Normal 3 3 5 5 2" xfId="37509"/>
    <cellStyle name="Normal 3 3 5 6" xfId="25204"/>
    <cellStyle name="Normal 3 3 6" xfId="6012"/>
    <cellStyle name="Normal 3 3 6 2" xfId="9112"/>
    <cellStyle name="Normal 3 3 6 2 2" xfId="15305"/>
    <cellStyle name="Normal 3 3 6 2 2 2" xfId="35188"/>
    <cellStyle name="Normal 3 3 6 2 3" xfId="21457"/>
    <cellStyle name="Normal 3 3 6 2 3 2" xfId="41340"/>
    <cellStyle name="Normal 3 3 6 2 4" xfId="29035"/>
    <cellStyle name="Normal 3 3 6 3" xfId="12239"/>
    <cellStyle name="Normal 3 3 6 3 2" xfId="32122"/>
    <cellStyle name="Normal 3 3 6 4" xfId="18391"/>
    <cellStyle name="Normal 3 3 6 4 2" xfId="38274"/>
    <cellStyle name="Normal 3 3 6 5" xfId="25969"/>
    <cellStyle name="Normal 3 3 7" xfId="7577"/>
    <cellStyle name="Normal 3 3 7 2" xfId="13771"/>
    <cellStyle name="Normal 3 3 7 2 2" xfId="33654"/>
    <cellStyle name="Normal 3 3 7 3" xfId="19923"/>
    <cellStyle name="Normal 3 3 7 3 2" xfId="39806"/>
    <cellStyle name="Normal 3 3 7 4" xfId="27501"/>
    <cellStyle name="Normal 3 3 8" xfId="10705"/>
    <cellStyle name="Normal 3 3 8 2" xfId="30588"/>
    <cellStyle name="Normal 3 3 9" xfId="16857"/>
    <cellStyle name="Normal 3 3 9 2" xfId="36740"/>
    <cellStyle name="Normal 3 30" xfId="696"/>
    <cellStyle name="Normal 3 30 2" xfId="10234"/>
    <cellStyle name="Normal 3 31" xfId="728"/>
    <cellStyle name="Normal 3 32" xfId="23258"/>
    <cellStyle name="Normal 3 32 2" xfId="43017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2 2" xfId="35961"/>
    <cellStyle name="Normal 3 4 2 2 2 2 3" xfId="22230"/>
    <cellStyle name="Normal 3 4 2 2 2 2 3 2" xfId="42113"/>
    <cellStyle name="Normal 3 4 2 2 2 2 4" xfId="29808"/>
    <cellStyle name="Normal 3 4 2 2 2 3" xfId="13012"/>
    <cellStyle name="Normal 3 4 2 2 2 3 2" xfId="32895"/>
    <cellStyle name="Normal 3 4 2 2 2 4" xfId="19164"/>
    <cellStyle name="Normal 3 4 2 2 2 4 2" xfId="39047"/>
    <cellStyle name="Normal 3 4 2 2 2 5" xfId="26742"/>
    <cellStyle name="Normal 3 4 2 2 3" xfId="8350"/>
    <cellStyle name="Normal 3 4 2 2 3 2" xfId="14544"/>
    <cellStyle name="Normal 3 4 2 2 3 2 2" xfId="34427"/>
    <cellStyle name="Normal 3 4 2 2 3 3" xfId="20696"/>
    <cellStyle name="Normal 3 4 2 2 3 3 2" xfId="40579"/>
    <cellStyle name="Normal 3 4 2 2 3 4" xfId="28274"/>
    <cellStyle name="Normal 3 4 2 2 4" xfId="11478"/>
    <cellStyle name="Normal 3 4 2 2 4 2" xfId="31361"/>
    <cellStyle name="Normal 3 4 2 2 5" xfId="17630"/>
    <cellStyle name="Normal 3 4 2 2 5 2" xfId="37513"/>
    <cellStyle name="Normal 3 4 2 2 6" xfId="25208"/>
    <cellStyle name="Normal 3 4 2 3" xfId="6016"/>
    <cellStyle name="Normal 3 4 2 3 2" xfId="9116"/>
    <cellStyle name="Normal 3 4 2 3 2 2" xfId="15309"/>
    <cellStyle name="Normal 3 4 2 3 2 2 2" xfId="35192"/>
    <cellStyle name="Normal 3 4 2 3 2 3" xfId="21461"/>
    <cellStyle name="Normal 3 4 2 3 2 3 2" xfId="41344"/>
    <cellStyle name="Normal 3 4 2 3 2 4" xfId="29039"/>
    <cellStyle name="Normal 3 4 2 3 3" xfId="12243"/>
    <cellStyle name="Normal 3 4 2 3 3 2" xfId="32126"/>
    <cellStyle name="Normal 3 4 2 3 4" xfId="18395"/>
    <cellStyle name="Normal 3 4 2 3 4 2" xfId="38278"/>
    <cellStyle name="Normal 3 4 2 3 5" xfId="25973"/>
    <cellStyle name="Normal 3 4 2 4" xfId="7581"/>
    <cellStyle name="Normal 3 4 2 4 2" xfId="13775"/>
    <cellStyle name="Normal 3 4 2 4 2 2" xfId="33658"/>
    <cellStyle name="Normal 3 4 2 4 3" xfId="19927"/>
    <cellStyle name="Normal 3 4 2 4 3 2" xfId="39810"/>
    <cellStyle name="Normal 3 4 2 4 4" xfId="27505"/>
    <cellStyle name="Normal 3 4 2 5" xfId="10709"/>
    <cellStyle name="Normal 3 4 2 5 2" xfId="30592"/>
    <cellStyle name="Normal 3 4 2 6" xfId="16861"/>
    <cellStyle name="Normal 3 4 2 6 2" xfId="36744"/>
    <cellStyle name="Normal 3 4 2 7" xfId="23273"/>
    <cellStyle name="Normal 3 4 2 7 2" xfId="43032"/>
    <cellStyle name="Normal 3 4 2 8" xfId="24439"/>
    <cellStyle name="Normal 3 4 3" xfId="5173"/>
    <cellStyle name="Normal 3 4 3 2" xfId="6798"/>
    <cellStyle name="Normal 3 4 3 2 2" xfId="9884"/>
    <cellStyle name="Normal 3 4 3 2 2 2" xfId="16077"/>
    <cellStyle name="Normal 3 4 3 2 2 2 2" xfId="35960"/>
    <cellStyle name="Normal 3 4 3 2 2 3" xfId="22229"/>
    <cellStyle name="Normal 3 4 3 2 2 3 2" xfId="42112"/>
    <cellStyle name="Normal 3 4 3 2 2 4" xfId="29807"/>
    <cellStyle name="Normal 3 4 3 2 3" xfId="13011"/>
    <cellStyle name="Normal 3 4 3 2 3 2" xfId="32894"/>
    <cellStyle name="Normal 3 4 3 2 4" xfId="19163"/>
    <cellStyle name="Normal 3 4 3 2 4 2" xfId="39046"/>
    <cellStyle name="Normal 3 4 3 2 5" xfId="26741"/>
    <cellStyle name="Normal 3 4 3 3" xfId="8349"/>
    <cellStyle name="Normal 3 4 3 3 2" xfId="14543"/>
    <cellStyle name="Normal 3 4 3 3 2 2" xfId="34426"/>
    <cellStyle name="Normal 3 4 3 3 3" xfId="20695"/>
    <cellStyle name="Normal 3 4 3 3 3 2" xfId="40578"/>
    <cellStyle name="Normal 3 4 3 3 4" xfId="28273"/>
    <cellStyle name="Normal 3 4 3 4" xfId="11477"/>
    <cellStyle name="Normal 3 4 3 4 2" xfId="31360"/>
    <cellStyle name="Normal 3 4 3 5" xfId="17629"/>
    <cellStyle name="Normal 3 4 3 5 2" xfId="37512"/>
    <cellStyle name="Normal 3 4 3 6" xfId="25207"/>
    <cellStyle name="Normal 3 4 4" xfId="6015"/>
    <cellStyle name="Normal 3 4 4 2" xfId="9115"/>
    <cellStyle name="Normal 3 4 4 2 2" xfId="15308"/>
    <cellStyle name="Normal 3 4 4 2 2 2" xfId="35191"/>
    <cellStyle name="Normal 3 4 4 2 3" xfId="21460"/>
    <cellStyle name="Normal 3 4 4 2 3 2" xfId="41343"/>
    <cellStyle name="Normal 3 4 4 2 4" xfId="29038"/>
    <cellStyle name="Normal 3 4 4 3" xfId="12242"/>
    <cellStyle name="Normal 3 4 4 3 2" xfId="32125"/>
    <cellStyle name="Normal 3 4 4 4" xfId="18394"/>
    <cellStyle name="Normal 3 4 4 4 2" xfId="38277"/>
    <cellStyle name="Normal 3 4 4 5" xfId="25972"/>
    <cellStyle name="Normal 3 4 5" xfId="7580"/>
    <cellStyle name="Normal 3 4 5 2" xfId="13774"/>
    <cellStyle name="Normal 3 4 5 2 2" xfId="33657"/>
    <cellStyle name="Normal 3 4 5 3" xfId="19926"/>
    <cellStyle name="Normal 3 4 5 3 2" xfId="39809"/>
    <cellStyle name="Normal 3 4 5 4" xfId="27504"/>
    <cellStyle name="Normal 3 4 6" xfId="10708"/>
    <cellStyle name="Normal 3 4 6 2" xfId="30591"/>
    <cellStyle name="Normal 3 4 7" xfId="16860"/>
    <cellStyle name="Normal 3 4 7 2" xfId="36743"/>
    <cellStyle name="Normal 3 4 8" xfId="3752"/>
    <cellStyle name="Normal 3 4 8 2" xfId="24438"/>
    <cellStyle name="Normal 3 4 9" xfId="23272"/>
    <cellStyle name="Normal 3 4 9 2" xfId="43031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2 2" xfId="35963"/>
    <cellStyle name="Normal 3 5 2 2 2 2 3" xfId="22232"/>
    <cellStyle name="Normal 3 5 2 2 2 2 3 2" xfId="42115"/>
    <cellStyle name="Normal 3 5 2 2 2 2 4" xfId="29810"/>
    <cellStyle name="Normal 3 5 2 2 2 3" xfId="13014"/>
    <cellStyle name="Normal 3 5 2 2 2 3 2" xfId="32897"/>
    <cellStyle name="Normal 3 5 2 2 2 4" xfId="19166"/>
    <cellStyle name="Normal 3 5 2 2 2 4 2" xfId="39049"/>
    <cellStyle name="Normal 3 5 2 2 2 5" xfId="26744"/>
    <cellStyle name="Normal 3 5 2 2 3" xfId="8352"/>
    <cellStyle name="Normal 3 5 2 2 3 2" xfId="14546"/>
    <cellStyle name="Normal 3 5 2 2 3 2 2" xfId="34429"/>
    <cellStyle name="Normal 3 5 2 2 3 3" xfId="20698"/>
    <cellStyle name="Normal 3 5 2 2 3 3 2" xfId="40581"/>
    <cellStyle name="Normal 3 5 2 2 3 4" xfId="28276"/>
    <cellStyle name="Normal 3 5 2 2 4" xfId="11480"/>
    <cellStyle name="Normal 3 5 2 2 4 2" xfId="31363"/>
    <cellStyle name="Normal 3 5 2 2 5" xfId="17632"/>
    <cellStyle name="Normal 3 5 2 2 5 2" xfId="37515"/>
    <cellStyle name="Normal 3 5 2 2 6" xfId="25210"/>
    <cellStyle name="Normal 3 5 2 3" xfId="6018"/>
    <cellStyle name="Normal 3 5 2 3 2" xfId="9118"/>
    <cellStyle name="Normal 3 5 2 3 2 2" xfId="15311"/>
    <cellStyle name="Normal 3 5 2 3 2 2 2" xfId="35194"/>
    <cellStyle name="Normal 3 5 2 3 2 3" xfId="21463"/>
    <cellStyle name="Normal 3 5 2 3 2 3 2" xfId="41346"/>
    <cellStyle name="Normal 3 5 2 3 2 4" xfId="29041"/>
    <cellStyle name="Normal 3 5 2 3 3" xfId="12245"/>
    <cellStyle name="Normal 3 5 2 3 3 2" xfId="32128"/>
    <cellStyle name="Normal 3 5 2 3 4" xfId="18397"/>
    <cellStyle name="Normal 3 5 2 3 4 2" xfId="38280"/>
    <cellStyle name="Normal 3 5 2 3 5" xfId="25975"/>
    <cellStyle name="Normal 3 5 2 4" xfId="7583"/>
    <cellStyle name="Normal 3 5 2 4 2" xfId="13777"/>
    <cellStyle name="Normal 3 5 2 4 2 2" xfId="33660"/>
    <cellStyle name="Normal 3 5 2 4 3" xfId="19929"/>
    <cellStyle name="Normal 3 5 2 4 3 2" xfId="39812"/>
    <cellStyle name="Normal 3 5 2 4 4" xfId="27507"/>
    <cellStyle name="Normal 3 5 2 5" xfId="10711"/>
    <cellStyle name="Normal 3 5 2 5 2" xfId="30594"/>
    <cellStyle name="Normal 3 5 2 6" xfId="16863"/>
    <cellStyle name="Normal 3 5 2 6 2" xfId="36746"/>
    <cellStyle name="Normal 3 5 2 7" xfId="24441"/>
    <cellStyle name="Normal 3 5 3" xfId="5175"/>
    <cellStyle name="Normal 3 5 3 2" xfId="6800"/>
    <cellStyle name="Normal 3 5 3 2 2" xfId="9886"/>
    <cellStyle name="Normal 3 5 3 2 2 2" xfId="16079"/>
    <cellStyle name="Normal 3 5 3 2 2 2 2" xfId="35962"/>
    <cellStyle name="Normal 3 5 3 2 2 3" xfId="22231"/>
    <cellStyle name="Normal 3 5 3 2 2 3 2" xfId="42114"/>
    <cellStyle name="Normal 3 5 3 2 2 4" xfId="29809"/>
    <cellStyle name="Normal 3 5 3 2 3" xfId="13013"/>
    <cellStyle name="Normal 3 5 3 2 3 2" xfId="32896"/>
    <cellStyle name="Normal 3 5 3 2 4" xfId="19165"/>
    <cellStyle name="Normal 3 5 3 2 4 2" xfId="39048"/>
    <cellStyle name="Normal 3 5 3 2 5" xfId="26743"/>
    <cellStyle name="Normal 3 5 3 3" xfId="8351"/>
    <cellStyle name="Normal 3 5 3 3 2" xfId="14545"/>
    <cellStyle name="Normal 3 5 3 3 2 2" xfId="34428"/>
    <cellStyle name="Normal 3 5 3 3 3" xfId="20697"/>
    <cellStyle name="Normal 3 5 3 3 3 2" xfId="40580"/>
    <cellStyle name="Normal 3 5 3 3 4" xfId="28275"/>
    <cellStyle name="Normal 3 5 3 4" xfId="11479"/>
    <cellStyle name="Normal 3 5 3 4 2" xfId="31362"/>
    <cellStyle name="Normal 3 5 3 5" xfId="17631"/>
    <cellStyle name="Normal 3 5 3 5 2" xfId="37514"/>
    <cellStyle name="Normal 3 5 3 6" xfId="25209"/>
    <cellStyle name="Normal 3 5 4" xfId="6017"/>
    <cellStyle name="Normal 3 5 4 2" xfId="9117"/>
    <cellStyle name="Normal 3 5 4 2 2" xfId="15310"/>
    <cellStyle name="Normal 3 5 4 2 2 2" xfId="35193"/>
    <cellStyle name="Normal 3 5 4 2 3" xfId="21462"/>
    <cellStyle name="Normal 3 5 4 2 3 2" xfId="41345"/>
    <cellStyle name="Normal 3 5 4 2 4" xfId="29040"/>
    <cellStyle name="Normal 3 5 4 3" xfId="12244"/>
    <cellStyle name="Normal 3 5 4 3 2" xfId="32127"/>
    <cellStyle name="Normal 3 5 4 4" xfId="18396"/>
    <cellStyle name="Normal 3 5 4 4 2" xfId="38279"/>
    <cellStyle name="Normal 3 5 4 5" xfId="25974"/>
    <cellStyle name="Normal 3 5 5" xfId="7582"/>
    <cellStyle name="Normal 3 5 5 2" xfId="13776"/>
    <cellStyle name="Normal 3 5 5 2 2" xfId="33659"/>
    <cellStyle name="Normal 3 5 5 3" xfId="19928"/>
    <cellStyle name="Normal 3 5 5 3 2" xfId="39811"/>
    <cellStyle name="Normal 3 5 5 4" xfId="27506"/>
    <cellStyle name="Normal 3 5 6" xfId="10710"/>
    <cellStyle name="Normal 3 5 6 2" xfId="30593"/>
    <cellStyle name="Normal 3 5 7" xfId="16862"/>
    <cellStyle name="Normal 3 5 7 2" xfId="36745"/>
    <cellStyle name="Normal 3 5 8" xfId="3754"/>
    <cellStyle name="Normal 3 5 8 2" xfId="24440"/>
    <cellStyle name="Normal 3 5 9" xfId="23274"/>
    <cellStyle name="Normal 3 5 9 2" xfId="43033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2 2" xfId="35964"/>
    <cellStyle name="Normal 3 6 2 2 2 3" xfId="22233"/>
    <cellStyle name="Normal 3 6 2 2 2 3 2" xfId="42116"/>
    <cellStyle name="Normal 3 6 2 2 2 4" xfId="29811"/>
    <cellStyle name="Normal 3 6 2 2 3" xfId="13015"/>
    <cellStyle name="Normal 3 6 2 2 3 2" xfId="32898"/>
    <cellStyle name="Normal 3 6 2 2 4" xfId="19167"/>
    <cellStyle name="Normal 3 6 2 2 4 2" xfId="39050"/>
    <cellStyle name="Normal 3 6 2 2 5" xfId="26745"/>
    <cellStyle name="Normal 3 6 2 3" xfId="8353"/>
    <cellStyle name="Normal 3 6 2 3 2" xfId="14547"/>
    <cellStyle name="Normal 3 6 2 3 2 2" xfId="34430"/>
    <cellStyle name="Normal 3 6 2 3 3" xfId="20699"/>
    <cellStyle name="Normal 3 6 2 3 3 2" xfId="40582"/>
    <cellStyle name="Normal 3 6 2 3 4" xfId="28277"/>
    <cellStyle name="Normal 3 6 2 4" xfId="11481"/>
    <cellStyle name="Normal 3 6 2 4 2" xfId="31364"/>
    <cellStyle name="Normal 3 6 2 5" xfId="17633"/>
    <cellStyle name="Normal 3 6 2 5 2" xfId="37516"/>
    <cellStyle name="Normal 3 6 2 6" xfId="25211"/>
    <cellStyle name="Normal 3 6 3" xfId="6019"/>
    <cellStyle name="Normal 3 6 3 2" xfId="9119"/>
    <cellStyle name="Normal 3 6 3 2 2" xfId="15312"/>
    <cellStyle name="Normal 3 6 3 2 2 2" xfId="35195"/>
    <cellStyle name="Normal 3 6 3 2 3" xfId="21464"/>
    <cellStyle name="Normal 3 6 3 2 3 2" xfId="41347"/>
    <cellStyle name="Normal 3 6 3 2 4" xfId="29042"/>
    <cellStyle name="Normal 3 6 3 3" xfId="12246"/>
    <cellStyle name="Normal 3 6 3 3 2" xfId="32129"/>
    <cellStyle name="Normal 3 6 3 4" xfId="18398"/>
    <cellStyle name="Normal 3 6 3 4 2" xfId="38281"/>
    <cellStyle name="Normal 3 6 3 5" xfId="25976"/>
    <cellStyle name="Normal 3 6 4" xfId="7584"/>
    <cellStyle name="Normal 3 6 4 2" xfId="13778"/>
    <cellStyle name="Normal 3 6 4 2 2" xfId="33661"/>
    <cellStyle name="Normal 3 6 4 3" xfId="19930"/>
    <cellStyle name="Normal 3 6 4 3 2" xfId="39813"/>
    <cellStyle name="Normal 3 6 4 4" xfId="27508"/>
    <cellStyle name="Normal 3 6 5" xfId="10712"/>
    <cellStyle name="Normal 3 6 5 2" xfId="30595"/>
    <cellStyle name="Normal 3 6 6" xfId="16864"/>
    <cellStyle name="Normal 3 6 6 2" xfId="36747"/>
    <cellStyle name="Normal 3 6 7" xfId="3756"/>
    <cellStyle name="Normal 3 6 7 2" xfId="24442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2 2" xfId="35965"/>
    <cellStyle name="Normal 3 7 2 2 2 3" xfId="22234"/>
    <cellStyle name="Normal 3 7 2 2 2 3 2" xfId="42117"/>
    <cellStyle name="Normal 3 7 2 2 2 4" xfId="29812"/>
    <cellStyle name="Normal 3 7 2 2 3" xfId="13016"/>
    <cellStyle name="Normal 3 7 2 2 3 2" xfId="32899"/>
    <cellStyle name="Normal 3 7 2 2 4" xfId="19168"/>
    <cellStyle name="Normal 3 7 2 2 4 2" xfId="39051"/>
    <cellStyle name="Normal 3 7 2 2 5" xfId="26746"/>
    <cellStyle name="Normal 3 7 2 3" xfId="8354"/>
    <cellStyle name="Normal 3 7 2 3 2" xfId="14548"/>
    <cellStyle name="Normal 3 7 2 3 2 2" xfId="34431"/>
    <cellStyle name="Normal 3 7 2 3 3" xfId="20700"/>
    <cellStyle name="Normal 3 7 2 3 3 2" xfId="40583"/>
    <cellStyle name="Normal 3 7 2 3 4" xfId="28278"/>
    <cellStyle name="Normal 3 7 2 4" xfId="11482"/>
    <cellStyle name="Normal 3 7 2 4 2" xfId="31365"/>
    <cellStyle name="Normal 3 7 2 5" xfId="17634"/>
    <cellStyle name="Normal 3 7 2 5 2" xfId="37517"/>
    <cellStyle name="Normal 3 7 2 6" xfId="25212"/>
    <cellStyle name="Normal 3 7 3" xfId="6020"/>
    <cellStyle name="Normal 3 7 3 2" xfId="9120"/>
    <cellStyle name="Normal 3 7 3 2 2" xfId="15313"/>
    <cellStyle name="Normal 3 7 3 2 2 2" xfId="35196"/>
    <cellStyle name="Normal 3 7 3 2 3" xfId="21465"/>
    <cellStyle name="Normal 3 7 3 2 3 2" xfId="41348"/>
    <cellStyle name="Normal 3 7 3 2 4" xfId="29043"/>
    <cellStyle name="Normal 3 7 3 3" xfId="12247"/>
    <cellStyle name="Normal 3 7 3 3 2" xfId="32130"/>
    <cellStyle name="Normal 3 7 3 4" xfId="18399"/>
    <cellStyle name="Normal 3 7 3 4 2" xfId="38282"/>
    <cellStyle name="Normal 3 7 3 5" xfId="25977"/>
    <cellStyle name="Normal 3 7 4" xfId="7585"/>
    <cellStyle name="Normal 3 7 4 2" xfId="13779"/>
    <cellStyle name="Normal 3 7 4 2 2" xfId="33662"/>
    <cellStyle name="Normal 3 7 4 3" xfId="19931"/>
    <cellStyle name="Normal 3 7 4 3 2" xfId="39814"/>
    <cellStyle name="Normal 3 7 4 4" xfId="27509"/>
    <cellStyle name="Normal 3 7 5" xfId="10713"/>
    <cellStyle name="Normal 3 7 5 2" xfId="30596"/>
    <cellStyle name="Normal 3 7 6" xfId="16865"/>
    <cellStyle name="Normal 3 7 6 2" xfId="36748"/>
    <cellStyle name="Normal 3 7 7" xfId="3757"/>
    <cellStyle name="Normal 3 7 7 2" xfId="24443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2 2" xfId="35966"/>
    <cellStyle name="Normal 3 8 2 2 2 3" xfId="22235"/>
    <cellStyle name="Normal 3 8 2 2 2 3 2" xfId="42118"/>
    <cellStyle name="Normal 3 8 2 2 2 4" xfId="29813"/>
    <cellStyle name="Normal 3 8 2 2 3" xfId="13017"/>
    <cellStyle name="Normal 3 8 2 2 3 2" xfId="32900"/>
    <cellStyle name="Normal 3 8 2 2 4" xfId="19169"/>
    <cellStyle name="Normal 3 8 2 2 4 2" xfId="39052"/>
    <cellStyle name="Normal 3 8 2 2 5" xfId="26747"/>
    <cellStyle name="Normal 3 8 2 3" xfId="8355"/>
    <cellStyle name="Normal 3 8 2 3 2" xfId="14549"/>
    <cellStyle name="Normal 3 8 2 3 2 2" xfId="34432"/>
    <cellStyle name="Normal 3 8 2 3 3" xfId="20701"/>
    <cellStyle name="Normal 3 8 2 3 3 2" xfId="40584"/>
    <cellStyle name="Normal 3 8 2 3 4" xfId="28279"/>
    <cellStyle name="Normal 3 8 2 4" xfId="11483"/>
    <cellStyle name="Normal 3 8 2 4 2" xfId="31366"/>
    <cellStyle name="Normal 3 8 2 5" xfId="17635"/>
    <cellStyle name="Normal 3 8 2 5 2" xfId="37518"/>
    <cellStyle name="Normal 3 8 2 6" xfId="25213"/>
    <cellStyle name="Normal 3 8 3" xfId="6021"/>
    <cellStyle name="Normal 3 8 3 2" xfId="9121"/>
    <cellStyle name="Normal 3 8 3 2 2" xfId="15314"/>
    <cellStyle name="Normal 3 8 3 2 2 2" xfId="35197"/>
    <cellStyle name="Normal 3 8 3 2 3" xfId="21466"/>
    <cellStyle name="Normal 3 8 3 2 3 2" xfId="41349"/>
    <cellStyle name="Normal 3 8 3 2 4" xfId="29044"/>
    <cellStyle name="Normal 3 8 3 3" xfId="12248"/>
    <cellStyle name="Normal 3 8 3 3 2" xfId="32131"/>
    <cellStyle name="Normal 3 8 3 4" xfId="18400"/>
    <cellStyle name="Normal 3 8 3 4 2" xfId="38283"/>
    <cellStyle name="Normal 3 8 3 5" xfId="25978"/>
    <cellStyle name="Normal 3 8 4" xfId="7586"/>
    <cellStyle name="Normal 3 8 4 2" xfId="13780"/>
    <cellStyle name="Normal 3 8 4 2 2" xfId="33663"/>
    <cellStyle name="Normal 3 8 4 3" xfId="19932"/>
    <cellStyle name="Normal 3 8 4 3 2" xfId="39815"/>
    <cellStyle name="Normal 3 8 4 4" xfId="27510"/>
    <cellStyle name="Normal 3 8 5" xfId="10714"/>
    <cellStyle name="Normal 3 8 5 2" xfId="30597"/>
    <cellStyle name="Normal 3 8 6" xfId="16866"/>
    <cellStyle name="Normal 3 8 6 2" xfId="36749"/>
    <cellStyle name="Normal 3 8 7" xfId="3758"/>
    <cellStyle name="Normal 3 8 7 2" xfId="24444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2 2" xfId="35967"/>
    <cellStyle name="Normal 3 9 2 2 2 3" xfId="22236"/>
    <cellStyle name="Normal 3 9 2 2 2 3 2" xfId="42119"/>
    <cellStyle name="Normal 3 9 2 2 2 4" xfId="29814"/>
    <cellStyle name="Normal 3 9 2 2 3" xfId="13018"/>
    <cellStyle name="Normal 3 9 2 2 3 2" xfId="32901"/>
    <cellStyle name="Normal 3 9 2 2 4" xfId="19170"/>
    <cellStyle name="Normal 3 9 2 2 4 2" xfId="39053"/>
    <cellStyle name="Normal 3 9 2 2 5" xfId="26748"/>
    <cellStyle name="Normal 3 9 2 3" xfId="8356"/>
    <cellStyle name="Normal 3 9 2 3 2" xfId="14550"/>
    <cellStyle name="Normal 3 9 2 3 2 2" xfId="34433"/>
    <cellStyle name="Normal 3 9 2 3 3" xfId="20702"/>
    <cellStyle name="Normal 3 9 2 3 3 2" xfId="40585"/>
    <cellStyle name="Normal 3 9 2 3 4" xfId="28280"/>
    <cellStyle name="Normal 3 9 2 4" xfId="11484"/>
    <cellStyle name="Normal 3 9 2 4 2" xfId="31367"/>
    <cellStyle name="Normal 3 9 2 5" xfId="17636"/>
    <cellStyle name="Normal 3 9 2 5 2" xfId="37519"/>
    <cellStyle name="Normal 3 9 2 6" xfId="25214"/>
    <cellStyle name="Normal 3 9 3" xfId="6022"/>
    <cellStyle name="Normal 3 9 3 2" xfId="9122"/>
    <cellStyle name="Normal 3 9 3 2 2" xfId="15315"/>
    <cellStyle name="Normal 3 9 3 2 2 2" xfId="35198"/>
    <cellStyle name="Normal 3 9 3 2 3" xfId="21467"/>
    <cellStyle name="Normal 3 9 3 2 3 2" xfId="41350"/>
    <cellStyle name="Normal 3 9 3 2 4" xfId="29045"/>
    <cellStyle name="Normal 3 9 3 3" xfId="12249"/>
    <cellStyle name="Normal 3 9 3 3 2" xfId="32132"/>
    <cellStyle name="Normal 3 9 3 4" xfId="18401"/>
    <cellStyle name="Normal 3 9 3 4 2" xfId="38284"/>
    <cellStyle name="Normal 3 9 3 5" xfId="25979"/>
    <cellStyle name="Normal 3 9 4" xfId="7587"/>
    <cellStyle name="Normal 3 9 4 2" xfId="13781"/>
    <cellStyle name="Normal 3 9 4 2 2" xfId="33664"/>
    <cellStyle name="Normal 3 9 4 3" xfId="19933"/>
    <cellStyle name="Normal 3 9 4 3 2" xfId="39816"/>
    <cellStyle name="Normal 3 9 4 4" xfId="27511"/>
    <cellStyle name="Normal 3 9 5" xfId="10715"/>
    <cellStyle name="Normal 3 9 5 2" xfId="30598"/>
    <cellStyle name="Normal 3 9 6" xfId="16867"/>
    <cellStyle name="Normal 3 9 6 2" xfId="36750"/>
    <cellStyle name="Normal 3 9 7" xfId="3759"/>
    <cellStyle name="Normal 3 9 7 2" xfId="24445"/>
    <cellStyle name="Normal 3_Gas CBR Summary" xfId="27"/>
    <cellStyle name="Normal 30" xfId="792"/>
    <cellStyle name="Normal 30 2" xfId="23275"/>
    <cellStyle name="Normal 30 2 2" xfId="43034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2 2" xfId="35968"/>
    <cellStyle name="Normal 4 2 10 2 2 2 3" xfId="22237"/>
    <cellStyle name="Normal 4 2 10 2 2 2 3 2" xfId="42120"/>
    <cellStyle name="Normal 4 2 10 2 2 2 4" xfId="29815"/>
    <cellStyle name="Normal 4 2 10 2 2 3" xfId="13019"/>
    <cellStyle name="Normal 4 2 10 2 2 3 2" xfId="32902"/>
    <cellStyle name="Normal 4 2 10 2 2 4" xfId="19171"/>
    <cellStyle name="Normal 4 2 10 2 2 4 2" xfId="39054"/>
    <cellStyle name="Normal 4 2 10 2 2 5" xfId="26749"/>
    <cellStyle name="Normal 4 2 10 2 3" xfId="8357"/>
    <cellStyle name="Normal 4 2 10 2 3 2" xfId="14551"/>
    <cellStyle name="Normal 4 2 10 2 3 2 2" xfId="34434"/>
    <cellStyle name="Normal 4 2 10 2 3 3" xfId="20703"/>
    <cellStyle name="Normal 4 2 10 2 3 3 2" xfId="40586"/>
    <cellStyle name="Normal 4 2 10 2 3 4" xfId="28281"/>
    <cellStyle name="Normal 4 2 10 2 4" xfId="11485"/>
    <cellStyle name="Normal 4 2 10 2 4 2" xfId="31368"/>
    <cellStyle name="Normal 4 2 10 2 5" xfId="17637"/>
    <cellStyle name="Normal 4 2 10 2 5 2" xfId="37520"/>
    <cellStyle name="Normal 4 2 10 2 6" xfId="25215"/>
    <cellStyle name="Normal 4 2 10 3" xfId="6023"/>
    <cellStyle name="Normal 4 2 10 3 2" xfId="9123"/>
    <cellStyle name="Normal 4 2 10 3 2 2" xfId="15316"/>
    <cellStyle name="Normal 4 2 10 3 2 2 2" xfId="35199"/>
    <cellStyle name="Normal 4 2 10 3 2 3" xfId="21468"/>
    <cellStyle name="Normal 4 2 10 3 2 3 2" xfId="41351"/>
    <cellStyle name="Normal 4 2 10 3 2 4" xfId="29046"/>
    <cellStyle name="Normal 4 2 10 3 3" xfId="12250"/>
    <cellStyle name="Normal 4 2 10 3 3 2" xfId="32133"/>
    <cellStyle name="Normal 4 2 10 3 4" xfId="18402"/>
    <cellStyle name="Normal 4 2 10 3 4 2" xfId="38285"/>
    <cellStyle name="Normal 4 2 10 3 5" xfId="25980"/>
    <cellStyle name="Normal 4 2 10 4" xfId="7588"/>
    <cellStyle name="Normal 4 2 10 4 2" xfId="13782"/>
    <cellStyle name="Normal 4 2 10 4 2 2" xfId="33665"/>
    <cellStyle name="Normal 4 2 10 4 3" xfId="19934"/>
    <cellStyle name="Normal 4 2 10 4 3 2" xfId="39817"/>
    <cellStyle name="Normal 4 2 10 4 4" xfId="27512"/>
    <cellStyle name="Normal 4 2 10 5" xfId="10716"/>
    <cellStyle name="Normal 4 2 10 5 2" xfId="30599"/>
    <cellStyle name="Normal 4 2 10 6" xfId="16868"/>
    <cellStyle name="Normal 4 2 10 6 2" xfId="36751"/>
    <cellStyle name="Normal 4 2 10 7" xfId="24446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2 2" xfId="35969"/>
    <cellStyle name="Normal 4 2 11 2 2 2 3" xfId="22238"/>
    <cellStyle name="Normal 4 2 11 2 2 2 3 2" xfId="42121"/>
    <cellStyle name="Normal 4 2 11 2 2 2 4" xfId="29816"/>
    <cellStyle name="Normal 4 2 11 2 2 3" xfId="13020"/>
    <cellStyle name="Normal 4 2 11 2 2 3 2" xfId="32903"/>
    <cellStyle name="Normal 4 2 11 2 2 4" xfId="19172"/>
    <cellStyle name="Normal 4 2 11 2 2 4 2" xfId="39055"/>
    <cellStyle name="Normal 4 2 11 2 2 5" xfId="26750"/>
    <cellStyle name="Normal 4 2 11 2 3" xfId="8358"/>
    <cellStyle name="Normal 4 2 11 2 3 2" xfId="14552"/>
    <cellStyle name="Normal 4 2 11 2 3 2 2" xfId="34435"/>
    <cellStyle name="Normal 4 2 11 2 3 3" xfId="20704"/>
    <cellStyle name="Normal 4 2 11 2 3 3 2" xfId="40587"/>
    <cellStyle name="Normal 4 2 11 2 3 4" xfId="28282"/>
    <cellStyle name="Normal 4 2 11 2 4" xfId="11486"/>
    <cellStyle name="Normal 4 2 11 2 4 2" xfId="31369"/>
    <cellStyle name="Normal 4 2 11 2 5" xfId="17638"/>
    <cellStyle name="Normal 4 2 11 2 5 2" xfId="37521"/>
    <cellStyle name="Normal 4 2 11 2 6" xfId="25216"/>
    <cellStyle name="Normal 4 2 11 3" xfId="6024"/>
    <cellStyle name="Normal 4 2 11 3 2" xfId="9124"/>
    <cellStyle name="Normal 4 2 11 3 2 2" xfId="15317"/>
    <cellStyle name="Normal 4 2 11 3 2 2 2" xfId="35200"/>
    <cellStyle name="Normal 4 2 11 3 2 3" xfId="21469"/>
    <cellStyle name="Normal 4 2 11 3 2 3 2" xfId="41352"/>
    <cellStyle name="Normal 4 2 11 3 2 4" xfId="29047"/>
    <cellStyle name="Normal 4 2 11 3 3" xfId="12251"/>
    <cellStyle name="Normal 4 2 11 3 3 2" xfId="32134"/>
    <cellStyle name="Normal 4 2 11 3 4" xfId="18403"/>
    <cellStyle name="Normal 4 2 11 3 4 2" xfId="38286"/>
    <cellStyle name="Normal 4 2 11 3 5" xfId="25981"/>
    <cellStyle name="Normal 4 2 11 4" xfId="7589"/>
    <cellStyle name="Normal 4 2 11 4 2" xfId="13783"/>
    <cellStyle name="Normal 4 2 11 4 2 2" xfId="33666"/>
    <cellStyle name="Normal 4 2 11 4 3" xfId="19935"/>
    <cellStyle name="Normal 4 2 11 4 3 2" xfId="39818"/>
    <cellStyle name="Normal 4 2 11 4 4" xfId="27513"/>
    <cellStyle name="Normal 4 2 11 5" xfId="10717"/>
    <cellStyle name="Normal 4 2 11 5 2" xfId="30600"/>
    <cellStyle name="Normal 4 2 11 6" xfId="16869"/>
    <cellStyle name="Normal 4 2 11 6 2" xfId="36752"/>
    <cellStyle name="Normal 4 2 11 7" xfId="24447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2 2" xfId="35970"/>
    <cellStyle name="Normal 4 2 12 2 2 2 3" xfId="22239"/>
    <cellStyle name="Normal 4 2 12 2 2 2 3 2" xfId="42122"/>
    <cellStyle name="Normal 4 2 12 2 2 2 4" xfId="29817"/>
    <cellStyle name="Normal 4 2 12 2 2 3" xfId="13021"/>
    <cellStyle name="Normal 4 2 12 2 2 3 2" xfId="32904"/>
    <cellStyle name="Normal 4 2 12 2 2 4" xfId="19173"/>
    <cellStyle name="Normal 4 2 12 2 2 4 2" xfId="39056"/>
    <cellStyle name="Normal 4 2 12 2 2 5" xfId="26751"/>
    <cellStyle name="Normal 4 2 12 2 3" xfId="8359"/>
    <cellStyle name="Normal 4 2 12 2 3 2" xfId="14553"/>
    <cellStyle name="Normal 4 2 12 2 3 2 2" xfId="34436"/>
    <cellStyle name="Normal 4 2 12 2 3 3" xfId="20705"/>
    <cellStyle name="Normal 4 2 12 2 3 3 2" xfId="40588"/>
    <cellStyle name="Normal 4 2 12 2 3 4" xfId="28283"/>
    <cellStyle name="Normal 4 2 12 2 4" xfId="11487"/>
    <cellStyle name="Normal 4 2 12 2 4 2" xfId="31370"/>
    <cellStyle name="Normal 4 2 12 2 5" xfId="17639"/>
    <cellStyle name="Normal 4 2 12 2 5 2" xfId="37522"/>
    <cellStyle name="Normal 4 2 12 2 6" xfId="25217"/>
    <cellStyle name="Normal 4 2 12 3" xfId="6025"/>
    <cellStyle name="Normal 4 2 12 3 2" xfId="9125"/>
    <cellStyle name="Normal 4 2 12 3 2 2" xfId="15318"/>
    <cellStyle name="Normal 4 2 12 3 2 2 2" xfId="35201"/>
    <cellStyle name="Normal 4 2 12 3 2 3" xfId="21470"/>
    <cellStyle name="Normal 4 2 12 3 2 3 2" xfId="41353"/>
    <cellStyle name="Normal 4 2 12 3 2 4" xfId="29048"/>
    <cellStyle name="Normal 4 2 12 3 3" xfId="12252"/>
    <cellStyle name="Normal 4 2 12 3 3 2" xfId="32135"/>
    <cellStyle name="Normal 4 2 12 3 4" xfId="18404"/>
    <cellStyle name="Normal 4 2 12 3 4 2" xfId="38287"/>
    <cellStyle name="Normal 4 2 12 3 5" xfId="25982"/>
    <cellStyle name="Normal 4 2 12 4" xfId="7590"/>
    <cellStyle name="Normal 4 2 12 4 2" xfId="13784"/>
    <cellStyle name="Normal 4 2 12 4 2 2" xfId="33667"/>
    <cellStyle name="Normal 4 2 12 4 3" xfId="19936"/>
    <cellStyle name="Normal 4 2 12 4 3 2" xfId="39819"/>
    <cellStyle name="Normal 4 2 12 4 4" xfId="27514"/>
    <cellStyle name="Normal 4 2 12 5" xfId="10718"/>
    <cellStyle name="Normal 4 2 12 5 2" xfId="30601"/>
    <cellStyle name="Normal 4 2 12 6" xfId="16870"/>
    <cellStyle name="Normal 4 2 12 6 2" xfId="36753"/>
    <cellStyle name="Normal 4 2 12 7" xfId="24448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2 2" xfId="35971"/>
    <cellStyle name="Normal 4 2 13 2 2 2 3" xfId="22240"/>
    <cellStyle name="Normal 4 2 13 2 2 2 3 2" xfId="42123"/>
    <cellStyle name="Normal 4 2 13 2 2 2 4" xfId="29818"/>
    <cellStyle name="Normal 4 2 13 2 2 3" xfId="13022"/>
    <cellStyle name="Normal 4 2 13 2 2 3 2" xfId="32905"/>
    <cellStyle name="Normal 4 2 13 2 2 4" xfId="19174"/>
    <cellStyle name="Normal 4 2 13 2 2 4 2" xfId="39057"/>
    <cellStyle name="Normal 4 2 13 2 2 5" xfId="26752"/>
    <cellStyle name="Normal 4 2 13 2 3" xfId="8360"/>
    <cellStyle name="Normal 4 2 13 2 3 2" xfId="14554"/>
    <cellStyle name="Normal 4 2 13 2 3 2 2" xfId="34437"/>
    <cellStyle name="Normal 4 2 13 2 3 3" xfId="20706"/>
    <cellStyle name="Normal 4 2 13 2 3 3 2" xfId="40589"/>
    <cellStyle name="Normal 4 2 13 2 3 4" xfId="28284"/>
    <cellStyle name="Normal 4 2 13 2 4" xfId="11488"/>
    <cellStyle name="Normal 4 2 13 2 4 2" xfId="31371"/>
    <cellStyle name="Normal 4 2 13 2 5" xfId="17640"/>
    <cellStyle name="Normal 4 2 13 2 5 2" xfId="37523"/>
    <cellStyle name="Normal 4 2 13 2 6" xfId="25218"/>
    <cellStyle name="Normal 4 2 13 3" xfId="6026"/>
    <cellStyle name="Normal 4 2 13 3 2" xfId="9126"/>
    <cellStyle name="Normal 4 2 13 3 2 2" xfId="15319"/>
    <cellStyle name="Normal 4 2 13 3 2 2 2" xfId="35202"/>
    <cellStyle name="Normal 4 2 13 3 2 3" xfId="21471"/>
    <cellStyle name="Normal 4 2 13 3 2 3 2" xfId="41354"/>
    <cellStyle name="Normal 4 2 13 3 2 4" xfId="29049"/>
    <cellStyle name="Normal 4 2 13 3 3" xfId="12253"/>
    <cellStyle name="Normal 4 2 13 3 3 2" xfId="32136"/>
    <cellStyle name="Normal 4 2 13 3 4" xfId="18405"/>
    <cellStyle name="Normal 4 2 13 3 4 2" xfId="38288"/>
    <cellStyle name="Normal 4 2 13 3 5" xfId="25983"/>
    <cellStyle name="Normal 4 2 13 4" xfId="7591"/>
    <cellStyle name="Normal 4 2 13 4 2" xfId="13785"/>
    <cellStyle name="Normal 4 2 13 4 2 2" xfId="33668"/>
    <cellStyle name="Normal 4 2 13 4 3" xfId="19937"/>
    <cellStyle name="Normal 4 2 13 4 3 2" xfId="39820"/>
    <cellStyle name="Normal 4 2 13 4 4" xfId="27515"/>
    <cellStyle name="Normal 4 2 13 5" xfId="10719"/>
    <cellStyle name="Normal 4 2 13 5 2" xfId="30602"/>
    <cellStyle name="Normal 4 2 13 6" xfId="16871"/>
    <cellStyle name="Normal 4 2 13 6 2" xfId="36754"/>
    <cellStyle name="Normal 4 2 13 7" xfId="24449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2 2" xfId="35972"/>
    <cellStyle name="Normal 4 2 14 2 2 2 3" xfId="22241"/>
    <cellStyle name="Normal 4 2 14 2 2 2 3 2" xfId="42124"/>
    <cellStyle name="Normal 4 2 14 2 2 2 4" xfId="29819"/>
    <cellStyle name="Normal 4 2 14 2 2 3" xfId="13023"/>
    <cellStyle name="Normal 4 2 14 2 2 3 2" xfId="32906"/>
    <cellStyle name="Normal 4 2 14 2 2 4" xfId="19175"/>
    <cellStyle name="Normal 4 2 14 2 2 4 2" xfId="39058"/>
    <cellStyle name="Normal 4 2 14 2 2 5" xfId="26753"/>
    <cellStyle name="Normal 4 2 14 2 3" xfId="8361"/>
    <cellStyle name="Normal 4 2 14 2 3 2" xfId="14555"/>
    <cellStyle name="Normal 4 2 14 2 3 2 2" xfId="34438"/>
    <cellStyle name="Normal 4 2 14 2 3 3" xfId="20707"/>
    <cellStyle name="Normal 4 2 14 2 3 3 2" xfId="40590"/>
    <cellStyle name="Normal 4 2 14 2 3 4" xfId="28285"/>
    <cellStyle name="Normal 4 2 14 2 4" xfId="11489"/>
    <cellStyle name="Normal 4 2 14 2 4 2" xfId="31372"/>
    <cellStyle name="Normal 4 2 14 2 5" xfId="17641"/>
    <cellStyle name="Normal 4 2 14 2 5 2" xfId="37524"/>
    <cellStyle name="Normal 4 2 14 2 6" xfId="25219"/>
    <cellStyle name="Normal 4 2 14 3" xfId="6027"/>
    <cellStyle name="Normal 4 2 14 3 2" xfId="9127"/>
    <cellStyle name="Normal 4 2 14 3 2 2" xfId="15320"/>
    <cellStyle name="Normal 4 2 14 3 2 2 2" xfId="35203"/>
    <cellStyle name="Normal 4 2 14 3 2 3" xfId="21472"/>
    <cellStyle name="Normal 4 2 14 3 2 3 2" xfId="41355"/>
    <cellStyle name="Normal 4 2 14 3 2 4" xfId="29050"/>
    <cellStyle name="Normal 4 2 14 3 3" xfId="12254"/>
    <cellStyle name="Normal 4 2 14 3 3 2" xfId="32137"/>
    <cellStyle name="Normal 4 2 14 3 4" xfId="18406"/>
    <cellStyle name="Normal 4 2 14 3 4 2" xfId="38289"/>
    <cellStyle name="Normal 4 2 14 3 5" xfId="25984"/>
    <cellStyle name="Normal 4 2 14 4" xfId="7592"/>
    <cellStyle name="Normal 4 2 14 4 2" xfId="13786"/>
    <cellStyle name="Normal 4 2 14 4 2 2" xfId="33669"/>
    <cellStyle name="Normal 4 2 14 4 3" xfId="19938"/>
    <cellStyle name="Normal 4 2 14 4 3 2" xfId="39821"/>
    <cellStyle name="Normal 4 2 14 4 4" xfId="27516"/>
    <cellStyle name="Normal 4 2 14 5" xfId="10720"/>
    <cellStyle name="Normal 4 2 14 5 2" xfId="30603"/>
    <cellStyle name="Normal 4 2 14 6" xfId="16872"/>
    <cellStyle name="Normal 4 2 14 6 2" xfId="36755"/>
    <cellStyle name="Normal 4 2 14 7" xfId="24450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2 2" xfId="35973"/>
    <cellStyle name="Normal 4 2 15 2 2 2 3" xfId="22242"/>
    <cellStyle name="Normal 4 2 15 2 2 2 3 2" xfId="42125"/>
    <cellStyle name="Normal 4 2 15 2 2 2 4" xfId="29820"/>
    <cellStyle name="Normal 4 2 15 2 2 3" xfId="13024"/>
    <cellStyle name="Normal 4 2 15 2 2 3 2" xfId="32907"/>
    <cellStyle name="Normal 4 2 15 2 2 4" xfId="19176"/>
    <cellStyle name="Normal 4 2 15 2 2 4 2" xfId="39059"/>
    <cellStyle name="Normal 4 2 15 2 2 5" xfId="26754"/>
    <cellStyle name="Normal 4 2 15 2 3" xfId="8362"/>
    <cellStyle name="Normal 4 2 15 2 3 2" xfId="14556"/>
    <cellStyle name="Normal 4 2 15 2 3 2 2" xfId="34439"/>
    <cellStyle name="Normal 4 2 15 2 3 3" xfId="20708"/>
    <cellStyle name="Normal 4 2 15 2 3 3 2" xfId="40591"/>
    <cellStyle name="Normal 4 2 15 2 3 4" xfId="28286"/>
    <cellStyle name="Normal 4 2 15 2 4" xfId="11490"/>
    <cellStyle name="Normal 4 2 15 2 4 2" xfId="31373"/>
    <cellStyle name="Normal 4 2 15 2 5" xfId="17642"/>
    <cellStyle name="Normal 4 2 15 2 5 2" xfId="37525"/>
    <cellStyle name="Normal 4 2 15 2 6" xfId="25220"/>
    <cellStyle name="Normal 4 2 15 3" xfId="6028"/>
    <cellStyle name="Normal 4 2 15 3 2" xfId="9128"/>
    <cellStyle name="Normal 4 2 15 3 2 2" xfId="15321"/>
    <cellStyle name="Normal 4 2 15 3 2 2 2" xfId="35204"/>
    <cellStyle name="Normal 4 2 15 3 2 3" xfId="21473"/>
    <cellStyle name="Normal 4 2 15 3 2 3 2" xfId="41356"/>
    <cellStyle name="Normal 4 2 15 3 2 4" xfId="29051"/>
    <cellStyle name="Normal 4 2 15 3 3" xfId="12255"/>
    <cellStyle name="Normal 4 2 15 3 3 2" xfId="32138"/>
    <cellStyle name="Normal 4 2 15 3 4" xfId="18407"/>
    <cellStyle name="Normal 4 2 15 3 4 2" xfId="38290"/>
    <cellStyle name="Normal 4 2 15 3 5" xfId="25985"/>
    <cellStyle name="Normal 4 2 15 4" xfId="7593"/>
    <cellStyle name="Normal 4 2 15 4 2" xfId="13787"/>
    <cellStyle name="Normal 4 2 15 4 2 2" xfId="33670"/>
    <cellStyle name="Normal 4 2 15 4 3" xfId="19939"/>
    <cellStyle name="Normal 4 2 15 4 3 2" xfId="39822"/>
    <cellStyle name="Normal 4 2 15 4 4" xfId="27517"/>
    <cellStyle name="Normal 4 2 15 5" xfId="10721"/>
    <cellStyle name="Normal 4 2 15 5 2" xfId="30604"/>
    <cellStyle name="Normal 4 2 15 6" xfId="16873"/>
    <cellStyle name="Normal 4 2 15 6 2" xfId="36756"/>
    <cellStyle name="Normal 4 2 15 7" xfId="24451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2 2" xfId="35974"/>
    <cellStyle name="Normal 4 2 16 2 2 2 3" xfId="22243"/>
    <cellStyle name="Normal 4 2 16 2 2 2 3 2" xfId="42126"/>
    <cellStyle name="Normal 4 2 16 2 2 2 4" xfId="29821"/>
    <cellStyle name="Normal 4 2 16 2 2 3" xfId="13025"/>
    <cellStyle name="Normal 4 2 16 2 2 3 2" xfId="32908"/>
    <cellStyle name="Normal 4 2 16 2 2 4" xfId="19177"/>
    <cellStyle name="Normal 4 2 16 2 2 4 2" xfId="39060"/>
    <cellStyle name="Normal 4 2 16 2 2 5" xfId="26755"/>
    <cellStyle name="Normal 4 2 16 2 3" xfId="8363"/>
    <cellStyle name="Normal 4 2 16 2 3 2" xfId="14557"/>
    <cellStyle name="Normal 4 2 16 2 3 2 2" xfId="34440"/>
    <cellStyle name="Normal 4 2 16 2 3 3" xfId="20709"/>
    <cellStyle name="Normal 4 2 16 2 3 3 2" xfId="40592"/>
    <cellStyle name="Normal 4 2 16 2 3 4" xfId="28287"/>
    <cellStyle name="Normal 4 2 16 2 4" xfId="11491"/>
    <cellStyle name="Normal 4 2 16 2 4 2" xfId="31374"/>
    <cellStyle name="Normal 4 2 16 2 5" xfId="17643"/>
    <cellStyle name="Normal 4 2 16 2 5 2" xfId="37526"/>
    <cellStyle name="Normal 4 2 16 2 6" xfId="25221"/>
    <cellStyle name="Normal 4 2 16 3" xfId="6029"/>
    <cellStyle name="Normal 4 2 16 3 2" xfId="9129"/>
    <cellStyle name="Normal 4 2 16 3 2 2" xfId="15322"/>
    <cellStyle name="Normal 4 2 16 3 2 2 2" xfId="35205"/>
    <cellStyle name="Normal 4 2 16 3 2 3" xfId="21474"/>
    <cellStyle name="Normal 4 2 16 3 2 3 2" xfId="41357"/>
    <cellStyle name="Normal 4 2 16 3 2 4" xfId="29052"/>
    <cellStyle name="Normal 4 2 16 3 3" xfId="12256"/>
    <cellStyle name="Normal 4 2 16 3 3 2" xfId="32139"/>
    <cellStyle name="Normal 4 2 16 3 4" xfId="18408"/>
    <cellStyle name="Normal 4 2 16 3 4 2" xfId="38291"/>
    <cellStyle name="Normal 4 2 16 3 5" xfId="25986"/>
    <cellStyle name="Normal 4 2 16 4" xfId="7594"/>
    <cellStyle name="Normal 4 2 16 4 2" xfId="13788"/>
    <cellStyle name="Normal 4 2 16 4 2 2" xfId="33671"/>
    <cellStyle name="Normal 4 2 16 4 3" xfId="19940"/>
    <cellStyle name="Normal 4 2 16 4 3 2" xfId="39823"/>
    <cellStyle name="Normal 4 2 16 4 4" xfId="27518"/>
    <cellStyle name="Normal 4 2 16 5" xfId="10722"/>
    <cellStyle name="Normal 4 2 16 5 2" xfId="30605"/>
    <cellStyle name="Normal 4 2 16 6" xfId="16874"/>
    <cellStyle name="Normal 4 2 16 6 2" xfId="36757"/>
    <cellStyle name="Normal 4 2 16 7" xfId="24452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2 2" xfId="35975"/>
    <cellStyle name="Normal 4 2 17 2 2 2 3" xfId="22244"/>
    <cellStyle name="Normal 4 2 17 2 2 2 3 2" xfId="42127"/>
    <cellStyle name="Normal 4 2 17 2 2 2 4" xfId="29822"/>
    <cellStyle name="Normal 4 2 17 2 2 3" xfId="13026"/>
    <cellStyle name="Normal 4 2 17 2 2 3 2" xfId="32909"/>
    <cellStyle name="Normal 4 2 17 2 2 4" xfId="19178"/>
    <cellStyle name="Normal 4 2 17 2 2 4 2" xfId="39061"/>
    <cellStyle name="Normal 4 2 17 2 2 5" xfId="26756"/>
    <cellStyle name="Normal 4 2 17 2 3" xfId="8364"/>
    <cellStyle name="Normal 4 2 17 2 3 2" xfId="14558"/>
    <cellStyle name="Normal 4 2 17 2 3 2 2" xfId="34441"/>
    <cellStyle name="Normal 4 2 17 2 3 3" xfId="20710"/>
    <cellStyle name="Normal 4 2 17 2 3 3 2" xfId="40593"/>
    <cellStyle name="Normal 4 2 17 2 3 4" xfId="28288"/>
    <cellStyle name="Normal 4 2 17 2 4" xfId="11492"/>
    <cellStyle name="Normal 4 2 17 2 4 2" xfId="31375"/>
    <cellStyle name="Normal 4 2 17 2 5" xfId="17644"/>
    <cellStyle name="Normal 4 2 17 2 5 2" xfId="37527"/>
    <cellStyle name="Normal 4 2 17 2 6" xfId="25222"/>
    <cellStyle name="Normal 4 2 17 3" xfId="6030"/>
    <cellStyle name="Normal 4 2 17 3 2" xfId="9130"/>
    <cellStyle name="Normal 4 2 17 3 2 2" xfId="15323"/>
    <cellStyle name="Normal 4 2 17 3 2 2 2" xfId="35206"/>
    <cellStyle name="Normal 4 2 17 3 2 3" xfId="21475"/>
    <cellStyle name="Normal 4 2 17 3 2 3 2" xfId="41358"/>
    <cellStyle name="Normal 4 2 17 3 2 4" xfId="29053"/>
    <cellStyle name="Normal 4 2 17 3 3" xfId="12257"/>
    <cellStyle name="Normal 4 2 17 3 3 2" xfId="32140"/>
    <cellStyle name="Normal 4 2 17 3 4" xfId="18409"/>
    <cellStyle name="Normal 4 2 17 3 4 2" xfId="38292"/>
    <cellStyle name="Normal 4 2 17 3 5" xfId="25987"/>
    <cellStyle name="Normal 4 2 17 4" xfId="7595"/>
    <cellStyle name="Normal 4 2 17 4 2" xfId="13789"/>
    <cellStyle name="Normal 4 2 17 4 2 2" xfId="33672"/>
    <cellStyle name="Normal 4 2 17 4 3" xfId="19941"/>
    <cellStyle name="Normal 4 2 17 4 3 2" xfId="39824"/>
    <cellStyle name="Normal 4 2 17 4 4" xfId="27519"/>
    <cellStyle name="Normal 4 2 17 5" xfId="10723"/>
    <cellStyle name="Normal 4 2 17 5 2" xfId="30606"/>
    <cellStyle name="Normal 4 2 17 6" xfId="16875"/>
    <cellStyle name="Normal 4 2 17 6 2" xfId="36758"/>
    <cellStyle name="Normal 4 2 17 7" xfId="24453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2 2" xfId="35976"/>
    <cellStyle name="Normal 4 2 18 2 2 2 3" xfId="22245"/>
    <cellStyle name="Normal 4 2 18 2 2 2 3 2" xfId="42128"/>
    <cellStyle name="Normal 4 2 18 2 2 2 4" xfId="29823"/>
    <cellStyle name="Normal 4 2 18 2 2 3" xfId="13027"/>
    <cellStyle name="Normal 4 2 18 2 2 3 2" xfId="32910"/>
    <cellStyle name="Normal 4 2 18 2 2 4" xfId="19179"/>
    <cellStyle name="Normal 4 2 18 2 2 4 2" xfId="39062"/>
    <cellStyle name="Normal 4 2 18 2 2 5" xfId="26757"/>
    <cellStyle name="Normal 4 2 18 2 3" xfId="8365"/>
    <cellStyle name="Normal 4 2 18 2 3 2" xfId="14559"/>
    <cellStyle name="Normal 4 2 18 2 3 2 2" xfId="34442"/>
    <cellStyle name="Normal 4 2 18 2 3 3" xfId="20711"/>
    <cellStyle name="Normal 4 2 18 2 3 3 2" xfId="40594"/>
    <cellStyle name="Normal 4 2 18 2 3 4" xfId="28289"/>
    <cellStyle name="Normal 4 2 18 2 4" xfId="11493"/>
    <cellStyle name="Normal 4 2 18 2 4 2" xfId="31376"/>
    <cellStyle name="Normal 4 2 18 2 5" xfId="17645"/>
    <cellStyle name="Normal 4 2 18 2 5 2" xfId="37528"/>
    <cellStyle name="Normal 4 2 18 2 6" xfId="25223"/>
    <cellStyle name="Normal 4 2 18 3" xfId="6031"/>
    <cellStyle name="Normal 4 2 18 3 2" xfId="9131"/>
    <cellStyle name="Normal 4 2 18 3 2 2" xfId="15324"/>
    <cellStyle name="Normal 4 2 18 3 2 2 2" xfId="35207"/>
    <cellStyle name="Normal 4 2 18 3 2 3" xfId="21476"/>
    <cellStyle name="Normal 4 2 18 3 2 3 2" xfId="41359"/>
    <cellStyle name="Normal 4 2 18 3 2 4" xfId="29054"/>
    <cellStyle name="Normal 4 2 18 3 3" xfId="12258"/>
    <cellStyle name="Normal 4 2 18 3 3 2" xfId="32141"/>
    <cellStyle name="Normal 4 2 18 3 4" xfId="18410"/>
    <cellStyle name="Normal 4 2 18 3 4 2" xfId="38293"/>
    <cellStyle name="Normal 4 2 18 3 5" xfId="25988"/>
    <cellStyle name="Normal 4 2 18 4" xfId="7596"/>
    <cellStyle name="Normal 4 2 18 4 2" xfId="13790"/>
    <cellStyle name="Normal 4 2 18 4 2 2" xfId="33673"/>
    <cellStyle name="Normal 4 2 18 4 3" xfId="19942"/>
    <cellStyle name="Normal 4 2 18 4 3 2" xfId="39825"/>
    <cellStyle name="Normal 4 2 18 4 4" xfId="27520"/>
    <cellStyle name="Normal 4 2 18 5" xfId="10724"/>
    <cellStyle name="Normal 4 2 18 5 2" xfId="30607"/>
    <cellStyle name="Normal 4 2 18 6" xfId="16876"/>
    <cellStyle name="Normal 4 2 18 6 2" xfId="36759"/>
    <cellStyle name="Normal 4 2 18 7" xfId="24454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2 2" xfId="35977"/>
    <cellStyle name="Normal 4 2 19 2 2 2 3" xfId="22246"/>
    <cellStyle name="Normal 4 2 19 2 2 2 3 2" xfId="42129"/>
    <cellStyle name="Normal 4 2 19 2 2 2 4" xfId="29824"/>
    <cellStyle name="Normal 4 2 19 2 2 3" xfId="13028"/>
    <cellStyle name="Normal 4 2 19 2 2 3 2" xfId="32911"/>
    <cellStyle name="Normal 4 2 19 2 2 4" xfId="19180"/>
    <cellStyle name="Normal 4 2 19 2 2 4 2" xfId="39063"/>
    <cellStyle name="Normal 4 2 19 2 2 5" xfId="26758"/>
    <cellStyle name="Normal 4 2 19 2 3" xfId="8366"/>
    <cellStyle name="Normal 4 2 19 2 3 2" xfId="14560"/>
    <cellStyle name="Normal 4 2 19 2 3 2 2" xfId="34443"/>
    <cellStyle name="Normal 4 2 19 2 3 3" xfId="20712"/>
    <cellStyle name="Normal 4 2 19 2 3 3 2" xfId="40595"/>
    <cellStyle name="Normal 4 2 19 2 3 4" xfId="28290"/>
    <cellStyle name="Normal 4 2 19 2 4" xfId="11494"/>
    <cellStyle name="Normal 4 2 19 2 4 2" xfId="31377"/>
    <cellStyle name="Normal 4 2 19 2 5" xfId="17646"/>
    <cellStyle name="Normal 4 2 19 2 5 2" xfId="37529"/>
    <cellStyle name="Normal 4 2 19 2 6" xfId="25224"/>
    <cellStyle name="Normal 4 2 19 3" xfId="6032"/>
    <cellStyle name="Normal 4 2 19 3 2" xfId="9132"/>
    <cellStyle name="Normal 4 2 19 3 2 2" xfId="15325"/>
    <cellStyle name="Normal 4 2 19 3 2 2 2" xfId="35208"/>
    <cellStyle name="Normal 4 2 19 3 2 3" xfId="21477"/>
    <cellStyle name="Normal 4 2 19 3 2 3 2" xfId="41360"/>
    <cellStyle name="Normal 4 2 19 3 2 4" xfId="29055"/>
    <cellStyle name="Normal 4 2 19 3 3" xfId="12259"/>
    <cellStyle name="Normal 4 2 19 3 3 2" xfId="32142"/>
    <cellStyle name="Normal 4 2 19 3 4" xfId="18411"/>
    <cellStyle name="Normal 4 2 19 3 4 2" xfId="38294"/>
    <cellStyle name="Normal 4 2 19 3 5" xfId="25989"/>
    <cellStyle name="Normal 4 2 19 4" xfId="7597"/>
    <cellStyle name="Normal 4 2 19 4 2" xfId="13791"/>
    <cellStyle name="Normal 4 2 19 4 2 2" xfId="33674"/>
    <cellStyle name="Normal 4 2 19 4 3" xfId="19943"/>
    <cellStyle name="Normal 4 2 19 4 3 2" xfId="39826"/>
    <cellStyle name="Normal 4 2 19 4 4" xfId="27521"/>
    <cellStyle name="Normal 4 2 19 5" xfId="10725"/>
    <cellStyle name="Normal 4 2 19 5 2" xfId="30608"/>
    <cellStyle name="Normal 4 2 19 6" xfId="16877"/>
    <cellStyle name="Normal 4 2 19 6 2" xfId="36760"/>
    <cellStyle name="Normal 4 2 19 7" xfId="24455"/>
    <cellStyle name="Normal 4 2 2" xfId="3950"/>
    <cellStyle name="Normal 4 2 2 10" xfId="16878"/>
    <cellStyle name="Normal 4 2 2 10 2" xfId="36761"/>
    <cellStyle name="Normal 4 2 2 11" xfId="24456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2 2" xfId="35979"/>
    <cellStyle name="Normal 4 2 2 2 2 2 2 3" xfId="22248"/>
    <cellStyle name="Normal 4 2 2 2 2 2 2 3 2" xfId="42131"/>
    <cellStyle name="Normal 4 2 2 2 2 2 2 4" xfId="29826"/>
    <cellStyle name="Normal 4 2 2 2 2 2 3" xfId="13030"/>
    <cellStyle name="Normal 4 2 2 2 2 2 3 2" xfId="32913"/>
    <cellStyle name="Normal 4 2 2 2 2 2 4" xfId="19182"/>
    <cellStyle name="Normal 4 2 2 2 2 2 4 2" xfId="39065"/>
    <cellStyle name="Normal 4 2 2 2 2 2 5" xfId="26760"/>
    <cellStyle name="Normal 4 2 2 2 2 3" xfId="8368"/>
    <cellStyle name="Normal 4 2 2 2 2 3 2" xfId="14562"/>
    <cellStyle name="Normal 4 2 2 2 2 3 2 2" xfId="34445"/>
    <cellStyle name="Normal 4 2 2 2 2 3 3" xfId="20714"/>
    <cellStyle name="Normal 4 2 2 2 2 3 3 2" xfId="40597"/>
    <cellStyle name="Normal 4 2 2 2 2 3 4" xfId="28292"/>
    <cellStyle name="Normal 4 2 2 2 2 4" xfId="11496"/>
    <cellStyle name="Normal 4 2 2 2 2 4 2" xfId="31379"/>
    <cellStyle name="Normal 4 2 2 2 2 5" xfId="17648"/>
    <cellStyle name="Normal 4 2 2 2 2 5 2" xfId="37531"/>
    <cellStyle name="Normal 4 2 2 2 2 6" xfId="25226"/>
    <cellStyle name="Normal 4 2 2 2 3" xfId="6034"/>
    <cellStyle name="Normal 4 2 2 2 3 2" xfId="9134"/>
    <cellStyle name="Normal 4 2 2 2 3 2 2" xfId="15327"/>
    <cellStyle name="Normal 4 2 2 2 3 2 2 2" xfId="35210"/>
    <cellStyle name="Normal 4 2 2 2 3 2 3" xfId="21479"/>
    <cellStyle name="Normal 4 2 2 2 3 2 3 2" xfId="41362"/>
    <cellStyle name="Normal 4 2 2 2 3 2 4" xfId="29057"/>
    <cellStyle name="Normal 4 2 2 2 3 3" xfId="12261"/>
    <cellStyle name="Normal 4 2 2 2 3 3 2" xfId="32144"/>
    <cellStyle name="Normal 4 2 2 2 3 4" xfId="18413"/>
    <cellStyle name="Normal 4 2 2 2 3 4 2" xfId="38296"/>
    <cellStyle name="Normal 4 2 2 2 3 5" xfId="25991"/>
    <cellStyle name="Normal 4 2 2 2 4" xfId="7599"/>
    <cellStyle name="Normal 4 2 2 2 4 2" xfId="13793"/>
    <cellStyle name="Normal 4 2 2 2 4 2 2" xfId="33676"/>
    <cellStyle name="Normal 4 2 2 2 4 3" xfId="19945"/>
    <cellStyle name="Normal 4 2 2 2 4 3 2" xfId="39828"/>
    <cellStyle name="Normal 4 2 2 2 4 4" xfId="27523"/>
    <cellStyle name="Normal 4 2 2 2 5" xfId="10727"/>
    <cellStyle name="Normal 4 2 2 2 5 2" xfId="30610"/>
    <cellStyle name="Normal 4 2 2 2 6" xfId="16879"/>
    <cellStyle name="Normal 4 2 2 2 6 2" xfId="36762"/>
    <cellStyle name="Normal 4 2 2 2 7" xfId="24457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2 2" xfId="35980"/>
    <cellStyle name="Normal 4 2 2 3 2 2 2 3" xfId="22249"/>
    <cellStyle name="Normal 4 2 2 3 2 2 2 3 2" xfId="42132"/>
    <cellStyle name="Normal 4 2 2 3 2 2 2 4" xfId="29827"/>
    <cellStyle name="Normal 4 2 2 3 2 2 3" xfId="13031"/>
    <cellStyle name="Normal 4 2 2 3 2 2 3 2" xfId="32914"/>
    <cellStyle name="Normal 4 2 2 3 2 2 4" xfId="19183"/>
    <cellStyle name="Normal 4 2 2 3 2 2 4 2" xfId="39066"/>
    <cellStyle name="Normal 4 2 2 3 2 2 5" xfId="26761"/>
    <cellStyle name="Normal 4 2 2 3 2 3" xfId="8369"/>
    <cellStyle name="Normal 4 2 2 3 2 3 2" xfId="14563"/>
    <cellStyle name="Normal 4 2 2 3 2 3 2 2" xfId="34446"/>
    <cellStyle name="Normal 4 2 2 3 2 3 3" xfId="20715"/>
    <cellStyle name="Normal 4 2 2 3 2 3 3 2" xfId="40598"/>
    <cellStyle name="Normal 4 2 2 3 2 3 4" xfId="28293"/>
    <cellStyle name="Normal 4 2 2 3 2 4" xfId="11497"/>
    <cellStyle name="Normal 4 2 2 3 2 4 2" xfId="31380"/>
    <cellStyle name="Normal 4 2 2 3 2 5" xfId="17649"/>
    <cellStyle name="Normal 4 2 2 3 2 5 2" xfId="37532"/>
    <cellStyle name="Normal 4 2 2 3 2 6" xfId="25227"/>
    <cellStyle name="Normal 4 2 2 3 3" xfId="6035"/>
    <cellStyle name="Normal 4 2 2 3 3 2" xfId="9135"/>
    <cellStyle name="Normal 4 2 2 3 3 2 2" xfId="15328"/>
    <cellStyle name="Normal 4 2 2 3 3 2 2 2" xfId="35211"/>
    <cellStyle name="Normal 4 2 2 3 3 2 3" xfId="21480"/>
    <cellStyle name="Normal 4 2 2 3 3 2 3 2" xfId="41363"/>
    <cellStyle name="Normal 4 2 2 3 3 2 4" xfId="29058"/>
    <cellStyle name="Normal 4 2 2 3 3 3" xfId="12262"/>
    <cellStyle name="Normal 4 2 2 3 3 3 2" xfId="32145"/>
    <cellStyle name="Normal 4 2 2 3 3 4" xfId="18414"/>
    <cellStyle name="Normal 4 2 2 3 3 4 2" xfId="38297"/>
    <cellStyle name="Normal 4 2 2 3 3 5" xfId="25992"/>
    <cellStyle name="Normal 4 2 2 3 4" xfId="7600"/>
    <cellStyle name="Normal 4 2 2 3 4 2" xfId="13794"/>
    <cellStyle name="Normal 4 2 2 3 4 2 2" xfId="33677"/>
    <cellStyle name="Normal 4 2 2 3 4 3" xfId="19946"/>
    <cellStyle name="Normal 4 2 2 3 4 3 2" xfId="39829"/>
    <cellStyle name="Normal 4 2 2 3 4 4" xfId="27524"/>
    <cellStyle name="Normal 4 2 2 3 5" xfId="10728"/>
    <cellStyle name="Normal 4 2 2 3 5 2" xfId="30611"/>
    <cellStyle name="Normal 4 2 2 3 6" xfId="16880"/>
    <cellStyle name="Normal 4 2 2 3 6 2" xfId="36763"/>
    <cellStyle name="Normal 4 2 2 3 7" xfId="24458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2 2" xfId="35981"/>
    <cellStyle name="Normal 4 2 2 4 2 2 2 3" xfId="22250"/>
    <cellStyle name="Normal 4 2 2 4 2 2 2 3 2" xfId="42133"/>
    <cellStyle name="Normal 4 2 2 4 2 2 2 4" xfId="29828"/>
    <cellStyle name="Normal 4 2 2 4 2 2 3" xfId="13032"/>
    <cellStyle name="Normal 4 2 2 4 2 2 3 2" xfId="32915"/>
    <cellStyle name="Normal 4 2 2 4 2 2 4" xfId="19184"/>
    <cellStyle name="Normal 4 2 2 4 2 2 4 2" xfId="39067"/>
    <cellStyle name="Normal 4 2 2 4 2 2 5" xfId="26762"/>
    <cellStyle name="Normal 4 2 2 4 2 3" xfId="8370"/>
    <cellStyle name="Normal 4 2 2 4 2 3 2" xfId="14564"/>
    <cellStyle name="Normal 4 2 2 4 2 3 2 2" xfId="34447"/>
    <cellStyle name="Normal 4 2 2 4 2 3 3" xfId="20716"/>
    <cellStyle name="Normal 4 2 2 4 2 3 3 2" xfId="40599"/>
    <cellStyle name="Normal 4 2 2 4 2 3 4" xfId="28294"/>
    <cellStyle name="Normal 4 2 2 4 2 4" xfId="11498"/>
    <cellStyle name="Normal 4 2 2 4 2 4 2" xfId="31381"/>
    <cellStyle name="Normal 4 2 2 4 2 5" xfId="17650"/>
    <cellStyle name="Normal 4 2 2 4 2 5 2" xfId="37533"/>
    <cellStyle name="Normal 4 2 2 4 2 6" xfId="25228"/>
    <cellStyle name="Normal 4 2 2 4 3" xfId="6036"/>
    <cellStyle name="Normal 4 2 2 4 3 2" xfId="9136"/>
    <cellStyle name="Normal 4 2 2 4 3 2 2" xfId="15329"/>
    <cellStyle name="Normal 4 2 2 4 3 2 2 2" xfId="35212"/>
    <cellStyle name="Normal 4 2 2 4 3 2 3" xfId="21481"/>
    <cellStyle name="Normal 4 2 2 4 3 2 3 2" xfId="41364"/>
    <cellStyle name="Normal 4 2 2 4 3 2 4" xfId="29059"/>
    <cellStyle name="Normal 4 2 2 4 3 3" xfId="12263"/>
    <cellStyle name="Normal 4 2 2 4 3 3 2" xfId="32146"/>
    <cellStyle name="Normal 4 2 2 4 3 4" xfId="18415"/>
    <cellStyle name="Normal 4 2 2 4 3 4 2" xfId="38298"/>
    <cellStyle name="Normal 4 2 2 4 3 5" xfId="25993"/>
    <cellStyle name="Normal 4 2 2 4 4" xfId="7601"/>
    <cellStyle name="Normal 4 2 2 4 4 2" xfId="13795"/>
    <cellStyle name="Normal 4 2 2 4 4 2 2" xfId="33678"/>
    <cellStyle name="Normal 4 2 2 4 4 3" xfId="19947"/>
    <cellStyle name="Normal 4 2 2 4 4 3 2" xfId="39830"/>
    <cellStyle name="Normal 4 2 2 4 4 4" xfId="27525"/>
    <cellStyle name="Normal 4 2 2 4 5" xfId="10729"/>
    <cellStyle name="Normal 4 2 2 4 5 2" xfId="30612"/>
    <cellStyle name="Normal 4 2 2 4 6" xfId="16881"/>
    <cellStyle name="Normal 4 2 2 4 6 2" xfId="36764"/>
    <cellStyle name="Normal 4 2 2 4 7" xfId="24459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2 2" xfId="35982"/>
    <cellStyle name="Normal 4 2 2 5 2 2 2 3" xfId="22251"/>
    <cellStyle name="Normal 4 2 2 5 2 2 2 3 2" xfId="42134"/>
    <cellStyle name="Normal 4 2 2 5 2 2 2 4" xfId="29829"/>
    <cellStyle name="Normal 4 2 2 5 2 2 3" xfId="13033"/>
    <cellStyle name="Normal 4 2 2 5 2 2 3 2" xfId="32916"/>
    <cellStyle name="Normal 4 2 2 5 2 2 4" xfId="19185"/>
    <cellStyle name="Normal 4 2 2 5 2 2 4 2" xfId="39068"/>
    <cellStyle name="Normal 4 2 2 5 2 2 5" xfId="26763"/>
    <cellStyle name="Normal 4 2 2 5 2 3" xfId="8371"/>
    <cellStyle name="Normal 4 2 2 5 2 3 2" xfId="14565"/>
    <cellStyle name="Normal 4 2 2 5 2 3 2 2" xfId="34448"/>
    <cellStyle name="Normal 4 2 2 5 2 3 3" xfId="20717"/>
    <cellStyle name="Normal 4 2 2 5 2 3 3 2" xfId="40600"/>
    <cellStyle name="Normal 4 2 2 5 2 3 4" xfId="28295"/>
    <cellStyle name="Normal 4 2 2 5 2 4" xfId="11499"/>
    <cellStyle name="Normal 4 2 2 5 2 4 2" xfId="31382"/>
    <cellStyle name="Normal 4 2 2 5 2 5" xfId="17651"/>
    <cellStyle name="Normal 4 2 2 5 2 5 2" xfId="37534"/>
    <cellStyle name="Normal 4 2 2 5 2 6" xfId="25229"/>
    <cellStyle name="Normal 4 2 2 5 3" xfId="6037"/>
    <cellStyle name="Normal 4 2 2 5 3 2" xfId="9137"/>
    <cellStyle name="Normal 4 2 2 5 3 2 2" xfId="15330"/>
    <cellStyle name="Normal 4 2 2 5 3 2 2 2" xfId="35213"/>
    <cellStyle name="Normal 4 2 2 5 3 2 3" xfId="21482"/>
    <cellStyle name="Normal 4 2 2 5 3 2 3 2" xfId="41365"/>
    <cellStyle name="Normal 4 2 2 5 3 2 4" xfId="29060"/>
    <cellStyle name="Normal 4 2 2 5 3 3" xfId="12264"/>
    <cellStyle name="Normal 4 2 2 5 3 3 2" xfId="32147"/>
    <cellStyle name="Normal 4 2 2 5 3 4" xfId="18416"/>
    <cellStyle name="Normal 4 2 2 5 3 4 2" xfId="38299"/>
    <cellStyle name="Normal 4 2 2 5 3 5" xfId="25994"/>
    <cellStyle name="Normal 4 2 2 5 4" xfId="7602"/>
    <cellStyle name="Normal 4 2 2 5 4 2" xfId="13796"/>
    <cellStyle name="Normal 4 2 2 5 4 2 2" xfId="33679"/>
    <cellStyle name="Normal 4 2 2 5 4 3" xfId="19948"/>
    <cellStyle name="Normal 4 2 2 5 4 3 2" xfId="39831"/>
    <cellStyle name="Normal 4 2 2 5 4 4" xfId="27526"/>
    <cellStyle name="Normal 4 2 2 5 5" xfId="10730"/>
    <cellStyle name="Normal 4 2 2 5 5 2" xfId="30613"/>
    <cellStyle name="Normal 4 2 2 5 6" xfId="16882"/>
    <cellStyle name="Normal 4 2 2 5 6 2" xfId="36765"/>
    <cellStyle name="Normal 4 2 2 5 7" xfId="24460"/>
    <cellStyle name="Normal 4 2 2 6" xfId="5191"/>
    <cellStyle name="Normal 4 2 2 6 2" xfId="6816"/>
    <cellStyle name="Normal 4 2 2 6 2 2" xfId="9902"/>
    <cellStyle name="Normal 4 2 2 6 2 2 2" xfId="16095"/>
    <cellStyle name="Normal 4 2 2 6 2 2 2 2" xfId="35978"/>
    <cellStyle name="Normal 4 2 2 6 2 2 3" xfId="22247"/>
    <cellStyle name="Normal 4 2 2 6 2 2 3 2" xfId="42130"/>
    <cellStyle name="Normal 4 2 2 6 2 2 4" xfId="29825"/>
    <cellStyle name="Normal 4 2 2 6 2 3" xfId="13029"/>
    <cellStyle name="Normal 4 2 2 6 2 3 2" xfId="32912"/>
    <cellStyle name="Normal 4 2 2 6 2 4" xfId="19181"/>
    <cellStyle name="Normal 4 2 2 6 2 4 2" xfId="39064"/>
    <cellStyle name="Normal 4 2 2 6 2 5" xfId="26759"/>
    <cellStyle name="Normal 4 2 2 6 3" xfId="8367"/>
    <cellStyle name="Normal 4 2 2 6 3 2" xfId="14561"/>
    <cellStyle name="Normal 4 2 2 6 3 2 2" xfId="34444"/>
    <cellStyle name="Normal 4 2 2 6 3 3" xfId="20713"/>
    <cellStyle name="Normal 4 2 2 6 3 3 2" xfId="40596"/>
    <cellStyle name="Normal 4 2 2 6 3 4" xfId="28291"/>
    <cellStyle name="Normal 4 2 2 6 4" xfId="11495"/>
    <cellStyle name="Normal 4 2 2 6 4 2" xfId="31378"/>
    <cellStyle name="Normal 4 2 2 6 5" xfId="17647"/>
    <cellStyle name="Normal 4 2 2 6 5 2" xfId="37530"/>
    <cellStyle name="Normal 4 2 2 6 6" xfId="25225"/>
    <cellStyle name="Normal 4 2 2 7" xfId="6033"/>
    <cellStyle name="Normal 4 2 2 7 2" xfId="9133"/>
    <cellStyle name="Normal 4 2 2 7 2 2" xfId="15326"/>
    <cellStyle name="Normal 4 2 2 7 2 2 2" xfId="35209"/>
    <cellStyle name="Normal 4 2 2 7 2 3" xfId="21478"/>
    <cellStyle name="Normal 4 2 2 7 2 3 2" xfId="41361"/>
    <cellStyle name="Normal 4 2 2 7 2 4" xfId="29056"/>
    <cellStyle name="Normal 4 2 2 7 3" xfId="12260"/>
    <cellStyle name="Normal 4 2 2 7 3 2" xfId="32143"/>
    <cellStyle name="Normal 4 2 2 7 4" xfId="18412"/>
    <cellStyle name="Normal 4 2 2 7 4 2" xfId="38295"/>
    <cellStyle name="Normal 4 2 2 7 5" xfId="25990"/>
    <cellStyle name="Normal 4 2 2 8" xfId="7598"/>
    <cellStyle name="Normal 4 2 2 8 2" xfId="13792"/>
    <cellStyle name="Normal 4 2 2 8 2 2" xfId="33675"/>
    <cellStyle name="Normal 4 2 2 8 3" xfId="19944"/>
    <cellStyle name="Normal 4 2 2 8 3 2" xfId="39827"/>
    <cellStyle name="Normal 4 2 2 8 4" xfId="27522"/>
    <cellStyle name="Normal 4 2 2 9" xfId="10726"/>
    <cellStyle name="Normal 4 2 2 9 2" xfId="30609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2 2" xfId="35983"/>
    <cellStyle name="Normal 4 2 20 2 2 2 3" xfId="22252"/>
    <cellStyle name="Normal 4 2 20 2 2 2 3 2" xfId="42135"/>
    <cellStyle name="Normal 4 2 20 2 2 2 4" xfId="29830"/>
    <cellStyle name="Normal 4 2 20 2 2 3" xfId="13034"/>
    <cellStyle name="Normal 4 2 20 2 2 3 2" xfId="32917"/>
    <cellStyle name="Normal 4 2 20 2 2 4" xfId="19186"/>
    <cellStyle name="Normal 4 2 20 2 2 4 2" xfId="39069"/>
    <cellStyle name="Normal 4 2 20 2 2 5" xfId="26764"/>
    <cellStyle name="Normal 4 2 20 2 3" xfId="8372"/>
    <cellStyle name="Normal 4 2 20 2 3 2" xfId="14566"/>
    <cellStyle name="Normal 4 2 20 2 3 2 2" xfId="34449"/>
    <cellStyle name="Normal 4 2 20 2 3 3" xfId="20718"/>
    <cellStyle name="Normal 4 2 20 2 3 3 2" xfId="40601"/>
    <cellStyle name="Normal 4 2 20 2 3 4" xfId="28296"/>
    <cellStyle name="Normal 4 2 20 2 4" xfId="11500"/>
    <cellStyle name="Normal 4 2 20 2 4 2" xfId="31383"/>
    <cellStyle name="Normal 4 2 20 2 5" xfId="17652"/>
    <cellStyle name="Normal 4 2 20 2 5 2" xfId="37535"/>
    <cellStyle name="Normal 4 2 20 2 6" xfId="25230"/>
    <cellStyle name="Normal 4 2 20 3" xfId="6038"/>
    <cellStyle name="Normal 4 2 20 3 2" xfId="9138"/>
    <cellStyle name="Normal 4 2 20 3 2 2" xfId="15331"/>
    <cellStyle name="Normal 4 2 20 3 2 2 2" xfId="35214"/>
    <cellStyle name="Normal 4 2 20 3 2 3" xfId="21483"/>
    <cellStyle name="Normal 4 2 20 3 2 3 2" xfId="41366"/>
    <cellStyle name="Normal 4 2 20 3 2 4" xfId="29061"/>
    <cellStyle name="Normal 4 2 20 3 3" xfId="12265"/>
    <cellStyle name="Normal 4 2 20 3 3 2" xfId="32148"/>
    <cellStyle name="Normal 4 2 20 3 4" xfId="18417"/>
    <cellStyle name="Normal 4 2 20 3 4 2" xfId="38300"/>
    <cellStyle name="Normal 4 2 20 3 5" xfId="25995"/>
    <cellStyle name="Normal 4 2 20 4" xfId="7603"/>
    <cellStyle name="Normal 4 2 20 4 2" xfId="13797"/>
    <cellStyle name="Normal 4 2 20 4 2 2" xfId="33680"/>
    <cellStyle name="Normal 4 2 20 4 3" xfId="19949"/>
    <cellStyle name="Normal 4 2 20 4 3 2" xfId="39832"/>
    <cellStyle name="Normal 4 2 20 4 4" xfId="27527"/>
    <cellStyle name="Normal 4 2 20 5" xfId="10731"/>
    <cellStyle name="Normal 4 2 20 5 2" xfId="30614"/>
    <cellStyle name="Normal 4 2 20 6" xfId="16883"/>
    <cellStyle name="Normal 4 2 20 6 2" xfId="36766"/>
    <cellStyle name="Normal 4 2 20 7" xfId="24461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2 2" xfId="35984"/>
    <cellStyle name="Normal 4 2 21 2 2 2 3" xfId="22253"/>
    <cellStyle name="Normal 4 2 21 2 2 2 3 2" xfId="42136"/>
    <cellStyle name="Normal 4 2 21 2 2 2 4" xfId="29831"/>
    <cellStyle name="Normal 4 2 21 2 2 3" xfId="13035"/>
    <cellStyle name="Normal 4 2 21 2 2 3 2" xfId="32918"/>
    <cellStyle name="Normal 4 2 21 2 2 4" xfId="19187"/>
    <cellStyle name="Normal 4 2 21 2 2 4 2" xfId="39070"/>
    <cellStyle name="Normal 4 2 21 2 2 5" xfId="26765"/>
    <cellStyle name="Normal 4 2 21 2 3" xfId="8373"/>
    <cellStyle name="Normal 4 2 21 2 3 2" xfId="14567"/>
    <cellStyle name="Normal 4 2 21 2 3 2 2" xfId="34450"/>
    <cellStyle name="Normal 4 2 21 2 3 3" xfId="20719"/>
    <cellStyle name="Normal 4 2 21 2 3 3 2" xfId="40602"/>
    <cellStyle name="Normal 4 2 21 2 3 4" xfId="28297"/>
    <cellStyle name="Normal 4 2 21 2 4" xfId="11501"/>
    <cellStyle name="Normal 4 2 21 2 4 2" xfId="31384"/>
    <cellStyle name="Normal 4 2 21 2 5" xfId="17653"/>
    <cellStyle name="Normal 4 2 21 2 5 2" xfId="37536"/>
    <cellStyle name="Normal 4 2 21 2 6" xfId="25231"/>
    <cellStyle name="Normal 4 2 21 3" xfId="6039"/>
    <cellStyle name="Normal 4 2 21 3 2" xfId="9139"/>
    <cellStyle name="Normal 4 2 21 3 2 2" xfId="15332"/>
    <cellStyle name="Normal 4 2 21 3 2 2 2" xfId="35215"/>
    <cellStyle name="Normal 4 2 21 3 2 3" xfId="21484"/>
    <cellStyle name="Normal 4 2 21 3 2 3 2" xfId="41367"/>
    <cellStyle name="Normal 4 2 21 3 2 4" xfId="29062"/>
    <cellStyle name="Normal 4 2 21 3 3" xfId="12266"/>
    <cellStyle name="Normal 4 2 21 3 3 2" xfId="32149"/>
    <cellStyle name="Normal 4 2 21 3 4" xfId="18418"/>
    <cellStyle name="Normal 4 2 21 3 4 2" xfId="38301"/>
    <cellStyle name="Normal 4 2 21 3 5" xfId="25996"/>
    <cellStyle name="Normal 4 2 21 4" xfId="7604"/>
    <cellStyle name="Normal 4 2 21 4 2" xfId="13798"/>
    <cellStyle name="Normal 4 2 21 4 2 2" xfId="33681"/>
    <cellStyle name="Normal 4 2 21 4 3" xfId="19950"/>
    <cellStyle name="Normal 4 2 21 4 3 2" xfId="39833"/>
    <cellStyle name="Normal 4 2 21 4 4" xfId="27528"/>
    <cellStyle name="Normal 4 2 21 5" xfId="10732"/>
    <cellStyle name="Normal 4 2 21 5 2" xfId="30615"/>
    <cellStyle name="Normal 4 2 21 6" xfId="16884"/>
    <cellStyle name="Normal 4 2 21 6 2" xfId="36767"/>
    <cellStyle name="Normal 4 2 21 7" xfId="24462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2 2" xfId="35985"/>
    <cellStyle name="Normal 4 2 22 2 2 2 3" xfId="22254"/>
    <cellStyle name="Normal 4 2 22 2 2 2 3 2" xfId="42137"/>
    <cellStyle name="Normal 4 2 22 2 2 2 4" xfId="29832"/>
    <cellStyle name="Normal 4 2 22 2 2 3" xfId="13036"/>
    <cellStyle name="Normal 4 2 22 2 2 3 2" xfId="32919"/>
    <cellStyle name="Normal 4 2 22 2 2 4" xfId="19188"/>
    <cellStyle name="Normal 4 2 22 2 2 4 2" xfId="39071"/>
    <cellStyle name="Normal 4 2 22 2 2 5" xfId="26766"/>
    <cellStyle name="Normal 4 2 22 2 3" xfId="8374"/>
    <cellStyle name="Normal 4 2 22 2 3 2" xfId="14568"/>
    <cellStyle name="Normal 4 2 22 2 3 2 2" xfId="34451"/>
    <cellStyle name="Normal 4 2 22 2 3 3" xfId="20720"/>
    <cellStyle name="Normal 4 2 22 2 3 3 2" xfId="40603"/>
    <cellStyle name="Normal 4 2 22 2 3 4" xfId="28298"/>
    <cellStyle name="Normal 4 2 22 2 4" xfId="11502"/>
    <cellStyle name="Normal 4 2 22 2 4 2" xfId="31385"/>
    <cellStyle name="Normal 4 2 22 2 5" xfId="17654"/>
    <cellStyle name="Normal 4 2 22 2 5 2" xfId="37537"/>
    <cellStyle name="Normal 4 2 22 2 6" xfId="25232"/>
    <cellStyle name="Normal 4 2 22 3" xfId="6040"/>
    <cellStyle name="Normal 4 2 22 3 2" xfId="9140"/>
    <cellStyle name="Normal 4 2 22 3 2 2" xfId="15333"/>
    <cellStyle name="Normal 4 2 22 3 2 2 2" xfId="35216"/>
    <cellStyle name="Normal 4 2 22 3 2 3" xfId="21485"/>
    <cellStyle name="Normal 4 2 22 3 2 3 2" xfId="41368"/>
    <cellStyle name="Normal 4 2 22 3 2 4" xfId="29063"/>
    <cellStyle name="Normal 4 2 22 3 3" xfId="12267"/>
    <cellStyle name="Normal 4 2 22 3 3 2" xfId="32150"/>
    <cellStyle name="Normal 4 2 22 3 4" xfId="18419"/>
    <cellStyle name="Normal 4 2 22 3 4 2" xfId="38302"/>
    <cellStyle name="Normal 4 2 22 3 5" xfId="25997"/>
    <cellStyle name="Normal 4 2 22 4" xfId="7605"/>
    <cellStyle name="Normal 4 2 22 4 2" xfId="13799"/>
    <cellStyle name="Normal 4 2 22 4 2 2" xfId="33682"/>
    <cellStyle name="Normal 4 2 22 4 3" xfId="19951"/>
    <cellStyle name="Normal 4 2 22 4 3 2" xfId="39834"/>
    <cellStyle name="Normal 4 2 22 4 4" xfId="27529"/>
    <cellStyle name="Normal 4 2 22 5" xfId="10733"/>
    <cellStyle name="Normal 4 2 22 5 2" xfId="30616"/>
    <cellStyle name="Normal 4 2 22 6" xfId="16885"/>
    <cellStyle name="Normal 4 2 22 6 2" xfId="36768"/>
    <cellStyle name="Normal 4 2 22 7" xfId="24463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2 2" xfId="35986"/>
    <cellStyle name="Normal 4 2 23 2 2 2 3" xfId="22255"/>
    <cellStyle name="Normal 4 2 23 2 2 2 3 2" xfId="42138"/>
    <cellStyle name="Normal 4 2 23 2 2 2 4" xfId="29833"/>
    <cellStyle name="Normal 4 2 23 2 2 3" xfId="13037"/>
    <cellStyle name="Normal 4 2 23 2 2 3 2" xfId="32920"/>
    <cellStyle name="Normal 4 2 23 2 2 4" xfId="19189"/>
    <cellStyle name="Normal 4 2 23 2 2 4 2" xfId="39072"/>
    <cellStyle name="Normal 4 2 23 2 2 5" xfId="26767"/>
    <cellStyle name="Normal 4 2 23 2 3" xfId="8375"/>
    <cellStyle name="Normal 4 2 23 2 3 2" xfId="14569"/>
    <cellStyle name="Normal 4 2 23 2 3 2 2" xfId="34452"/>
    <cellStyle name="Normal 4 2 23 2 3 3" xfId="20721"/>
    <cellStyle name="Normal 4 2 23 2 3 3 2" xfId="40604"/>
    <cellStyle name="Normal 4 2 23 2 3 4" xfId="28299"/>
    <cellStyle name="Normal 4 2 23 2 4" xfId="11503"/>
    <cellStyle name="Normal 4 2 23 2 4 2" xfId="31386"/>
    <cellStyle name="Normal 4 2 23 2 5" xfId="17655"/>
    <cellStyle name="Normal 4 2 23 2 5 2" xfId="37538"/>
    <cellStyle name="Normal 4 2 23 2 6" xfId="25233"/>
    <cellStyle name="Normal 4 2 23 3" xfId="6041"/>
    <cellStyle name="Normal 4 2 23 3 2" xfId="9141"/>
    <cellStyle name="Normal 4 2 23 3 2 2" xfId="15334"/>
    <cellStyle name="Normal 4 2 23 3 2 2 2" xfId="35217"/>
    <cellStyle name="Normal 4 2 23 3 2 3" xfId="21486"/>
    <cellStyle name="Normal 4 2 23 3 2 3 2" xfId="41369"/>
    <cellStyle name="Normal 4 2 23 3 2 4" xfId="29064"/>
    <cellStyle name="Normal 4 2 23 3 3" xfId="12268"/>
    <cellStyle name="Normal 4 2 23 3 3 2" xfId="32151"/>
    <cellStyle name="Normal 4 2 23 3 4" xfId="18420"/>
    <cellStyle name="Normal 4 2 23 3 4 2" xfId="38303"/>
    <cellStyle name="Normal 4 2 23 3 5" xfId="25998"/>
    <cellStyle name="Normal 4 2 23 4" xfId="7606"/>
    <cellStyle name="Normal 4 2 23 4 2" xfId="13800"/>
    <cellStyle name="Normal 4 2 23 4 2 2" xfId="33683"/>
    <cellStyle name="Normal 4 2 23 4 3" xfId="19952"/>
    <cellStyle name="Normal 4 2 23 4 3 2" xfId="39835"/>
    <cellStyle name="Normal 4 2 23 4 4" xfId="27530"/>
    <cellStyle name="Normal 4 2 23 5" xfId="10734"/>
    <cellStyle name="Normal 4 2 23 5 2" xfId="30617"/>
    <cellStyle name="Normal 4 2 23 6" xfId="16886"/>
    <cellStyle name="Normal 4 2 23 6 2" xfId="36769"/>
    <cellStyle name="Normal 4 2 23 7" xfId="24464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2 2" xfId="35987"/>
    <cellStyle name="Normal 4 2 24 2 2 2 3" xfId="22256"/>
    <cellStyle name="Normal 4 2 24 2 2 2 3 2" xfId="42139"/>
    <cellStyle name="Normal 4 2 24 2 2 2 4" xfId="29834"/>
    <cellStyle name="Normal 4 2 24 2 2 3" xfId="13038"/>
    <cellStyle name="Normal 4 2 24 2 2 3 2" xfId="32921"/>
    <cellStyle name="Normal 4 2 24 2 2 4" xfId="19190"/>
    <cellStyle name="Normal 4 2 24 2 2 4 2" xfId="39073"/>
    <cellStyle name="Normal 4 2 24 2 2 5" xfId="26768"/>
    <cellStyle name="Normal 4 2 24 2 3" xfId="8376"/>
    <cellStyle name="Normal 4 2 24 2 3 2" xfId="14570"/>
    <cellStyle name="Normal 4 2 24 2 3 2 2" xfId="34453"/>
    <cellStyle name="Normal 4 2 24 2 3 3" xfId="20722"/>
    <cellStyle name="Normal 4 2 24 2 3 3 2" xfId="40605"/>
    <cellStyle name="Normal 4 2 24 2 3 4" xfId="28300"/>
    <cellStyle name="Normal 4 2 24 2 4" xfId="11504"/>
    <cellStyle name="Normal 4 2 24 2 4 2" xfId="31387"/>
    <cellStyle name="Normal 4 2 24 2 5" xfId="17656"/>
    <cellStyle name="Normal 4 2 24 2 5 2" xfId="37539"/>
    <cellStyle name="Normal 4 2 24 2 6" xfId="25234"/>
    <cellStyle name="Normal 4 2 24 3" xfId="6042"/>
    <cellStyle name="Normal 4 2 24 3 2" xfId="9142"/>
    <cellStyle name="Normal 4 2 24 3 2 2" xfId="15335"/>
    <cellStyle name="Normal 4 2 24 3 2 2 2" xfId="35218"/>
    <cellStyle name="Normal 4 2 24 3 2 3" xfId="21487"/>
    <cellStyle name="Normal 4 2 24 3 2 3 2" xfId="41370"/>
    <cellStyle name="Normal 4 2 24 3 2 4" xfId="29065"/>
    <cellStyle name="Normal 4 2 24 3 3" xfId="12269"/>
    <cellStyle name="Normal 4 2 24 3 3 2" xfId="32152"/>
    <cellStyle name="Normal 4 2 24 3 4" xfId="18421"/>
    <cellStyle name="Normal 4 2 24 3 4 2" xfId="38304"/>
    <cellStyle name="Normal 4 2 24 3 5" xfId="25999"/>
    <cellStyle name="Normal 4 2 24 4" xfId="7607"/>
    <cellStyle name="Normal 4 2 24 4 2" xfId="13801"/>
    <cellStyle name="Normal 4 2 24 4 2 2" xfId="33684"/>
    <cellStyle name="Normal 4 2 24 4 3" xfId="19953"/>
    <cellStyle name="Normal 4 2 24 4 3 2" xfId="39836"/>
    <cellStyle name="Normal 4 2 24 4 4" xfId="27531"/>
    <cellStyle name="Normal 4 2 24 5" xfId="10735"/>
    <cellStyle name="Normal 4 2 24 5 2" xfId="30618"/>
    <cellStyle name="Normal 4 2 24 6" xfId="16887"/>
    <cellStyle name="Normal 4 2 24 6 2" xfId="36770"/>
    <cellStyle name="Normal 4 2 24 7" xfId="24465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2 2" xfId="35989"/>
    <cellStyle name="Normal 4 2 3 2 2 2 2 3" xfId="22258"/>
    <cellStyle name="Normal 4 2 3 2 2 2 2 3 2" xfId="42141"/>
    <cellStyle name="Normal 4 2 3 2 2 2 2 4" xfId="29836"/>
    <cellStyle name="Normal 4 2 3 2 2 2 3" xfId="13040"/>
    <cellStyle name="Normal 4 2 3 2 2 2 3 2" xfId="32923"/>
    <cellStyle name="Normal 4 2 3 2 2 2 4" xfId="19192"/>
    <cellStyle name="Normal 4 2 3 2 2 2 4 2" xfId="39075"/>
    <cellStyle name="Normal 4 2 3 2 2 2 5" xfId="26770"/>
    <cellStyle name="Normal 4 2 3 2 2 3" xfId="8378"/>
    <cellStyle name="Normal 4 2 3 2 2 3 2" xfId="14572"/>
    <cellStyle name="Normal 4 2 3 2 2 3 2 2" xfId="34455"/>
    <cellStyle name="Normal 4 2 3 2 2 3 3" xfId="20724"/>
    <cellStyle name="Normal 4 2 3 2 2 3 3 2" xfId="40607"/>
    <cellStyle name="Normal 4 2 3 2 2 3 4" xfId="28302"/>
    <cellStyle name="Normal 4 2 3 2 2 4" xfId="11506"/>
    <cellStyle name="Normal 4 2 3 2 2 4 2" xfId="31389"/>
    <cellStyle name="Normal 4 2 3 2 2 5" xfId="17658"/>
    <cellStyle name="Normal 4 2 3 2 2 5 2" xfId="37541"/>
    <cellStyle name="Normal 4 2 3 2 2 6" xfId="25236"/>
    <cellStyle name="Normal 4 2 3 2 3" xfId="6044"/>
    <cellStyle name="Normal 4 2 3 2 3 2" xfId="9144"/>
    <cellStyle name="Normal 4 2 3 2 3 2 2" xfId="15337"/>
    <cellStyle name="Normal 4 2 3 2 3 2 2 2" xfId="35220"/>
    <cellStyle name="Normal 4 2 3 2 3 2 3" xfId="21489"/>
    <cellStyle name="Normal 4 2 3 2 3 2 3 2" xfId="41372"/>
    <cellStyle name="Normal 4 2 3 2 3 2 4" xfId="29067"/>
    <cellStyle name="Normal 4 2 3 2 3 3" xfId="12271"/>
    <cellStyle name="Normal 4 2 3 2 3 3 2" xfId="32154"/>
    <cellStyle name="Normal 4 2 3 2 3 4" xfId="18423"/>
    <cellStyle name="Normal 4 2 3 2 3 4 2" xfId="38306"/>
    <cellStyle name="Normal 4 2 3 2 3 5" xfId="26001"/>
    <cellStyle name="Normal 4 2 3 2 4" xfId="7609"/>
    <cellStyle name="Normal 4 2 3 2 4 2" xfId="13803"/>
    <cellStyle name="Normal 4 2 3 2 4 2 2" xfId="33686"/>
    <cellStyle name="Normal 4 2 3 2 4 3" xfId="19955"/>
    <cellStyle name="Normal 4 2 3 2 4 3 2" xfId="39838"/>
    <cellStyle name="Normal 4 2 3 2 4 4" xfId="27533"/>
    <cellStyle name="Normal 4 2 3 2 5" xfId="10737"/>
    <cellStyle name="Normal 4 2 3 2 5 2" xfId="30620"/>
    <cellStyle name="Normal 4 2 3 2 6" xfId="16889"/>
    <cellStyle name="Normal 4 2 3 2 6 2" xfId="36772"/>
    <cellStyle name="Normal 4 2 3 2 7" xfId="24467"/>
    <cellStyle name="Normal 4 2 3 3" xfId="5201"/>
    <cellStyle name="Normal 4 2 3 3 2" xfId="6826"/>
    <cellStyle name="Normal 4 2 3 3 2 2" xfId="9912"/>
    <cellStyle name="Normal 4 2 3 3 2 2 2" xfId="16105"/>
    <cellStyle name="Normal 4 2 3 3 2 2 2 2" xfId="35988"/>
    <cellStyle name="Normal 4 2 3 3 2 2 3" xfId="22257"/>
    <cellStyle name="Normal 4 2 3 3 2 2 3 2" xfId="42140"/>
    <cellStyle name="Normal 4 2 3 3 2 2 4" xfId="29835"/>
    <cellStyle name="Normal 4 2 3 3 2 3" xfId="13039"/>
    <cellStyle name="Normal 4 2 3 3 2 3 2" xfId="32922"/>
    <cellStyle name="Normal 4 2 3 3 2 4" xfId="19191"/>
    <cellStyle name="Normal 4 2 3 3 2 4 2" xfId="39074"/>
    <cellStyle name="Normal 4 2 3 3 2 5" xfId="26769"/>
    <cellStyle name="Normal 4 2 3 3 3" xfId="8377"/>
    <cellStyle name="Normal 4 2 3 3 3 2" xfId="14571"/>
    <cellStyle name="Normal 4 2 3 3 3 2 2" xfId="34454"/>
    <cellStyle name="Normal 4 2 3 3 3 3" xfId="20723"/>
    <cellStyle name="Normal 4 2 3 3 3 3 2" xfId="40606"/>
    <cellStyle name="Normal 4 2 3 3 3 4" xfId="28301"/>
    <cellStyle name="Normal 4 2 3 3 4" xfId="11505"/>
    <cellStyle name="Normal 4 2 3 3 4 2" xfId="31388"/>
    <cellStyle name="Normal 4 2 3 3 5" xfId="17657"/>
    <cellStyle name="Normal 4 2 3 3 5 2" xfId="37540"/>
    <cellStyle name="Normal 4 2 3 3 6" xfId="25235"/>
    <cellStyle name="Normal 4 2 3 4" xfId="6043"/>
    <cellStyle name="Normal 4 2 3 4 2" xfId="9143"/>
    <cellStyle name="Normal 4 2 3 4 2 2" xfId="15336"/>
    <cellStyle name="Normal 4 2 3 4 2 2 2" xfId="35219"/>
    <cellStyle name="Normal 4 2 3 4 2 3" xfId="21488"/>
    <cellStyle name="Normal 4 2 3 4 2 3 2" xfId="41371"/>
    <cellStyle name="Normal 4 2 3 4 2 4" xfId="29066"/>
    <cellStyle name="Normal 4 2 3 4 3" xfId="12270"/>
    <cellStyle name="Normal 4 2 3 4 3 2" xfId="32153"/>
    <cellStyle name="Normal 4 2 3 4 4" xfId="18422"/>
    <cellStyle name="Normal 4 2 3 4 4 2" xfId="38305"/>
    <cellStyle name="Normal 4 2 3 4 5" xfId="26000"/>
    <cellStyle name="Normal 4 2 3 5" xfId="7608"/>
    <cellStyle name="Normal 4 2 3 5 2" xfId="13802"/>
    <cellStyle name="Normal 4 2 3 5 2 2" xfId="33685"/>
    <cellStyle name="Normal 4 2 3 5 3" xfId="19954"/>
    <cellStyle name="Normal 4 2 3 5 3 2" xfId="39837"/>
    <cellStyle name="Normal 4 2 3 5 4" xfId="27532"/>
    <cellStyle name="Normal 4 2 3 6" xfId="10736"/>
    <cellStyle name="Normal 4 2 3 6 2" xfId="30619"/>
    <cellStyle name="Normal 4 2 3 7" xfId="16888"/>
    <cellStyle name="Normal 4 2 3 7 2" xfId="36771"/>
    <cellStyle name="Normal 4 2 3 8" xfId="24466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2 2" xfId="35991"/>
    <cellStyle name="Normal 4 2 4 2 2 2 2 3" xfId="22260"/>
    <cellStyle name="Normal 4 2 4 2 2 2 2 3 2" xfId="42143"/>
    <cellStyle name="Normal 4 2 4 2 2 2 2 4" xfId="29838"/>
    <cellStyle name="Normal 4 2 4 2 2 2 3" xfId="13042"/>
    <cellStyle name="Normal 4 2 4 2 2 2 3 2" xfId="32925"/>
    <cellStyle name="Normal 4 2 4 2 2 2 4" xfId="19194"/>
    <cellStyle name="Normal 4 2 4 2 2 2 4 2" xfId="39077"/>
    <cellStyle name="Normal 4 2 4 2 2 2 5" xfId="26772"/>
    <cellStyle name="Normal 4 2 4 2 2 3" xfId="8380"/>
    <cellStyle name="Normal 4 2 4 2 2 3 2" xfId="14574"/>
    <cellStyle name="Normal 4 2 4 2 2 3 2 2" xfId="34457"/>
    <cellStyle name="Normal 4 2 4 2 2 3 3" xfId="20726"/>
    <cellStyle name="Normal 4 2 4 2 2 3 3 2" xfId="40609"/>
    <cellStyle name="Normal 4 2 4 2 2 3 4" xfId="28304"/>
    <cellStyle name="Normal 4 2 4 2 2 4" xfId="11508"/>
    <cellStyle name="Normal 4 2 4 2 2 4 2" xfId="31391"/>
    <cellStyle name="Normal 4 2 4 2 2 5" xfId="17660"/>
    <cellStyle name="Normal 4 2 4 2 2 5 2" xfId="37543"/>
    <cellStyle name="Normal 4 2 4 2 2 6" xfId="25238"/>
    <cellStyle name="Normal 4 2 4 2 3" xfId="6046"/>
    <cellStyle name="Normal 4 2 4 2 3 2" xfId="9146"/>
    <cellStyle name="Normal 4 2 4 2 3 2 2" xfId="15339"/>
    <cellStyle name="Normal 4 2 4 2 3 2 2 2" xfId="35222"/>
    <cellStyle name="Normal 4 2 4 2 3 2 3" xfId="21491"/>
    <cellStyle name="Normal 4 2 4 2 3 2 3 2" xfId="41374"/>
    <cellStyle name="Normal 4 2 4 2 3 2 4" xfId="29069"/>
    <cellStyle name="Normal 4 2 4 2 3 3" xfId="12273"/>
    <cellStyle name="Normal 4 2 4 2 3 3 2" xfId="32156"/>
    <cellStyle name="Normal 4 2 4 2 3 4" xfId="18425"/>
    <cellStyle name="Normal 4 2 4 2 3 4 2" xfId="38308"/>
    <cellStyle name="Normal 4 2 4 2 3 5" xfId="26003"/>
    <cellStyle name="Normal 4 2 4 2 4" xfId="7611"/>
    <cellStyle name="Normal 4 2 4 2 4 2" xfId="13805"/>
    <cellStyle name="Normal 4 2 4 2 4 2 2" xfId="33688"/>
    <cellStyle name="Normal 4 2 4 2 4 3" xfId="19957"/>
    <cellStyle name="Normal 4 2 4 2 4 3 2" xfId="39840"/>
    <cellStyle name="Normal 4 2 4 2 4 4" xfId="27535"/>
    <cellStyle name="Normal 4 2 4 2 5" xfId="10739"/>
    <cellStyle name="Normal 4 2 4 2 5 2" xfId="30622"/>
    <cellStyle name="Normal 4 2 4 2 6" xfId="16891"/>
    <cellStyle name="Normal 4 2 4 2 6 2" xfId="36774"/>
    <cellStyle name="Normal 4 2 4 2 7" xfId="24469"/>
    <cellStyle name="Normal 4 2 4 3" xfId="5203"/>
    <cellStyle name="Normal 4 2 4 3 2" xfId="6828"/>
    <cellStyle name="Normal 4 2 4 3 2 2" xfId="9914"/>
    <cellStyle name="Normal 4 2 4 3 2 2 2" xfId="16107"/>
    <cellStyle name="Normal 4 2 4 3 2 2 2 2" xfId="35990"/>
    <cellStyle name="Normal 4 2 4 3 2 2 3" xfId="22259"/>
    <cellStyle name="Normal 4 2 4 3 2 2 3 2" xfId="42142"/>
    <cellStyle name="Normal 4 2 4 3 2 2 4" xfId="29837"/>
    <cellStyle name="Normal 4 2 4 3 2 3" xfId="13041"/>
    <cellStyle name="Normal 4 2 4 3 2 3 2" xfId="32924"/>
    <cellStyle name="Normal 4 2 4 3 2 4" xfId="19193"/>
    <cellStyle name="Normal 4 2 4 3 2 4 2" xfId="39076"/>
    <cellStyle name="Normal 4 2 4 3 2 5" xfId="26771"/>
    <cellStyle name="Normal 4 2 4 3 3" xfId="8379"/>
    <cellStyle name="Normal 4 2 4 3 3 2" xfId="14573"/>
    <cellStyle name="Normal 4 2 4 3 3 2 2" xfId="34456"/>
    <cellStyle name="Normal 4 2 4 3 3 3" xfId="20725"/>
    <cellStyle name="Normal 4 2 4 3 3 3 2" xfId="40608"/>
    <cellStyle name="Normal 4 2 4 3 3 4" xfId="28303"/>
    <cellStyle name="Normal 4 2 4 3 4" xfId="11507"/>
    <cellStyle name="Normal 4 2 4 3 4 2" xfId="31390"/>
    <cellStyle name="Normal 4 2 4 3 5" xfId="17659"/>
    <cellStyle name="Normal 4 2 4 3 5 2" xfId="37542"/>
    <cellStyle name="Normal 4 2 4 3 6" xfId="25237"/>
    <cellStyle name="Normal 4 2 4 4" xfId="6045"/>
    <cellStyle name="Normal 4 2 4 4 2" xfId="9145"/>
    <cellStyle name="Normal 4 2 4 4 2 2" xfId="15338"/>
    <cellStyle name="Normal 4 2 4 4 2 2 2" xfId="35221"/>
    <cellStyle name="Normal 4 2 4 4 2 3" xfId="21490"/>
    <cellStyle name="Normal 4 2 4 4 2 3 2" xfId="41373"/>
    <cellStyle name="Normal 4 2 4 4 2 4" xfId="29068"/>
    <cellStyle name="Normal 4 2 4 4 3" xfId="12272"/>
    <cellStyle name="Normal 4 2 4 4 3 2" xfId="32155"/>
    <cellStyle name="Normal 4 2 4 4 4" xfId="18424"/>
    <cellStyle name="Normal 4 2 4 4 4 2" xfId="38307"/>
    <cellStyle name="Normal 4 2 4 4 5" xfId="26002"/>
    <cellStyle name="Normal 4 2 4 5" xfId="7610"/>
    <cellStyle name="Normal 4 2 4 5 2" xfId="13804"/>
    <cellStyle name="Normal 4 2 4 5 2 2" xfId="33687"/>
    <cellStyle name="Normal 4 2 4 5 3" xfId="19956"/>
    <cellStyle name="Normal 4 2 4 5 3 2" xfId="39839"/>
    <cellStyle name="Normal 4 2 4 5 4" xfId="27534"/>
    <cellStyle name="Normal 4 2 4 6" xfId="10738"/>
    <cellStyle name="Normal 4 2 4 6 2" xfId="30621"/>
    <cellStyle name="Normal 4 2 4 7" xfId="16890"/>
    <cellStyle name="Normal 4 2 4 7 2" xfId="36773"/>
    <cellStyle name="Normal 4 2 4 8" xfId="24468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2 2" xfId="35993"/>
    <cellStyle name="Normal 4 2 5 2 2 2 2 3" xfId="22262"/>
    <cellStyle name="Normal 4 2 5 2 2 2 2 3 2" xfId="42145"/>
    <cellStyle name="Normal 4 2 5 2 2 2 2 4" xfId="29840"/>
    <cellStyle name="Normal 4 2 5 2 2 2 3" xfId="13044"/>
    <cellStyle name="Normal 4 2 5 2 2 2 3 2" xfId="32927"/>
    <cellStyle name="Normal 4 2 5 2 2 2 4" xfId="19196"/>
    <cellStyle name="Normal 4 2 5 2 2 2 4 2" xfId="39079"/>
    <cellStyle name="Normal 4 2 5 2 2 2 5" xfId="26774"/>
    <cellStyle name="Normal 4 2 5 2 2 3" xfId="8382"/>
    <cellStyle name="Normal 4 2 5 2 2 3 2" xfId="14576"/>
    <cellStyle name="Normal 4 2 5 2 2 3 2 2" xfId="34459"/>
    <cellStyle name="Normal 4 2 5 2 2 3 3" xfId="20728"/>
    <cellStyle name="Normal 4 2 5 2 2 3 3 2" xfId="40611"/>
    <cellStyle name="Normal 4 2 5 2 2 3 4" xfId="28306"/>
    <cellStyle name="Normal 4 2 5 2 2 4" xfId="11510"/>
    <cellStyle name="Normal 4 2 5 2 2 4 2" xfId="31393"/>
    <cellStyle name="Normal 4 2 5 2 2 5" xfId="17662"/>
    <cellStyle name="Normal 4 2 5 2 2 5 2" xfId="37545"/>
    <cellStyle name="Normal 4 2 5 2 2 6" xfId="25240"/>
    <cellStyle name="Normal 4 2 5 2 3" xfId="6048"/>
    <cellStyle name="Normal 4 2 5 2 3 2" xfId="9148"/>
    <cellStyle name="Normal 4 2 5 2 3 2 2" xfId="15341"/>
    <cellStyle name="Normal 4 2 5 2 3 2 2 2" xfId="35224"/>
    <cellStyle name="Normal 4 2 5 2 3 2 3" xfId="21493"/>
    <cellStyle name="Normal 4 2 5 2 3 2 3 2" xfId="41376"/>
    <cellStyle name="Normal 4 2 5 2 3 2 4" xfId="29071"/>
    <cellStyle name="Normal 4 2 5 2 3 3" xfId="12275"/>
    <cellStyle name="Normal 4 2 5 2 3 3 2" xfId="32158"/>
    <cellStyle name="Normal 4 2 5 2 3 4" xfId="18427"/>
    <cellStyle name="Normal 4 2 5 2 3 4 2" xfId="38310"/>
    <cellStyle name="Normal 4 2 5 2 3 5" xfId="26005"/>
    <cellStyle name="Normal 4 2 5 2 4" xfId="7613"/>
    <cellStyle name="Normal 4 2 5 2 4 2" xfId="13807"/>
    <cellStyle name="Normal 4 2 5 2 4 2 2" xfId="33690"/>
    <cellStyle name="Normal 4 2 5 2 4 3" xfId="19959"/>
    <cellStyle name="Normal 4 2 5 2 4 3 2" xfId="39842"/>
    <cellStyle name="Normal 4 2 5 2 4 4" xfId="27537"/>
    <cellStyle name="Normal 4 2 5 2 5" xfId="10741"/>
    <cellStyle name="Normal 4 2 5 2 5 2" xfId="30624"/>
    <cellStyle name="Normal 4 2 5 2 6" xfId="16893"/>
    <cellStyle name="Normal 4 2 5 2 6 2" xfId="36776"/>
    <cellStyle name="Normal 4 2 5 2 7" xfId="24471"/>
    <cellStyle name="Normal 4 2 5 3" xfId="5205"/>
    <cellStyle name="Normal 4 2 5 3 2" xfId="6830"/>
    <cellStyle name="Normal 4 2 5 3 2 2" xfId="9916"/>
    <cellStyle name="Normal 4 2 5 3 2 2 2" xfId="16109"/>
    <cellStyle name="Normal 4 2 5 3 2 2 2 2" xfId="35992"/>
    <cellStyle name="Normal 4 2 5 3 2 2 3" xfId="22261"/>
    <cellStyle name="Normal 4 2 5 3 2 2 3 2" xfId="42144"/>
    <cellStyle name="Normal 4 2 5 3 2 2 4" xfId="29839"/>
    <cellStyle name="Normal 4 2 5 3 2 3" xfId="13043"/>
    <cellStyle name="Normal 4 2 5 3 2 3 2" xfId="32926"/>
    <cellStyle name="Normal 4 2 5 3 2 4" xfId="19195"/>
    <cellStyle name="Normal 4 2 5 3 2 4 2" xfId="39078"/>
    <cellStyle name="Normal 4 2 5 3 2 5" xfId="26773"/>
    <cellStyle name="Normal 4 2 5 3 3" xfId="8381"/>
    <cellStyle name="Normal 4 2 5 3 3 2" xfId="14575"/>
    <cellStyle name="Normal 4 2 5 3 3 2 2" xfId="34458"/>
    <cellStyle name="Normal 4 2 5 3 3 3" xfId="20727"/>
    <cellStyle name="Normal 4 2 5 3 3 3 2" xfId="40610"/>
    <cellStyle name="Normal 4 2 5 3 3 4" xfId="28305"/>
    <cellStyle name="Normal 4 2 5 3 4" xfId="11509"/>
    <cellStyle name="Normal 4 2 5 3 4 2" xfId="31392"/>
    <cellStyle name="Normal 4 2 5 3 5" xfId="17661"/>
    <cellStyle name="Normal 4 2 5 3 5 2" xfId="37544"/>
    <cellStyle name="Normal 4 2 5 3 6" xfId="25239"/>
    <cellStyle name="Normal 4 2 5 4" xfId="6047"/>
    <cellStyle name="Normal 4 2 5 4 2" xfId="9147"/>
    <cellStyle name="Normal 4 2 5 4 2 2" xfId="15340"/>
    <cellStyle name="Normal 4 2 5 4 2 2 2" xfId="35223"/>
    <cellStyle name="Normal 4 2 5 4 2 3" xfId="21492"/>
    <cellStyle name="Normal 4 2 5 4 2 3 2" xfId="41375"/>
    <cellStyle name="Normal 4 2 5 4 2 4" xfId="29070"/>
    <cellStyle name="Normal 4 2 5 4 3" xfId="12274"/>
    <cellStyle name="Normal 4 2 5 4 3 2" xfId="32157"/>
    <cellStyle name="Normal 4 2 5 4 4" xfId="18426"/>
    <cellStyle name="Normal 4 2 5 4 4 2" xfId="38309"/>
    <cellStyle name="Normal 4 2 5 4 5" xfId="26004"/>
    <cellStyle name="Normal 4 2 5 5" xfId="7612"/>
    <cellStyle name="Normal 4 2 5 5 2" xfId="13806"/>
    <cellStyle name="Normal 4 2 5 5 2 2" xfId="33689"/>
    <cellStyle name="Normal 4 2 5 5 3" xfId="19958"/>
    <cellStyle name="Normal 4 2 5 5 3 2" xfId="39841"/>
    <cellStyle name="Normal 4 2 5 5 4" xfId="27536"/>
    <cellStyle name="Normal 4 2 5 6" xfId="10740"/>
    <cellStyle name="Normal 4 2 5 6 2" xfId="30623"/>
    <cellStyle name="Normal 4 2 5 7" xfId="16892"/>
    <cellStyle name="Normal 4 2 5 7 2" xfId="36775"/>
    <cellStyle name="Normal 4 2 5 8" xfId="24470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2 2" xfId="35994"/>
    <cellStyle name="Normal 4 2 6 2 2 2 3" xfId="22263"/>
    <cellStyle name="Normal 4 2 6 2 2 2 3 2" xfId="42146"/>
    <cellStyle name="Normal 4 2 6 2 2 2 4" xfId="29841"/>
    <cellStyle name="Normal 4 2 6 2 2 3" xfId="13045"/>
    <cellStyle name="Normal 4 2 6 2 2 3 2" xfId="32928"/>
    <cellStyle name="Normal 4 2 6 2 2 4" xfId="19197"/>
    <cellStyle name="Normal 4 2 6 2 2 4 2" xfId="39080"/>
    <cellStyle name="Normal 4 2 6 2 2 5" xfId="26775"/>
    <cellStyle name="Normal 4 2 6 2 3" xfId="8383"/>
    <cellStyle name="Normal 4 2 6 2 3 2" xfId="14577"/>
    <cellStyle name="Normal 4 2 6 2 3 2 2" xfId="34460"/>
    <cellStyle name="Normal 4 2 6 2 3 3" xfId="20729"/>
    <cellStyle name="Normal 4 2 6 2 3 3 2" xfId="40612"/>
    <cellStyle name="Normal 4 2 6 2 3 4" xfId="28307"/>
    <cellStyle name="Normal 4 2 6 2 4" xfId="11511"/>
    <cellStyle name="Normal 4 2 6 2 4 2" xfId="31394"/>
    <cellStyle name="Normal 4 2 6 2 5" xfId="17663"/>
    <cellStyle name="Normal 4 2 6 2 5 2" xfId="37546"/>
    <cellStyle name="Normal 4 2 6 2 6" xfId="25241"/>
    <cellStyle name="Normal 4 2 6 3" xfId="6049"/>
    <cellStyle name="Normal 4 2 6 3 2" xfId="9149"/>
    <cellStyle name="Normal 4 2 6 3 2 2" xfId="15342"/>
    <cellStyle name="Normal 4 2 6 3 2 2 2" xfId="35225"/>
    <cellStyle name="Normal 4 2 6 3 2 3" xfId="21494"/>
    <cellStyle name="Normal 4 2 6 3 2 3 2" xfId="41377"/>
    <cellStyle name="Normal 4 2 6 3 2 4" xfId="29072"/>
    <cellStyle name="Normal 4 2 6 3 3" xfId="12276"/>
    <cellStyle name="Normal 4 2 6 3 3 2" xfId="32159"/>
    <cellStyle name="Normal 4 2 6 3 4" xfId="18428"/>
    <cellStyle name="Normal 4 2 6 3 4 2" xfId="38311"/>
    <cellStyle name="Normal 4 2 6 3 5" xfId="26006"/>
    <cellStyle name="Normal 4 2 6 4" xfId="7614"/>
    <cellStyle name="Normal 4 2 6 4 2" xfId="13808"/>
    <cellStyle name="Normal 4 2 6 4 2 2" xfId="33691"/>
    <cellStyle name="Normal 4 2 6 4 3" xfId="19960"/>
    <cellStyle name="Normal 4 2 6 4 3 2" xfId="39843"/>
    <cellStyle name="Normal 4 2 6 4 4" xfId="27538"/>
    <cellStyle name="Normal 4 2 6 5" xfId="10742"/>
    <cellStyle name="Normal 4 2 6 5 2" xfId="30625"/>
    <cellStyle name="Normal 4 2 6 6" xfId="16894"/>
    <cellStyle name="Normal 4 2 6 6 2" xfId="36777"/>
    <cellStyle name="Normal 4 2 6 7" xfId="24472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2 2" xfId="35995"/>
    <cellStyle name="Normal 4 2 7 2 2 2 3" xfId="22264"/>
    <cellStyle name="Normal 4 2 7 2 2 2 3 2" xfId="42147"/>
    <cellStyle name="Normal 4 2 7 2 2 2 4" xfId="29842"/>
    <cellStyle name="Normal 4 2 7 2 2 3" xfId="13046"/>
    <cellStyle name="Normal 4 2 7 2 2 3 2" xfId="32929"/>
    <cellStyle name="Normal 4 2 7 2 2 4" xfId="19198"/>
    <cellStyle name="Normal 4 2 7 2 2 4 2" xfId="39081"/>
    <cellStyle name="Normal 4 2 7 2 2 5" xfId="26776"/>
    <cellStyle name="Normal 4 2 7 2 3" xfId="8384"/>
    <cellStyle name="Normal 4 2 7 2 3 2" xfId="14578"/>
    <cellStyle name="Normal 4 2 7 2 3 2 2" xfId="34461"/>
    <cellStyle name="Normal 4 2 7 2 3 3" xfId="20730"/>
    <cellStyle name="Normal 4 2 7 2 3 3 2" xfId="40613"/>
    <cellStyle name="Normal 4 2 7 2 3 4" xfId="28308"/>
    <cellStyle name="Normal 4 2 7 2 4" xfId="11512"/>
    <cellStyle name="Normal 4 2 7 2 4 2" xfId="31395"/>
    <cellStyle name="Normal 4 2 7 2 5" xfId="17664"/>
    <cellStyle name="Normal 4 2 7 2 5 2" xfId="37547"/>
    <cellStyle name="Normal 4 2 7 2 6" xfId="25242"/>
    <cellStyle name="Normal 4 2 7 3" xfId="6050"/>
    <cellStyle name="Normal 4 2 7 3 2" xfId="9150"/>
    <cellStyle name="Normal 4 2 7 3 2 2" xfId="15343"/>
    <cellStyle name="Normal 4 2 7 3 2 2 2" xfId="35226"/>
    <cellStyle name="Normal 4 2 7 3 2 3" xfId="21495"/>
    <cellStyle name="Normal 4 2 7 3 2 3 2" xfId="41378"/>
    <cellStyle name="Normal 4 2 7 3 2 4" xfId="29073"/>
    <cellStyle name="Normal 4 2 7 3 3" xfId="12277"/>
    <cellStyle name="Normal 4 2 7 3 3 2" xfId="32160"/>
    <cellStyle name="Normal 4 2 7 3 4" xfId="18429"/>
    <cellStyle name="Normal 4 2 7 3 4 2" xfId="38312"/>
    <cellStyle name="Normal 4 2 7 3 5" xfId="26007"/>
    <cellStyle name="Normal 4 2 7 4" xfId="7615"/>
    <cellStyle name="Normal 4 2 7 4 2" xfId="13809"/>
    <cellStyle name="Normal 4 2 7 4 2 2" xfId="33692"/>
    <cellStyle name="Normal 4 2 7 4 3" xfId="19961"/>
    <cellStyle name="Normal 4 2 7 4 3 2" xfId="39844"/>
    <cellStyle name="Normal 4 2 7 4 4" xfId="27539"/>
    <cellStyle name="Normal 4 2 7 5" xfId="10743"/>
    <cellStyle name="Normal 4 2 7 5 2" xfId="30626"/>
    <cellStyle name="Normal 4 2 7 6" xfId="16895"/>
    <cellStyle name="Normal 4 2 7 6 2" xfId="36778"/>
    <cellStyle name="Normal 4 2 7 7" xfId="24473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2 2" xfId="35996"/>
    <cellStyle name="Normal 4 2 8 2 2 2 3" xfId="22265"/>
    <cellStyle name="Normal 4 2 8 2 2 2 3 2" xfId="42148"/>
    <cellStyle name="Normal 4 2 8 2 2 2 4" xfId="29843"/>
    <cellStyle name="Normal 4 2 8 2 2 3" xfId="13047"/>
    <cellStyle name="Normal 4 2 8 2 2 3 2" xfId="32930"/>
    <cellStyle name="Normal 4 2 8 2 2 4" xfId="19199"/>
    <cellStyle name="Normal 4 2 8 2 2 4 2" xfId="39082"/>
    <cellStyle name="Normal 4 2 8 2 2 5" xfId="26777"/>
    <cellStyle name="Normal 4 2 8 2 3" xfId="8385"/>
    <cellStyle name="Normal 4 2 8 2 3 2" xfId="14579"/>
    <cellStyle name="Normal 4 2 8 2 3 2 2" xfId="34462"/>
    <cellStyle name="Normal 4 2 8 2 3 3" xfId="20731"/>
    <cellStyle name="Normal 4 2 8 2 3 3 2" xfId="40614"/>
    <cellStyle name="Normal 4 2 8 2 3 4" xfId="28309"/>
    <cellStyle name="Normal 4 2 8 2 4" xfId="11513"/>
    <cellStyle name="Normal 4 2 8 2 4 2" xfId="31396"/>
    <cellStyle name="Normal 4 2 8 2 5" xfId="17665"/>
    <cellStyle name="Normal 4 2 8 2 5 2" xfId="37548"/>
    <cellStyle name="Normal 4 2 8 2 6" xfId="25243"/>
    <cellStyle name="Normal 4 2 8 3" xfId="6051"/>
    <cellStyle name="Normal 4 2 8 3 2" xfId="9151"/>
    <cellStyle name="Normal 4 2 8 3 2 2" xfId="15344"/>
    <cellStyle name="Normal 4 2 8 3 2 2 2" xfId="35227"/>
    <cellStyle name="Normal 4 2 8 3 2 3" xfId="21496"/>
    <cellStyle name="Normal 4 2 8 3 2 3 2" xfId="41379"/>
    <cellStyle name="Normal 4 2 8 3 2 4" xfId="29074"/>
    <cellStyle name="Normal 4 2 8 3 3" xfId="12278"/>
    <cellStyle name="Normal 4 2 8 3 3 2" xfId="32161"/>
    <cellStyle name="Normal 4 2 8 3 4" xfId="18430"/>
    <cellStyle name="Normal 4 2 8 3 4 2" xfId="38313"/>
    <cellStyle name="Normal 4 2 8 3 5" xfId="26008"/>
    <cellStyle name="Normal 4 2 8 4" xfId="7616"/>
    <cellStyle name="Normal 4 2 8 4 2" xfId="13810"/>
    <cellStyle name="Normal 4 2 8 4 2 2" xfId="33693"/>
    <cellStyle name="Normal 4 2 8 4 3" xfId="19962"/>
    <cellStyle name="Normal 4 2 8 4 3 2" xfId="39845"/>
    <cellStyle name="Normal 4 2 8 4 4" xfId="27540"/>
    <cellStyle name="Normal 4 2 8 5" xfId="10744"/>
    <cellStyle name="Normal 4 2 8 5 2" xfId="30627"/>
    <cellStyle name="Normal 4 2 8 6" xfId="16896"/>
    <cellStyle name="Normal 4 2 8 6 2" xfId="36779"/>
    <cellStyle name="Normal 4 2 8 7" xfId="24474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2 2" xfId="35997"/>
    <cellStyle name="Normal 4 2 9 2 2 2 3" xfId="22266"/>
    <cellStyle name="Normal 4 2 9 2 2 2 3 2" xfId="42149"/>
    <cellStyle name="Normal 4 2 9 2 2 2 4" xfId="29844"/>
    <cellStyle name="Normal 4 2 9 2 2 3" xfId="13048"/>
    <cellStyle name="Normal 4 2 9 2 2 3 2" xfId="32931"/>
    <cellStyle name="Normal 4 2 9 2 2 4" xfId="19200"/>
    <cellStyle name="Normal 4 2 9 2 2 4 2" xfId="39083"/>
    <cellStyle name="Normal 4 2 9 2 2 5" xfId="26778"/>
    <cellStyle name="Normal 4 2 9 2 3" xfId="8386"/>
    <cellStyle name="Normal 4 2 9 2 3 2" xfId="14580"/>
    <cellStyle name="Normal 4 2 9 2 3 2 2" xfId="34463"/>
    <cellStyle name="Normal 4 2 9 2 3 3" xfId="20732"/>
    <cellStyle name="Normal 4 2 9 2 3 3 2" xfId="40615"/>
    <cellStyle name="Normal 4 2 9 2 3 4" xfId="28310"/>
    <cellStyle name="Normal 4 2 9 2 4" xfId="11514"/>
    <cellStyle name="Normal 4 2 9 2 4 2" xfId="31397"/>
    <cellStyle name="Normal 4 2 9 2 5" xfId="17666"/>
    <cellStyle name="Normal 4 2 9 2 5 2" xfId="37549"/>
    <cellStyle name="Normal 4 2 9 2 6" xfId="25244"/>
    <cellStyle name="Normal 4 2 9 3" xfId="6052"/>
    <cellStyle name="Normal 4 2 9 3 2" xfId="9152"/>
    <cellStyle name="Normal 4 2 9 3 2 2" xfId="15345"/>
    <cellStyle name="Normal 4 2 9 3 2 2 2" xfId="35228"/>
    <cellStyle name="Normal 4 2 9 3 2 3" xfId="21497"/>
    <cellStyle name="Normal 4 2 9 3 2 3 2" xfId="41380"/>
    <cellStyle name="Normal 4 2 9 3 2 4" xfId="29075"/>
    <cellStyle name="Normal 4 2 9 3 3" xfId="12279"/>
    <cellStyle name="Normal 4 2 9 3 3 2" xfId="32162"/>
    <cellStyle name="Normal 4 2 9 3 4" xfId="18431"/>
    <cellStyle name="Normal 4 2 9 3 4 2" xfId="38314"/>
    <cellStyle name="Normal 4 2 9 3 5" xfId="26009"/>
    <cellStyle name="Normal 4 2 9 4" xfId="7617"/>
    <cellStyle name="Normal 4 2 9 4 2" xfId="13811"/>
    <cellStyle name="Normal 4 2 9 4 2 2" xfId="33694"/>
    <cellStyle name="Normal 4 2 9 4 3" xfId="19963"/>
    <cellStyle name="Normal 4 2 9 4 3 2" xfId="39846"/>
    <cellStyle name="Normal 4 2 9 4 4" xfId="27541"/>
    <cellStyle name="Normal 4 2 9 5" xfId="10745"/>
    <cellStyle name="Normal 4 2 9 5 2" xfId="30628"/>
    <cellStyle name="Normal 4 2 9 6" xfId="16897"/>
    <cellStyle name="Normal 4 2 9 6 2" xfId="36780"/>
    <cellStyle name="Normal 4 2 9 7" xfId="24475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0 2" xfId="30629"/>
    <cellStyle name="Normal 4 3 11" xfId="16898"/>
    <cellStyle name="Normal 4 3 11 2" xfId="36781"/>
    <cellStyle name="Normal 4 3 12" xfId="3975"/>
    <cellStyle name="Normal 4 3 12 2" xfId="24476"/>
    <cellStyle name="Normal 4 3 13" xfId="23278"/>
    <cellStyle name="Normal 4 3 2" xfId="3976"/>
    <cellStyle name="Normal 4 3 2 10" xfId="16899"/>
    <cellStyle name="Normal 4 3 2 10 2" xfId="36782"/>
    <cellStyle name="Normal 4 3 2 11" xfId="24477"/>
    <cellStyle name="Normal 4 3 2 2" xfId="3977"/>
    <cellStyle name="Normal 4 3 2 2 10" xfId="24478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2 2" xfId="36002"/>
    <cellStyle name="Normal 4 3 2 2 2 2 2 2 2 3" xfId="22271"/>
    <cellStyle name="Normal 4 3 2 2 2 2 2 2 2 3 2" xfId="42154"/>
    <cellStyle name="Normal 4 3 2 2 2 2 2 2 2 4" xfId="29849"/>
    <cellStyle name="Normal 4 3 2 2 2 2 2 2 3" xfId="13053"/>
    <cellStyle name="Normal 4 3 2 2 2 2 2 2 3 2" xfId="32936"/>
    <cellStyle name="Normal 4 3 2 2 2 2 2 2 4" xfId="19205"/>
    <cellStyle name="Normal 4 3 2 2 2 2 2 2 4 2" xfId="39088"/>
    <cellStyle name="Normal 4 3 2 2 2 2 2 2 5" xfId="26783"/>
    <cellStyle name="Normal 4 3 2 2 2 2 2 3" xfId="8391"/>
    <cellStyle name="Normal 4 3 2 2 2 2 2 3 2" xfId="14585"/>
    <cellStyle name="Normal 4 3 2 2 2 2 2 3 2 2" xfId="34468"/>
    <cellStyle name="Normal 4 3 2 2 2 2 2 3 3" xfId="20737"/>
    <cellStyle name="Normal 4 3 2 2 2 2 2 3 3 2" xfId="40620"/>
    <cellStyle name="Normal 4 3 2 2 2 2 2 3 4" xfId="28315"/>
    <cellStyle name="Normal 4 3 2 2 2 2 2 4" xfId="11519"/>
    <cellStyle name="Normal 4 3 2 2 2 2 2 4 2" xfId="31402"/>
    <cellStyle name="Normal 4 3 2 2 2 2 2 5" xfId="17671"/>
    <cellStyle name="Normal 4 3 2 2 2 2 2 5 2" xfId="37554"/>
    <cellStyle name="Normal 4 3 2 2 2 2 2 6" xfId="25249"/>
    <cellStyle name="Normal 4 3 2 2 2 2 3" xfId="6057"/>
    <cellStyle name="Normal 4 3 2 2 2 2 3 2" xfId="9157"/>
    <cellStyle name="Normal 4 3 2 2 2 2 3 2 2" xfId="15350"/>
    <cellStyle name="Normal 4 3 2 2 2 2 3 2 2 2" xfId="35233"/>
    <cellStyle name="Normal 4 3 2 2 2 2 3 2 3" xfId="21502"/>
    <cellStyle name="Normal 4 3 2 2 2 2 3 2 3 2" xfId="41385"/>
    <cellStyle name="Normal 4 3 2 2 2 2 3 2 4" xfId="29080"/>
    <cellStyle name="Normal 4 3 2 2 2 2 3 3" xfId="12284"/>
    <cellStyle name="Normal 4 3 2 2 2 2 3 3 2" xfId="32167"/>
    <cellStyle name="Normal 4 3 2 2 2 2 3 4" xfId="18436"/>
    <cellStyle name="Normal 4 3 2 2 2 2 3 4 2" xfId="38319"/>
    <cellStyle name="Normal 4 3 2 2 2 2 3 5" xfId="26014"/>
    <cellStyle name="Normal 4 3 2 2 2 2 4" xfId="7622"/>
    <cellStyle name="Normal 4 3 2 2 2 2 4 2" xfId="13816"/>
    <cellStyle name="Normal 4 3 2 2 2 2 4 2 2" xfId="33699"/>
    <cellStyle name="Normal 4 3 2 2 2 2 4 3" xfId="19968"/>
    <cellStyle name="Normal 4 3 2 2 2 2 4 3 2" xfId="39851"/>
    <cellStyle name="Normal 4 3 2 2 2 2 4 4" xfId="27546"/>
    <cellStyle name="Normal 4 3 2 2 2 2 5" xfId="10750"/>
    <cellStyle name="Normal 4 3 2 2 2 2 5 2" xfId="30633"/>
    <cellStyle name="Normal 4 3 2 2 2 2 6" xfId="16902"/>
    <cellStyle name="Normal 4 3 2 2 2 2 6 2" xfId="36785"/>
    <cellStyle name="Normal 4 3 2 2 2 2 7" xfId="24480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2 2" xfId="36001"/>
    <cellStyle name="Normal 4 3 2 2 2 3 2 2 3" xfId="22270"/>
    <cellStyle name="Normal 4 3 2 2 2 3 2 2 3 2" xfId="42153"/>
    <cellStyle name="Normal 4 3 2 2 2 3 2 2 4" xfId="29848"/>
    <cellStyle name="Normal 4 3 2 2 2 3 2 3" xfId="13052"/>
    <cellStyle name="Normal 4 3 2 2 2 3 2 3 2" xfId="32935"/>
    <cellStyle name="Normal 4 3 2 2 2 3 2 4" xfId="19204"/>
    <cellStyle name="Normal 4 3 2 2 2 3 2 4 2" xfId="39087"/>
    <cellStyle name="Normal 4 3 2 2 2 3 2 5" xfId="26782"/>
    <cellStyle name="Normal 4 3 2 2 2 3 3" xfId="8390"/>
    <cellStyle name="Normal 4 3 2 2 2 3 3 2" xfId="14584"/>
    <cellStyle name="Normal 4 3 2 2 2 3 3 2 2" xfId="34467"/>
    <cellStyle name="Normal 4 3 2 2 2 3 3 3" xfId="20736"/>
    <cellStyle name="Normal 4 3 2 2 2 3 3 3 2" xfId="40619"/>
    <cellStyle name="Normal 4 3 2 2 2 3 3 4" xfId="28314"/>
    <cellStyle name="Normal 4 3 2 2 2 3 4" xfId="11518"/>
    <cellStyle name="Normal 4 3 2 2 2 3 4 2" xfId="31401"/>
    <cellStyle name="Normal 4 3 2 2 2 3 5" xfId="17670"/>
    <cellStyle name="Normal 4 3 2 2 2 3 5 2" xfId="37553"/>
    <cellStyle name="Normal 4 3 2 2 2 3 6" xfId="25248"/>
    <cellStyle name="Normal 4 3 2 2 2 4" xfId="6056"/>
    <cellStyle name="Normal 4 3 2 2 2 4 2" xfId="9156"/>
    <cellStyle name="Normal 4 3 2 2 2 4 2 2" xfId="15349"/>
    <cellStyle name="Normal 4 3 2 2 2 4 2 2 2" xfId="35232"/>
    <cellStyle name="Normal 4 3 2 2 2 4 2 3" xfId="21501"/>
    <cellStyle name="Normal 4 3 2 2 2 4 2 3 2" xfId="41384"/>
    <cellStyle name="Normal 4 3 2 2 2 4 2 4" xfId="29079"/>
    <cellStyle name="Normal 4 3 2 2 2 4 3" xfId="12283"/>
    <cellStyle name="Normal 4 3 2 2 2 4 3 2" xfId="32166"/>
    <cellStyle name="Normal 4 3 2 2 2 4 4" xfId="18435"/>
    <cellStyle name="Normal 4 3 2 2 2 4 4 2" xfId="38318"/>
    <cellStyle name="Normal 4 3 2 2 2 4 5" xfId="26013"/>
    <cellStyle name="Normal 4 3 2 2 2 5" xfId="7621"/>
    <cellStyle name="Normal 4 3 2 2 2 5 2" xfId="13815"/>
    <cellStyle name="Normal 4 3 2 2 2 5 2 2" xfId="33698"/>
    <cellStyle name="Normal 4 3 2 2 2 5 3" xfId="19967"/>
    <cellStyle name="Normal 4 3 2 2 2 5 3 2" xfId="39850"/>
    <cellStyle name="Normal 4 3 2 2 2 5 4" xfId="27545"/>
    <cellStyle name="Normal 4 3 2 2 2 6" xfId="10749"/>
    <cellStyle name="Normal 4 3 2 2 2 6 2" xfId="30632"/>
    <cellStyle name="Normal 4 3 2 2 2 7" xfId="16901"/>
    <cellStyle name="Normal 4 3 2 2 2 7 2" xfId="36784"/>
    <cellStyle name="Normal 4 3 2 2 2 8" xfId="24479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2 2" xfId="36004"/>
    <cellStyle name="Normal 4 3 2 2 3 2 2 2 2 3" xfId="22273"/>
    <cellStyle name="Normal 4 3 2 2 3 2 2 2 2 3 2" xfId="42156"/>
    <cellStyle name="Normal 4 3 2 2 3 2 2 2 2 4" xfId="29851"/>
    <cellStyle name="Normal 4 3 2 2 3 2 2 2 3" xfId="13055"/>
    <cellStyle name="Normal 4 3 2 2 3 2 2 2 3 2" xfId="32938"/>
    <cellStyle name="Normal 4 3 2 2 3 2 2 2 4" xfId="19207"/>
    <cellStyle name="Normal 4 3 2 2 3 2 2 2 4 2" xfId="39090"/>
    <cellStyle name="Normal 4 3 2 2 3 2 2 2 5" xfId="26785"/>
    <cellStyle name="Normal 4 3 2 2 3 2 2 3" xfId="8393"/>
    <cellStyle name="Normal 4 3 2 2 3 2 2 3 2" xfId="14587"/>
    <cellStyle name="Normal 4 3 2 2 3 2 2 3 2 2" xfId="34470"/>
    <cellStyle name="Normal 4 3 2 2 3 2 2 3 3" xfId="20739"/>
    <cellStyle name="Normal 4 3 2 2 3 2 2 3 3 2" xfId="40622"/>
    <cellStyle name="Normal 4 3 2 2 3 2 2 3 4" xfId="28317"/>
    <cellStyle name="Normal 4 3 2 2 3 2 2 4" xfId="11521"/>
    <cellStyle name="Normal 4 3 2 2 3 2 2 4 2" xfId="31404"/>
    <cellStyle name="Normal 4 3 2 2 3 2 2 5" xfId="17673"/>
    <cellStyle name="Normal 4 3 2 2 3 2 2 5 2" xfId="37556"/>
    <cellStyle name="Normal 4 3 2 2 3 2 2 6" xfId="25251"/>
    <cellStyle name="Normal 4 3 2 2 3 2 3" xfId="6059"/>
    <cellStyle name="Normal 4 3 2 2 3 2 3 2" xfId="9159"/>
    <cellStyle name="Normal 4 3 2 2 3 2 3 2 2" xfId="15352"/>
    <cellStyle name="Normal 4 3 2 2 3 2 3 2 2 2" xfId="35235"/>
    <cellStyle name="Normal 4 3 2 2 3 2 3 2 3" xfId="21504"/>
    <cellStyle name="Normal 4 3 2 2 3 2 3 2 3 2" xfId="41387"/>
    <cellStyle name="Normal 4 3 2 2 3 2 3 2 4" xfId="29082"/>
    <cellStyle name="Normal 4 3 2 2 3 2 3 3" xfId="12286"/>
    <cellStyle name="Normal 4 3 2 2 3 2 3 3 2" xfId="32169"/>
    <cellStyle name="Normal 4 3 2 2 3 2 3 4" xfId="18438"/>
    <cellStyle name="Normal 4 3 2 2 3 2 3 4 2" xfId="38321"/>
    <cellStyle name="Normal 4 3 2 2 3 2 3 5" xfId="26016"/>
    <cellStyle name="Normal 4 3 2 2 3 2 4" xfId="7624"/>
    <cellStyle name="Normal 4 3 2 2 3 2 4 2" xfId="13818"/>
    <cellStyle name="Normal 4 3 2 2 3 2 4 2 2" xfId="33701"/>
    <cellStyle name="Normal 4 3 2 2 3 2 4 3" xfId="19970"/>
    <cellStyle name="Normal 4 3 2 2 3 2 4 3 2" xfId="39853"/>
    <cellStyle name="Normal 4 3 2 2 3 2 4 4" xfId="27548"/>
    <cellStyle name="Normal 4 3 2 2 3 2 5" xfId="10752"/>
    <cellStyle name="Normal 4 3 2 2 3 2 5 2" xfId="30635"/>
    <cellStyle name="Normal 4 3 2 2 3 2 6" xfId="16904"/>
    <cellStyle name="Normal 4 3 2 2 3 2 6 2" xfId="36787"/>
    <cellStyle name="Normal 4 3 2 2 3 2 7" xfId="24482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2 2" xfId="36003"/>
    <cellStyle name="Normal 4 3 2 2 3 3 2 2 3" xfId="22272"/>
    <cellStyle name="Normal 4 3 2 2 3 3 2 2 3 2" xfId="42155"/>
    <cellStyle name="Normal 4 3 2 2 3 3 2 2 4" xfId="29850"/>
    <cellStyle name="Normal 4 3 2 2 3 3 2 3" xfId="13054"/>
    <cellStyle name="Normal 4 3 2 2 3 3 2 3 2" xfId="32937"/>
    <cellStyle name="Normal 4 3 2 2 3 3 2 4" xfId="19206"/>
    <cellStyle name="Normal 4 3 2 2 3 3 2 4 2" xfId="39089"/>
    <cellStyle name="Normal 4 3 2 2 3 3 2 5" xfId="26784"/>
    <cellStyle name="Normal 4 3 2 2 3 3 3" xfId="8392"/>
    <cellStyle name="Normal 4 3 2 2 3 3 3 2" xfId="14586"/>
    <cellStyle name="Normal 4 3 2 2 3 3 3 2 2" xfId="34469"/>
    <cellStyle name="Normal 4 3 2 2 3 3 3 3" xfId="20738"/>
    <cellStyle name="Normal 4 3 2 2 3 3 3 3 2" xfId="40621"/>
    <cellStyle name="Normal 4 3 2 2 3 3 3 4" xfId="28316"/>
    <cellStyle name="Normal 4 3 2 2 3 3 4" xfId="11520"/>
    <cellStyle name="Normal 4 3 2 2 3 3 4 2" xfId="31403"/>
    <cellStyle name="Normal 4 3 2 2 3 3 5" xfId="17672"/>
    <cellStyle name="Normal 4 3 2 2 3 3 5 2" xfId="37555"/>
    <cellStyle name="Normal 4 3 2 2 3 3 6" xfId="25250"/>
    <cellStyle name="Normal 4 3 2 2 3 4" xfId="6058"/>
    <cellStyle name="Normal 4 3 2 2 3 4 2" xfId="9158"/>
    <cellStyle name="Normal 4 3 2 2 3 4 2 2" xfId="15351"/>
    <cellStyle name="Normal 4 3 2 2 3 4 2 2 2" xfId="35234"/>
    <cellStyle name="Normal 4 3 2 2 3 4 2 3" xfId="21503"/>
    <cellStyle name="Normal 4 3 2 2 3 4 2 3 2" xfId="41386"/>
    <cellStyle name="Normal 4 3 2 2 3 4 2 4" xfId="29081"/>
    <cellStyle name="Normal 4 3 2 2 3 4 3" xfId="12285"/>
    <cellStyle name="Normal 4 3 2 2 3 4 3 2" xfId="32168"/>
    <cellStyle name="Normal 4 3 2 2 3 4 4" xfId="18437"/>
    <cellStyle name="Normal 4 3 2 2 3 4 4 2" xfId="38320"/>
    <cellStyle name="Normal 4 3 2 2 3 4 5" xfId="26015"/>
    <cellStyle name="Normal 4 3 2 2 3 5" xfId="7623"/>
    <cellStyle name="Normal 4 3 2 2 3 5 2" xfId="13817"/>
    <cellStyle name="Normal 4 3 2 2 3 5 2 2" xfId="33700"/>
    <cellStyle name="Normal 4 3 2 2 3 5 3" xfId="19969"/>
    <cellStyle name="Normal 4 3 2 2 3 5 3 2" xfId="39852"/>
    <cellStyle name="Normal 4 3 2 2 3 5 4" xfId="27547"/>
    <cellStyle name="Normal 4 3 2 2 3 6" xfId="10751"/>
    <cellStyle name="Normal 4 3 2 2 3 6 2" xfId="30634"/>
    <cellStyle name="Normal 4 3 2 2 3 7" xfId="16903"/>
    <cellStyle name="Normal 4 3 2 2 3 7 2" xfId="36786"/>
    <cellStyle name="Normal 4 3 2 2 3 8" xfId="24481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2 2" xfId="36005"/>
    <cellStyle name="Normal 4 3 2 2 4 2 2 2 3" xfId="22274"/>
    <cellStyle name="Normal 4 3 2 2 4 2 2 2 3 2" xfId="42157"/>
    <cellStyle name="Normal 4 3 2 2 4 2 2 2 4" xfId="29852"/>
    <cellStyle name="Normal 4 3 2 2 4 2 2 3" xfId="13056"/>
    <cellStyle name="Normal 4 3 2 2 4 2 2 3 2" xfId="32939"/>
    <cellStyle name="Normal 4 3 2 2 4 2 2 4" xfId="19208"/>
    <cellStyle name="Normal 4 3 2 2 4 2 2 4 2" xfId="39091"/>
    <cellStyle name="Normal 4 3 2 2 4 2 2 5" xfId="26786"/>
    <cellStyle name="Normal 4 3 2 2 4 2 3" xfId="8394"/>
    <cellStyle name="Normal 4 3 2 2 4 2 3 2" xfId="14588"/>
    <cellStyle name="Normal 4 3 2 2 4 2 3 2 2" xfId="34471"/>
    <cellStyle name="Normal 4 3 2 2 4 2 3 3" xfId="20740"/>
    <cellStyle name="Normal 4 3 2 2 4 2 3 3 2" xfId="40623"/>
    <cellStyle name="Normal 4 3 2 2 4 2 3 4" xfId="28318"/>
    <cellStyle name="Normal 4 3 2 2 4 2 4" xfId="11522"/>
    <cellStyle name="Normal 4 3 2 2 4 2 4 2" xfId="31405"/>
    <cellStyle name="Normal 4 3 2 2 4 2 5" xfId="17674"/>
    <cellStyle name="Normal 4 3 2 2 4 2 5 2" xfId="37557"/>
    <cellStyle name="Normal 4 3 2 2 4 2 6" xfId="25252"/>
    <cellStyle name="Normal 4 3 2 2 4 3" xfId="6060"/>
    <cellStyle name="Normal 4 3 2 2 4 3 2" xfId="9160"/>
    <cellStyle name="Normal 4 3 2 2 4 3 2 2" xfId="15353"/>
    <cellStyle name="Normal 4 3 2 2 4 3 2 2 2" xfId="35236"/>
    <cellStyle name="Normal 4 3 2 2 4 3 2 3" xfId="21505"/>
    <cellStyle name="Normal 4 3 2 2 4 3 2 3 2" xfId="41388"/>
    <cellStyle name="Normal 4 3 2 2 4 3 2 4" xfId="29083"/>
    <cellStyle name="Normal 4 3 2 2 4 3 3" xfId="12287"/>
    <cellStyle name="Normal 4 3 2 2 4 3 3 2" xfId="32170"/>
    <cellStyle name="Normal 4 3 2 2 4 3 4" xfId="18439"/>
    <cellStyle name="Normal 4 3 2 2 4 3 4 2" xfId="38322"/>
    <cellStyle name="Normal 4 3 2 2 4 3 5" xfId="26017"/>
    <cellStyle name="Normal 4 3 2 2 4 4" xfId="7625"/>
    <cellStyle name="Normal 4 3 2 2 4 4 2" xfId="13819"/>
    <cellStyle name="Normal 4 3 2 2 4 4 2 2" xfId="33702"/>
    <cellStyle name="Normal 4 3 2 2 4 4 3" xfId="19971"/>
    <cellStyle name="Normal 4 3 2 2 4 4 3 2" xfId="39854"/>
    <cellStyle name="Normal 4 3 2 2 4 4 4" xfId="27549"/>
    <cellStyle name="Normal 4 3 2 2 4 5" xfId="10753"/>
    <cellStyle name="Normal 4 3 2 2 4 5 2" xfId="30636"/>
    <cellStyle name="Normal 4 3 2 2 4 6" xfId="16905"/>
    <cellStyle name="Normal 4 3 2 2 4 6 2" xfId="36788"/>
    <cellStyle name="Normal 4 3 2 2 4 7" xfId="24483"/>
    <cellStyle name="Normal 4 3 2 2 5" xfId="5213"/>
    <cellStyle name="Normal 4 3 2 2 5 2" xfId="6838"/>
    <cellStyle name="Normal 4 3 2 2 5 2 2" xfId="9924"/>
    <cellStyle name="Normal 4 3 2 2 5 2 2 2" xfId="16117"/>
    <cellStyle name="Normal 4 3 2 2 5 2 2 2 2" xfId="36000"/>
    <cellStyle name="Normal 4 3 2 2 5 2 2 3" xfId="22269"/>
    <cellStyle name="Normal 4 3 2 2 5 2 2 3 2" xfId="42152"/>
    <cellStyle name="Normal 4 3 2 2 5 2 2 4" xfId="29847"/>
    <cellStyle name="Normal 4 3 2 2 5 2 3" xfId="13051"/>
    <cellStyle name="Normal 4 3 2 2 5 2 3 2" xfId="32934"/>
    <cellStyle name="Normal 4 3 2 2 5 2 4" xfId="19203"/>
    <cellStyle name="Normal 4 3 2 2 5 2 4 2" xfId="39086"/>
    <cellStyle name="Normal 4 3 2 2 5 2 5" xfId="26781"/>
    <cellStyle name="Normal 4 3 2 2 5 3" xfId="8389"/>
    <cellStyle name="Normal 4 3 2 2 5 3 2" xfId="14583"/>
    <cellStyle name="Normal 4 3 2 2 5 3 2 2" xfId="34466"/>
    <cellStyle name="Normal 4 3 2 2 5 3 3" xfId="20735"/>
    <cellStyle name="Normal 4 3 2 2 5 3 3 2" xfId="40618"/>
    <cellStyle name="Normal 4 3 2 2 5 3 4" xfId="28313"/>
    <cellStyle name="Normal 4 3 2 2 5 4" xfId="11517"/>
    <cellStyle name="Normal 4 3 2 2 5 4 2" xfId="31400"/>
    <cellStyle name="Normal 4 3 2 2 5 5" xfId="17669"/>
    <cellStyle name="Normal 4 3 2 2 5 5 2" xfId="37552"/>
    <cellStyle name="Normal 4 3 2 2 5 6" xfId="25247"/>
    <cellStyle name="Normal 4 3 2 2 6" xfId="6055"/>
    <cellStyle name="Normal 4 3 2 2 6 2" xfId="9155"/>
    <cellStyle name="Normal 4 3 2 2 6 2 2" xfId="15348"/>
    <cellStyle name="Normal 4 3 2 2 6 2 2 2" xfId="35231"/>
    <cellStyle name="Normal 4 3 2 2 6 2 3" xfId="21500"/>
    <cellStyle name="Normal 4 3 2 2 6 2 3 2" xfId="41383"/>
    <cellStyle name="Normal 4 3 2 2 6 2 4" xfId="29078"/>
    <cellStyle name="Normal 4 3 2 2 6 3" xfId="12282"/>
    <cellStyle name="Normal 4 3 2 2 6 3 2" xfId="32165"/>
    <cellStyle name="Normal 4 3 2 2 6 4" xfId="18434"/>
    <cellStyle name="Normal 4 3 2 2 6 4 2" xfId="38317"/>
    <cellStyle name="Normal 4 3 2 2 6 5" xfId="26012"/>
    <cellStyle name="Normal 4 3 2 2 7" xfId="7620"/>
    <cellStyle name="Normal 4 3 2 2 7 2" xfId="13814"/>
    <cellStyle name="Normal 4 3 2 2 7 2 2" xfId="33697"/>
    <cellStyle name="Normal 4 3 2 2 7 3" xfId="19966"/>
    <cellStyle name="Normal 4 3 2 2 7 3 2" xfId="39849"/>
    <cellStyle name="Normal 4 3 2 2 7 4" xfId="27544"/>
    <cellStyle name="Normal 4 3 2 2 8" xfId="10748"/>
    <cellStyle name="Normal 4 3 2 2 8 2" xfId="30631"/>
    <cellStyle name="Normal 4 3 2 2 9" xfId="16900"/>
    <cellStyle name="Normal 4 3 2 2 9 2" xfId="36783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2 2" xfId="36007"/>
    <cellStyle name="Normal 4 3 2 3 2 2 2 2 3" xfId="22276"/>
    <cellStyle name="Normal 4 3 2 3 2 2 2 2 3 2" xfId="42159"/>
    <cellStyle name="Normal 4 3 2 3 2 2 2 2 4" xfId="29854"/>
    <cellStyle name="Normal 4 3 2 3 2 2 2 3" xfId="13058"/>
    <cellStyle name="Normal 4 3 2 3 2 2 2 3 2" xfId="32941"/>
    <cellStyle name="Normal 4 3 2 3 2 2 2 4" xfId="19210"/>
    <cellStyle name="Normal 4 3 2 3 2 2 2 4 2" xfId="39093"/>
    <cellStyle name="Normal 4 3 2 3 2 2 2 5" xfId="26788"/>
    <cellStyle name="Normal 4 3 2 3 2 2 3" xfId="8396"/>
    <cellStyle name="Normal 4 3 2 3 2 2 3 2" xfId="14590"/>
    <cellStyle name="Normal 4 3 2 3 2 2 3 2 2" xfId="34473"/>
    <cellStyle name="Normal 4 3 2 3 2 2 3 3" xfId="20742"/>
    <cellStyle name="Normal 4 3 2 3 2 2 3 3 2" xfId="40625"/>
    <cellStyle name="Normal 4 3 2 3 2 2 3 4" xfId="28320"/>
    <cellStyle name="Normal 4 3 2 3 2 2 4" xfId="11524"/>
    <cellStyle name="Normal 4 3 2 3 2 2 4 2" xfId="31407"/>
    <cellStyle name="Normal 4 3 2 3 2 2 5" xfId="17676"/>
    <cellStyle name="Normal 4 3 2 3 2 2 5 2" xfId="37559"/>
    <cellStyle name="Normal 4 3 2 3 2 2 6" xfId="25254"/>
    <cellStyle name="Normal 4 3 2 3 2 3" xfId="6062"/>
    <cellStyle name="Normal 4 3 2 3 2 3 2" xfId="9162"/>
    <cellStyle name="Normal 4 3 2 3 2 3 2 2" xfId="15355"/>
    <cellStyle name="Normal 4 3 2 3 2 3 2 2 2" xfId="35238"/>
    <cellStyle name="Normal 4 3 2 3 2 3 2 3" xfId="21507"/>
    <cellStyle name="Normal 4 3 2 3 2 3 2 3 2" xfId="41390"/>
    <cellStyle name="Normal 4 3 2 3 2 3 2 4" xfId="29085"/>
    <cellStyle name="Normal 4 3 2 3 2 3 3" xfId="12289"/>
    <cellStyle name="Normal 4 3 2 3 2 3 3 2" xfId="32172"/>
    <cellStyle name="Normal 4 3 2 3 2 3 4" xfId="18441"/>
    <cellStyle name="Normal 4 3 2 3 2 3 4 2" xfId="38324"/>
    <cellStyle name="Normal 4 3 2 3 2 3 5" xfId="26019"/>
    <cellStyle name="Normal 4 3 2 3 2 4" xfId="7627"/>
    <cellStyle name="Normal 4 3 2 3 2 4 2" xfId="13821"/>
    <cellStyle name="Normal 4 3 2 3 2 4 2 2" xfId="33704"/>
    <cellStyle name="Normal 4 3 2 3 2 4 3" xfId="19973"/>
    <cellStyle name="Normal 4 3 2 3 2 4 3 2" xfId="39856"/>
    <cellStyle name="Normal 4 3 2 3 2 4 4" xfId="27551"/>
    <cellStyle name="Normal 4 3 2 3 2 5" xfId="10755"/>
    <cellStyle name="Normal 4 3 2 3 2 5 2" xfId="30638"/>
    <cellStyle name="Normal 4 3 2 3 2 6" xfId="16907"/>
    <cellStyle name="Normal 4 3 2 3 2 6 2" xfId="36790"/>
    <cellStyle name="Normal 4 3 2 3 2 7" xfId="24485"/>
    <cellStyle name="Normal 4 3 2 3 3" xfId="5219"/>
    <cellStyle name="Normal 4 3 2 3 3 2" xfId="6844"/>
    <cellStyle name="Normal 4 3 2 3 3 2 2" xfId="9930"/>
    <cellStyle name="Normal 4 3 2 3 3 2 2 2" xfId="16123"/>
    <cellStyle name="Normal 4 3 2 3 3 2 2 2 2" xfId="36006"/>
    <cellStyle name="Normal 4 3 2 3 3 2 2 3" xfId="22275"/>
    <cellStyle name="Normal 4 3 2 3 3 2 2 3 2" xfId="42158"/>
    <cellStyle name="Normal 4 3 2 3 3 2 2 4" xfId="29853"/>
    <cellStyle name="Normal 4 3 2 3 3 2 3" xfId="13057"/>
    <cellStyle name="Normal 4 3 2 3 3 2 3 2" xfId="32940"/>
    <cellStyle name="Normal 4 3 2 3 3 2 4" xfId="19209"/>
    <cellStyle name="Normal 4 3 2 3 3 2 4 2" xfId="39092"/>
    <cellStyle name="Normal 4 3 2 3 3 2 5" xfId="26787"/>
    <cellStyle name="Normal 4 3 2 3 3 3" xfId="8395"/>
    <cellStyle name="Normal 4 3 2 3 3 3 2" xfId="14589"/>
    <cellStyle name="Normal 4 3 2 3 3 3 2 2" xfId="34472"/>
    <cellStyle name="Normal 4 3 2 3 3 3 3" xfId="20741"/>
    <cellStyle name="Normal 4 3 2 3 3 3 3 2" xfId="40624"/>
    <cellStyle name="Normal 4 3 2 3 3 3 4" xfId="28319"/>
    <cellStyle name="Normal 4 3 2 3 3 4" xfId="11523"/>
    <cellStyle name="Normal 4 3 2 3 3 4 2" xfId="31406"/>
    <cellStyle name="Normal 4 3 2 3 3 5" xfId="17675"/>
    <cellStyle name="Normal 4 3 2 3 3 5 2" xfId="37558"/>
    <cellStyle name="Normal 4 3 2 3 3 6" xfId="25253"/>
    <cellStyle name="Normal 4 3 2 3 4" xfId="6061"/>
    <cellStyle name="Normal 4 3 2 3 4 2" xfId="9161"/>
    <cellStyle name="Normal 4 3 2 3 4 2 2" xfId="15354"/>
    <cellStyle name="Normal 4 3 2 3 4 2 2 2" xfId="35237"/>
    <cellStyle name="Normal 4 3 2 3 4 2 3" xfId="21506"/>
    <cellStyle name="Normal 4 3 2 3 4 2 3 2" xfId="41389"/>
    <cellStyle name="Normal 4 3 2 3 4 2 4" xfId="29084"/>
    <cellStyle name="Normal 4 3 2 3 4 3" xfId="12288"/>
    <cellStyle name="Normal 4 3 2 3 4 3 2" xfId="32171"/>
    <cellStyle name="Normal 4 3 2 3 4 4" xfId="18440"/>
    <cellStyle name="Normal 4 3 2 3 4 4 2" xfId="38323"/>
    <cellStyle name="Normal 4 3 2 3 4 5" xfId="26018"/>
    <cellStyle name="Normal 4 3 2 3 5" xfId="7626"/>
    <cellStyle name="Normal 4 3 2 3 5 2" xfId="13820"/>
    <cellStyle name="Normal 4 3 2 3 5 2 2" xfId="33703"/>
    <cellStyle name="Normal 4 3 2 3 5 3" xfId="19972"/>
    <cellStyle name="Normal 4 3 2 3 5 3 2" xfId="39855"/>
    <cellStyle name="Normal 4 3 2 3 5 4" xfId="27550"/>
    <cellStyle name="Normal 4 3 2 3 6" xfId="10754"/>
    <cellStyle name="Normal 4 3 2 3 6 2" xfId="30637"/>
    <cellStyle name="Normal 4 3 2 3 7" xfId="16906"/>
    <cellStyle name="Normal 4 3 2 3 7 2" xfId="36789"/>
    <cellStyle name="Normal 4 3 2 3 8" xfId="24484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2 2" xfId="36009"/>
    <cellStyle name="Normal 4 3 2 4 2 2 2 2 3" xfId="22278"/>
    <cellStyle name="Normal 4 3 2 4 2 2 2 2 3 2" xfId="42161"/>
    <cellStyle name="Normal 4 3 2 4 2 2 2 2 4" xfId="29856"/>
    <cellStyle name="Normal 4 3 2 4 2 2 2 3" xfId="13060"/>
    <cellStyle name="Normal 4 3 2 4 2 2 2 3 2" xfId="32943"/>
    <cellStyle name="Normal 4 3 2 4 2 2 2 4" xfId="19212"/>
    <cellStyle name="Normal 4 3 2 4 2 2 2 4 2" xfId="39095"/>
    <cellStyle name="Normal 4 3 2 4 2 2 2 5" xfId="26790"/>
    <cellStyle name="Normal 4 3 2 4 2 2 3" xfId="8398"/>
    <cellStyle name="Normal 4 3 2 4 2 2 3 2" xfId="14592"/>
    <cellStyle name="Normal 4 3 2 4 2 2 3 2 2" xfId="34475"/>
    <cellStyle name="Normal 4 3 2 4 2 2 3 3" xfId="20744"/>
    <cellStyle name="Normal 4 3 2 4 2 2 3 3 2" xfId="40627"/>
    <cellStyle name="Normal 4 3 2 4 2 2 3 4" xfId="28322"/>
    <cellStyle name="Normal 4 3 2 4 2 2 4" xfId="11526"/>
    <cellStyle name="Normal 4 3 2 4 2 2 4 2" xfId="31409"/>
    <cellStyle name="Normal 4 3 2 4 2 2 5" xfId="17678"/>
    <cellStyle name="Normal 4 3 2 4 2 2 5 2" xfId="37561"/>
    <cellStyle name="Normal 4 3 2 4 2 2 6" xfId="25256"/>
    <cellStyle name="Normal 4 3 2 4 2 3" xfId="6064"/>
    <cellStyle name="Normal 4 3 2 4 2 3 2" xfId="9164"/>
    <cellStyle name="Normal 4 3 2 4 2 3 2 2" xfId="15357"/>
    <cellStyle name="Normal 4 3 2 4 2 3 2 2 2" xfId="35240"/>
    <cellStyle name="Normal 4 3 2 4 2 3 2 3" xfId="21509"/>
    <cellStyle name="Normal 4 3 2 4 2 3 2 3 2" xfId="41392"/>
    <cellStyle name="Normal 4 3 2 4 2 3 2 4" xfId="29087"/>
    <cellStyle name="Normal 4 3 2 4 2 3 3" xfId="12291"/>
    <cellStyle name="Normal 4 3 2 4 2 3 3 2" xfId="32174"/>
    <cellStyle name="Normal 4 3 2 4 2 3 4" xfId="18443"/>
    <cellStyle name="Normal 4 3 2 4 2 3 4 2" xfId="38326"/>
    <cellStyle name="Normal 4 3 2 4 2 3 5" xfId="26021"/>
    <cellStyle name="Normal 4 3 2 4 2 4" xfId="7629"/>
    <cellStyle name="Normal 4 3 2 4 2 4 2" xfId="13823"/>
    <cellStyle name="Normal 4 3 2 4 2 4 2 2" xfId="33706"/>
    <cellStyle name="Normal 4 3 2 4 2 4 3" xfId="19975"/>
    <cellStyle name="Normal 4 3 2 4 2 4 3 2" xfId="39858"/>
    <cellStyle name="Normal 4 3 2 4 2 4 4" xfId="27553"/>
    <cellStyle name="Normal 4 3 2 4 2 5" xfId="10757"/>
    <cellStyle name="Normal 4 3 2 4 2 5 2" xfId="30640"/>
    <cellStyle name="Normal 4 3 2 4 2 6" xfId="16909"/>
    <cellStyle name="Normal 4 3 2 4 2 6 2" xfId="36792"/>
    <cellStyle name="Normal 4 3 2 4 2 7" xfId="24487"/>
    <cellStyle name="Normal 4 3 2 4 3" xfId="5221"/>
    <cellStyle name="Normal 4 3 2 4 3 2" xfId="6846"/>
    <cellStyle name="Normal 4 3 2 4 3 2 2" xfId="9932"/>
    <cellStyle name="Normal 4 3 2 4 3 2 2 2" xfId="16125"/>
    <cellStyle name="Normal 4 3 2 4 3 2 2 2 2" xfId="36008"/>
    <cellStyle name="Normal 4 3 2 4 3 2 2 3" xfId="22277"/>
    <cellStyle name="Normal 4 3 2 4 3 2 2 3 2" xfId="42160"/>
    <cellStyle name="Normal 4 3 2 4 3 2 2 4" xfId="29855"/>
    <cellStyle name="Normal 4 3 2 4 3 2 3" xfId="13059"/>
    <cellStyle name="Normal 4 3 2 4 3 2 3 2" xfId="32942"/>
    <cellStyle name="Normal 4 3 2 4 3 2 4" xfId="19211"/>
    <cellStyle name="Normal 4 3 2 4 3 2 4 2" xfId="39094"/>
    <cellStyle name="Normal 4 3 2 4 3 2 5" xfId="26789"/>
    <cellStyle name="Normal 4 3 2 4 3 3" xfId="8397"/>
    <cellStyle name="Normal 4 3 2 4 3 3 2" xfId="14591"/>
    <cellStyle name="Normal 4 3 2 4 3 3 2 2" xfId="34474"/>
    <cellStyle name="Normal 4 3 2 4 3 3 3" xfId="20743"/>
    <cellStyle name="Normal 4 3 2 4 3 3 3 2" xfId="40626"/>
    <cellStyle name="Normal 4 3 2 4 3 3 4" xfId="28321"/>
    <cellStyle name="Normal 4 3 2 4 3 4" xfId="11525"/>
    <cellStyle name="Normal 4 3 2 4 3 4 2" xfId="31408"/>
    <cellStyle name="Normal 4 3 2 4 3 5" xfId="17677"/>
    <cellStyle name="Normal 4 3 2 4 3 5 2" xfId="37560"/>
    <cellStyle name="Normal 4 3 2 4 3 6" xfId="25255"/>
    <cellStyle name="Normal 4 3 2 4 4" xfId="6063"/>
    <cellStyle name="Normal 4 3 2 4 4 2" xfId="9163"/>
    <cellStyle name="Normal 4 3 2 4 4 2 2" xfId="15356"/>
    <cellStyle name="Normal 4 3 2 4 4 2 2 2" xfId="35239"/>
    <cellStyle name="Normal 4 3 2 4 4 2 3" xfId="21508"/>
    <cellStyle name="Normal 4 3 2 4 4 2 3 2" xfId="41391"/>
    <cellStyle name="Normal 4 3 2 4 4 2 4" xfId="29086"/>
    <cellStyle name="Normal 4 3 2 4 4 3" xfId="12290"/>
    <cellStyle name="Normal 4 3 2 4 4 3 2" xfId="32173"/>
    <cellStyle name="Normal 4 3 2 4 4 4" xfId="18442"/>
    <cellStyle name="Normal 4 3 2 4 4 4 2" xfId="38325"/>
    <cellStyle name="Normal 4 3 2 4 4 5" xfId="26020"/>
    <cellStyle name="Normal 4 3 2 4 5" xfId="7628"/>
    <cellStyle name="Normal 4 3 2 4 5 2" xfId="13822"/>
    <cellStyle name="Normal 4 3 2 4 5 2 2" xfId="33705"/>
    <cellStyle name="Normal 4 3 2 4 5 3" xfId="19974"/>
    <cellStyle name="Normal 4 3 2 4 5 3 2" xfId="39857"/>
    <cellStyle name="Normal 4 3 2 4 5 4" xfId="27552"/>
    <cellStyle name="Normal 4 3 2 4 6" xfId="10756"/>
    <cellStyle name="Normal 4 3 2 4 6 2" xfId="30639"/>
    <cellStyle name="Normal 4 3 2 4 7" xfId="16908"/>
    <cellStyle name="Normal 4 3 2 4 7 2" xfId="36791"/>
    <cellStyle name="Normal 4 3 2 4 8" xfId="24486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2 2" xfId="36010"/>
    <cellStyle name="Normal 4 3 2 5 2 2 2 3" xfId="22279"/>
    <cellStyle name="Normal 4 3 2 5 2 2 2 3 2" xfId="42162"/>
    <cellStyle name="Normal 4 3 2 5 2 2 2 4" xfId="29857"/>
    <cellStyle name="Normal 4 3 2 5 2 2 3" xfId="13061"/>
    <cellStyle name="Normal 4 3 2 5 2 2 3 2" xfId="32944"/>
    <cellStyle name="Normal 4 3 2 5 2 2 4" xfId="19213"/>
    <cellStyle name="Normal 4 3 2 5 2 2 4 2" xfId="39096"/>
    <cellStyle name="Normal 4 3 2 5 2 2 5" xfId="26791"/>
    <cellStyle name="Normal 4 3 2 5 2 3" xfId="8399"/>
    <cellStyle name="Normal 4 3 2 5 2 3 2" xfId="14593"/>
    <cellStyle name="Normal 4 3 2 5 2 3 2 2" xfId="34476"/>
    <cellStyle name="Normal 4 3 2 5 2 3 3" xfId="20745"/>
    <cellStyle name="Normal 4 3 2 5 2 3 3 2" xfId="40628"/>
    <cellStyle name="Normal 4 3 2 5 2 3 4" xfId="28323"/>
    <cellStyle name="Normal 4 3 2 5 2 4" xfId="11527"/>
    <cellStyle name="Normal 4 3 2 5 2 4 2" xfId="31410"/>
    <cellStyle name="Normal 4 3 2 5 2 5" xfId="17679"/>
    <cellStyle name="Normal 4 3 2 5 2 5 2" xfId="37562"/>
    <cellStyle name="Normal 4 3 2 5 2 6" xfId="25257"/>
    <cellStyle name="Normal 4 3 2 5 3" xfId="6065"/>
    <cellStyle name="Normal 4 3 2 5 3 2" xfId="9165"/>
    <cellStyle name="Normal 4 3 2 5 3 2 2" xfId="15358"/>
    <cellStyle name="Normal 4 3 2 5 3 2 2 2" xfId="35241"/>
    <cellStyle name="Normal 4 3 2 5 3 2 3" xfId="21510"/>
    <cellStyle name="Normal 4 3 2 5 3 2 3 2" xfId="41393"/>
    <cellStyle name="Normal 4 3 2 5 3 2 4" xfId="29088"/>
    <cellStyle name="Normal 4 3 2 5 3 3" xfId="12292"/>
    <cellStyle name="Normal 4 3 2 5 3 3 2" xfId="32175"/>
    <cellStyle name="Normal 4 3 2 5 3 4" xfId="18444"/>
    <cellStyle name="Normal 4 3 2 5 3 4 2" xfId="38327"/>
    <cellStyle name="Normal 4 3 2 5 3 5" xfId="26022"/>
    <cellStyle name="Normal 4 3 2 5 4" xfId="7630"/>
    <cellStyle name="Normal 4 3 2 5 4 2" xfId="13824"/>
    <cellStyle name="Normal 4 3 2 5 4 2 2" xfId="33707"/>
    <cellStyle name="Normal 4 3 2 5 4 3" xfId="19976"/>
    <cellStyle name="Normal 4 3 2 5 4 3 2" xfId="39859"/>
    <cellStyle name="Normal 4 3 2 5 4 4" xfId="27554"/>
    <cellStyle name="Normal 4 3 2 5 5" xfId="10758"/>
    <cellStyle name="Normal 4 3 2 5 5 2" xfId="30641"/>
    <cellStyle name="Normal 4 3 2 5 6" xfId="16910"/>
    <cellStyle name="Normal 4 3 2 5 6 2" xfId="36793"/>
    <cellStyle name="Normal 4 3 2 5 7" xfId="24488"/>
    <cellStyle name="Normal 4 3 2 6" xfId="5212"/>
    <cellStyle name="Normal 4 3 2 6 2" xfId="6837"/>
    <cellStyle name="Normal 4 3 2 6 2 2" xfId="9923"/>
    <cellStyle name="Normal 4 3 2 6 2 2 2" xfId="16116"/>
    <cellStyle name="Normal 4 3 2 6 2 2 2 2" xfId="35999"/>
    <cellStyle name="Normal 4 3 2 6 2 2 3" xfId="22268"/>
    <cellStyle name="Normal 4 3 2 6 2 2 3 2" xfId="42151"/>
    <cellStyle name="Normal 4 3 2 6 2 2 4" xfId="29846"/>
    <cellStyle name="Normal 4 3 2 6 2 3" xfId="13050"/>
    <cellStyle name="Normal 4 3 2 6 2 3 2" xfId="32933"/>
    <cellStyle name="Normal 4 3 2 6 2 4" xfId="19202"/>
    <cellStyle name="Normal 4 3 2 6 2 4 2" xfId="39085"/>
    <cellStyle name="Normal 4 3 2 6 2 5" xfId="26780"/>
    <cellStyle name="Normal 4 3 2 6 3" xfId="8388"/>
    <cellStyle name="Normal 4 3 2 6 3 2" xfId="14582"/>
    <cellStyle name="Normal 4 3 2 6 3 2 2" xfId="34465"/>
    <cellStyle name="Normal 4 3 2 6 3 3" xfId="20734"/>
    <cellStyle name="Normal 4 3 2 6 3 3 2" xfId="40617"/>
    <cellStyle name="Normal 4 3 2 6 3 4" xfId="28312"/>
    <cellStyle name="Normal 4 3 2 6 4" xfId="11516"/>
    <cellStyle name="Normal 4 3 2 6 4 2" xfId="31399"/>
    <cellStyle name="Normal 4 3 2 6 5" xfId="17668"/>
    <cellStyle name="Normal 4 3 2 6 5 2" xfId="37551"/>
    <cellStyle name="Normal 4 3 2 6 6" xfId="25246"/>
    <cellStyle name="Normal 4 3 2 7" xfId="6054"/>
    <cellStyle name="Normal 4 3 2 7 2" xfId="9154"/>
    <cellStyle name="Normal 4 3 2 7 2 2" xfId="15347"/>
    <cellStyle name="Normal 4 3 2 7 2 2 2" xfId="35230"/>
    <cellStyle name="Normal 4 3 2 7 2 3" xfId="21499"/>
    <cellStyle name="Normal 4 3 2 7 2 3 2" xfId="41382"/>
    <cellStyle name="Normal 4 3 2 7 2 4" xfId="29077"/>
    <cellStyle name="Normal 4 3 2 7 3" xfId="12281"/>
    <cellStyle name="Normal 4 3 2 7 3 2" xfId="32164"/>
    <cellStyle name="Normal 4 3 2 7 4" xfId="18433"/>
    <cellStyle name="Normal 4 3 2 7 4 2" xfId="38316"/>
    <cellStyle name="Normal 4 3 2 7 5" xfId="26011"/>
    <cellStyle name="Normal 4 3 2 8" xfId="7619"/>
    <cellStyle name="Normal 4 3 2 8 2" xfId="13813"/>
    <cellStyle name="Normal 4 3 2 8 2 2" xfId="33696"/>
    <cellStyle name="Normal 4 3 2 8 3" xfId="19965"/>
    <cellStyle name="Normal 4 3 2 8 3 2" xfId="39848"/>
    <cellStyle name="Normal 4 3 2 8 4" xfId="27543"/>
    <cellStyle name="Normal 4 3 2 9" xfId="10747"/>
    <cellStyle name="Normal 4 3 2 9 2" xfId="30630"/>
    <cellStyle name="Normal 4 3 3" xfId="3988"/>
    <cellStyle name="Normal 4 3 3 10" xfId="24489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2 2" xfId="36013"/>
    <cellStyle name="Normal 4 3 3 2 2 2 2 2 3" xfId="22282"/>
    <cellStyle name="Normal 4 3 3 2 2 2 2 2 3 2" xfId="42165"/>
    <cellStyle name="Normal 4 3 3 2 2 2 2 2 4" xfId="29860"/>
    <cellStyle name="Normal 4 3 3 2 2 2 2 3" xfId="13064"/>
    <cellStyle name="Normal 4 3 3 2 2 2 2 3 2" xfId="32947"/>
    <cellStyle name="Normal 4 3 3 2 2 2 2 4" xfId="19216"/>
    <cellStyle name="Normal 4 3 3 2 2 2 2 4 2" xfId="39099"/>
    <cellStyle name="Normal 4 3 3 2 2 2 2 5" xfId="26794"/>
    <cellStyle name="Normal 4 3 3 2 2 2 3" xfId="8402"/>
    <cellStyle name="Normal 4 3 3 2 2 2 3 2" xfId="14596"/>
    <cellStyle name="Normal 4 3 3 2 2 2 3 2 2" xfId="34479"/>
    <cellStyle name="Normal 4 3 3 2 2 2 3 3" xfId="20748"/>
    <cellStyle name="Normal 4 3 3 2 2 2 3 3 2" xfId="40631"/>
    <cellStyle name="Normal 4 3 3 2 2 2 3 4" xfId="28326"/>
    <cellStyle name="Normal 4 3 3 2 2 2 4" xfId="11530"/>
    <cellStyle name="Normal 4 3 3 2 2 2 4 2" xfId="31413"/>
    <cellStyle name="Normal 4 3 3 2 2 2 5" xfId="17682"/>
    <cellStyle name="Normal 4 3 3 2 2 2 5 2" xfId="37565"/>
    <cellStyle name="Normal 4 3 3 2 2 2 6" xfId="25260"/>
    <cellStyle name="Normal 4 3 3 2 2 3" xfId="6068"/>
    <cellStyle name="Normal 4 3 3 2 2 3 2" xfId="9168"/>
    <cellStyle name="Normal 4 3 3 2 2 3 2 2" xfId="15361"/>
    <cellStyle name="Normal 4 3 3 2 2 3 2 2 2" xfId="35244"/>
    <cellStyle name="Normal 4 3 3 2 2 3 2 3" xfId="21513"/>
    <cellStyle name="Normal 4 3 3 2 2 3 2 3 2" xfId="41396"/>
    <cellStyle name="Normal 4 3 3 2 2 3 2 4" xfId="29091"/>
    <cellStyle name="Normal 4 3 3 2 2 3 3" xfId="12295"/>
    <cellStyle name="Normal 4 3 3 2 2 3 3 2" xfId="32178"/>
    <cellStyle name="Normal 4 3 3 2 2 3 4" xfId="18447"/>
    <cellStyle name="Normal 4 3 3 2 2 3 4 2" xfId="38330"/>
    <cellStyle name="Normal 4 3 3 2 2 3 5" xfId="26025"/>
    <cellStyle name="Normal 4 3 3 2 2 4" xfId="7633"/>
    <cellStyle name="Normal 4 3 3 2 2 4 2" xfId="13827"/>
    <cellStyle name="Normal 4 3 3 2 2 4 2 2" xfId="33710"/>
    <cellStyle name="Normal 4 3 3 2 2 4 3" xfId="19979"/>
    <cellStyle name="Normal 4 3 3 2 2 4 3 2" xfId="39862"/>
    <cellStyle name="Normal 4 3 3 2 2 4 4" xfId="27557"/>
    <cellStyle name="Normal 4 3 3 2 2 5" xfId="10761"/>
    <cellStyle name="Normal 4 3 3 2 2 5 2" xfId="30644"/>
    <cellStyle name="Normal 4 3 3 2 2 6" xfId="16913"/>
    <cellStyle name="Normal 4 3 3 2 2 6 2" xfId="36796"/>
    <cellStyle name="Normal 4 3 3 2 2 7" xfId="24491"/>
    <cellStyle name="Normal 4 3 3 2 3" xfId="5225"/>
    <cellStyle name="Normal 4 3 3 2 3 2" xfId="6850"/>
    <cellStyle name="Normal 4 3 3 2 3 2 2" xfId="9936"/>
    <cellStyle name="Normal 4 3 3 2 3 2 2 2" xfId="16129"/>
    <cellStyle name="Normal 4 3 3 2 3 2 2 2 2" xfId="36012"/>
    <cellStyle name="Normal 4 3 3 2 3 2 2 3" xfId="22281"/>
    <cellStyle name="Normal 4 3 3 2 3 2 2 3 2" xfId="42164"/>
    <cellStyle name="Normal 4 3 3 2 3 2 2 4" xfId="29859"/>
    <cellStyle name="Normal 4 3 3 2 3 2 3" xfId="13063"/>
    <cellStyle name="Normal 4 3 3 2 3 2 3 2" xfId="32946"/>
    <cellStyle name="Normal 4 3 3 2 3 2 4" xfId="19215"/>
    <cellStyle name="Normal 4 3 3 2 3 2 4 2" xfId="39098"/>
    <cellStyle name="Normal 4 3 3 2 3 2 5" xfId="26793"/>
    <cellStyle name="Normal 4 3 3 2 3 3" xfId="8401"/>
    <cellStyle name="Normal 4 3 3 2 3 3 2" xfId="14595"/>
    <cellStyle name="Normal 4 3 3 2 3 3 2 2" xfId="34478"/>
    <cellStyle name="Normal 4 3 3 2 3 3 3" xfId="20747"/>
    <cellStyle name="Normal 4 3 3 2 3 3 3 2" xfId="40630"/>
    <cellStyle name="Normal 4 3 3 2 3 3 4" xfId="28325"/>
    <cellStyle name="Normal 4 3 3 2 3 4" xfId="11529"/>
    <cellStyle name="Normal 4 3 3 2 3 4 2" xfId="31412"/>
    <cellStyle name="Normal 4 3 3 2 3 5" xfId="17681"/>
    <cellStyle name="Normal 4 3 3 2 3 5 2" xfId="37564"/>
    <cellStyle name="Normal 4 3 3 2 3 6" xfId="25259"/>
    <cellStyle name="Normal 4 3 3 2 4" xfId="6067"/>
    <cellStyle name="Normal 4 3 3 2 4 2" xfId="9167"/>
    <cellStyle name="Normal 4 3 3 2 4 2 2" xfId="15360"/>
    <cellStyle name="Normal 4 3 3 2 4 2 2 2" xfId="35243"/>
    <cellStyle name="Normal 4 3 3 2 4 2 3" xfId="21512"/>
    <cellStyle name="Normal 4 3 3 2 4 2 3 2" xfId="41395"/>
    <cellStyle name="Normal 4 3 3 2 4 2 4" xfId="29090"/>
    <cellStyle name="Normal 4 3 3 2 4 3" xfId="12294"/>
    <cellStyle name="Normal 4 3 3 2 4 3 2" xfId="32177"/>
    <cellStyle name="Normal 4 3 3 2 4 4" xfId="18446"/>
    <cellStyle name="Normal 4 3 3 2 4 4 2" xfId="38329"/>
    <cellStyle name="Normal 4 3 3 2 4 5" xfId="26024"/>
    <cellStyle name="Normal 4 3 3 2 5" xfId="7632"/>
    <cellStyle name="Normal 4 3 3 2 5 2" xfId="13826"/>
    <cellStyle name="Normal 4 3 3 2 5 2 2" xfId="33709"/>
    <cellStyle name="Normal 4 3 3 2 5 3" xfId="19978"/>
    <cellStyle name="Normal 4 3 3 2 5 3 2" xfId="39861"/>
    <cellStyle name="Normal 4 3 3 2 5 4" xfId="27556"/>
    <cellStyle name="Normal 4 3 3 2 6" xfId="10760"/>
    <cellStyle name="Normal 4 3 3 2 6 2" xfId="30643"/>
    <cellStyle name="Normal 4 3 3 2 7" xfId="16912"/>
    <cellStyle name="Normal 4 3 3 2 7 2" xfId="36795"/>
    <cellStyle name="Normal 4 3 3 2 8" xfId="24490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2 2" xfId="36015"/>
    <cellStyle name="Normal 4 3 3 3 2 2 2 2 3" xfId="22284"/>
    <cellStyle name="Normal 4 3 3 3 2 2 2 2 3 2" xfId="42167"/>
    <cellStyle name="Normal 4 3 3 3 2 2 2 2 4" xfId="29862"/>
    <cellStyle name="Normal 4 3 3 3 2 2 2 3" xfId="13066"/>
    <cellStyle name="Normal 4 3 3 3 2 2 2 3 2" xfId="32949"/>
    <cellStyle name="Normal 4 3 3 3 2 2 2 4" xfId="19218"/>
    <cellStyle name="Normal 4 3 3 3 2 2 2 4 2" xfId="39101"/>
    <cellStyle name="Normal 4 3 3 3 2 2 2 5" xfId="26796"/>
    <cellStyle name="Normal 4 3 3 3 2 2 3" xfId="8404"/>
    <cellStyle name="Normal 4 3 3 3 2 2 3 2" xfId="14598"/>
    <cellStyle name="Normal 4 3 3 3 2 2 3 2 2" xfId="34481"/>
    <cellStyle name="Normal 4 3 3 3 2 2 3 3" xfId="20750"/>
    <cellStyle name="Normal 4 3 3 3 2 2 3 3 2" xfId="40633"/>
    <cellStyle name="Normal 4 3 3 3 2 2 3 4" xfId="28328"/>
    <cellStyle name="Normal 4 3 3 3 2 2 4" xfId="11532"/>
    <cellStyle name="Normal 4 3 3 3 2 2 4 2" xfId="31415"/>
    <cellStyle name="Normal 4 3 3 3 2 2 5" xfId="17684"/>
    <cellStyle name="Normal 4 3 3 3 2 2 5 2" xfId="37567"/>
    <cellStyle name="Normal 4 3 3 3 2 2 6" xfId="25262"/>
    <cellStyle name="Normal 4 3 3 3 2 3" xfId="6070"/>
    <cellStyle name="Normal 4 3 3 3 2 3 2" xfId="9170"/>
    <cellStyle name="Normal 4 3 3 3 2 3 2 2" xfId="15363"/>
    <cellStyle name="Normal 4 3 3 3 2 3 2 2 2" xfId="35246"/>
    <cellStyle name="Normal 4 3 3 3 2 3 2 3" xfId="21515"/>
    <cellStyle name="Normal 4 3 3 3 2 3 2 3 2" xfId="41398"/>
    <cellStyle name="Normal 4 3 3 3 2 3 2 4" xfId="29093"/>
    <cellStyle name="Normal 4 3 3 3 2 3 3" xfId="12297"/>
    <cellStyle name="Normal 4 3 3 3 2 3 3 2" xfId="32180"/>
    <cellStyle name="Normal 4 3 3 3 2 3 4" xfId="18449"/>
    <cellStyle name="Normal 4 3 3 3 2 3 4 2" xfId="38332"/>
    <cellStyle name="Normal 4 3 3 3 2 3 5" xfId="26027"/>
    <cellStyle name="Normal 4 3 3 3 2 4" xfId="7635"/>
    <cellStyle name="Normal 4 3 3 3 2 4 2" xfId="13829"/>
    <cellStyle name="Normal 4 3 3 3 2 4 2 2" xfId="33712"/>
    <cellStyle name="Normal 4 3 3 3 2 4 3" xfId="19981"/>
    <cellStyle name="Normal 4 3 3 3 2 4 3 2" xfId="39864"/>
    <cellStyle name="Normal 4 3 3 3 2 4 4" xfId="27559"/>
    <cellStyle name="Normal 4 3 3 3 2 5" xfId="10763"/>
    <cellStyle name="Normal 4 3 3 3 2 5 2" xfId="30646"/>
    <cellStyle name="Normal 4 3 3 3 2 6" xfId="16915"/>
    <cellStyle name="Normal 4 3 3 3 2 6 2" xfId="36798"/>
    <cellStyle name="Normal 4 3 3 3 2 7" xfId="24493"/>
    <cellStyle name="Normal 4 3 3 3 3" xfId="5227"/>
    <cellStyle name="Normal 4 3 3 3 3 2" xfId="6852"/>
    <cellStyle name="Normal 4 3 3 3 3 2 2" xfId="9938"/>
    <cellStyle name="Normal 4 3 3 3 3 2 2 2" xfId="16131"/>
    <cellStyle name="Normal 4 3 3 3 3 2 2 2 2" xfId="36014"/>
    <cellStyle name="Normal 4 3 3 3 3 2 2 3" xfId="22283"/>
    <cellStyle name="Normal 4 3 3 3 3 2 2 3 2" xfId="42166"/>
    <cellStyle name="Normal 4 3 3 3 3 2 2 4" xfId="29861"/>
    <cellStyle name="Normal 4 3 3 3 3 2 3" xfId="13065"/>
    <cellStyle name="Normal 4 3 3 3 3 2 3 2" xfId="32948"/>
    <cellStyle name="Normal 4 3 3 3 3 2 4" xfId="19217"/>
    <cellStyle name="Normal 4 3 3 3 3 2 4 2" xfId="39100"/>
    <cellStyle name="Normal 4 3 3 3 3 2 5" xfId="26795"/>
    <cellStyle name="Normal 4 3 3 3 3 3" xfId="8403"/>
    <cellStyle name="Normal 4 3 3 3 3 3 2" xfId="14597"/>
    <cellStyle name="Normal 4 3 3 3 3 3 2 2" xfId="34480"/>
    <cellStyle name="Normal 4 3 3 3 3 3 3" xfId="20749"/>
    <cellStyle name="Normal 4 3 3 3 3 3 3 2" xfId="40632"/>
    <cellStyle name="Normal 4 3 3 3 3 3 4" xfId="28327"/>
    <cellStyle name="Normal 4 3 3 3 3 4" xfId="11531"/>
    <cellStyle name="Normal 4 3 3 3 3 4 2" xfId="31414"/>
    <cellStyle name="Normal 4 3 3 3 3 5" xfId="17683"/>
    <cellStyle name="Normal 4 3 3 3 3 5 2" xfId="37566"/>
    <cellStyle name="Normal 4 3 3 3 3 6" xfId="25261"/>
    <cellStyle name="Normal 4 3 3 3 4" xfId="6069"/>
    <cellStyle name="Normal 4 3 3 3 4 2" xfId="9169"/>
    <cellStyle name="Normal 4 3 3 3 4 2 2" xfId="15362"/>
    <cellStyle name="Normal 4 3 3 3 4 2 2 2" xfId="35245"/>
    <cellStyle name="Normal 4 3 3 3 4 2 3" xfId="21514"/>
    <cellStyle name="Normal 4 3 3 3 4 2 3 2" xfId="41397"/>
    <cellStyle name="Normal 4 3 3 3 4 2 4" xfId="29092"/>
    <cellStyle name="Normal 4 3 3 3 4 3" xfId="12296"/>
    <cellStyle name="Normal 4 3 3 3 4 3 2" xfId="32179"/>
    <cellStyle name="Normal 4 3 3 3 4 4" xfId="18448"/>
    <cellStyle name="Normal 4 3 3 3 4 4 2" xfId="38331"/>
    <cellStyle name="Normal 4 3 3 3 4 5" xfId="26026"/>
    <cellStyle name="Normal 4 3 3 3 5" xfId="7634"/>
    <cellStyle name="Normal 4 3 3 3 5 2" xfId="13828"/>
    <cellStyle name="Normal 4 3 3 3 5 2 2" xfId="33711"/>
    <cellStyle name="Normal 4 3 3 3 5 3" xfId="19980"/>
    <cellStyle name="Normal 4 3 3 3 5 3 2" xfId="39863"/>
    <cellStyle name="Normal 4 3 3 3 5 4" xfId="27558"/>
    <cellStyle name="Normal 4 3 3 3 6" xfId="10762"/>
    <cellStyle name="Normal 4 3 3 3 6 2" xfId="30645"/>
    <cellStyle name="Normal 4 3 3 3 7" xfId="16914"/>
    <cellStyle name="Normal 4 3 3 3 7 2" xfId="36797"/>
    <cellStyle name="Normal 4 3 3 3 8" xfId="24492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2 2" xfId="36016"/>
    <cellStyle name="Normal 4 3 3 4 2 2 2 3" xfId="22285"/>
    <cellStyle name="Normal 4 3 3 4 2 2 2 3 2" xfId="42168"/>
    <cellStyle name="Normal 4 3 3 4 2 2 2 4" xfId="29863"/>
    <cellStyle name="Normal 4 3 3 4 2 2 3" xfId="13067"/>
    <cellStyle name="Normal 4 3 3 4 2 2 3 2" xfId="32950"/>
    <cellStyle name="Normal 4 3 3 4 2 2 4" xfId="19219"/>
    <cellStyle name="Normal 4 3 3 4 2 2 4 2" xfId="39102"/>
    <cellStyle name="Normal 4 3 3 4 2 2 5" xfId="26797"/>
    <cellStyle name="Normal 4 3 3 4 2 3" xfId="8405"/>
    <cellStyle name="Normal 4 3 3 4 2 3 2" xfId="14599"/>
    <cellStyle name="Normal 4 3 3 4 2 3 2 2" xfId="34482"/>
    <cellStyle name="Normal 4 3 3 4 2 3 3" xfId="20751"/>
    <cellStyle name="Normal 4 3 3 4 2 3 3 2" xfId="40634"/>
    <cellStyle name="Normal 4 3 3 4 2 3 4" xfId="28329"/>
    <cellStyle name="Normal 4 3 3 4 2 4" xfId="11533"/>
    <cellStyle name="Normal 4 3 3 4 2 4 2" xfId="31416"/>
    <cellStyle name="Normal 4 3 3 4 2 5" xfId="17685"/>
    <cellStyle name="Normal 4 3 3 4 2 5 2" xfId="37568"/>
    <cellStyle name="Normal 4 3 3 4 2 6" xfId="25263"/>
    <cellStyle name="Normal 4 3 3 4 3" xfId="6071"/>
    <cellStyle name="Normal 4 3 3 4 3 2" xfId="9171"/>
    <cellStyle name="Normal 4 3 3 4 3 2 2" xfId="15364"/>
    <cellStyle name="Normal 4 3 3 4 3 2 2 2" xfId="35247"/>
    <cellStyle name="Normal 4 3 3 4 3 2 3" xfId="21516"/>
    <cellStyle name="Normal 4 3 3 4 3 2 3 2" xfId="41399"/>
    <cellStyle name="Normal 4 3 3 4 3 2 4" xfId="29094"/>
    <cellStyle name="Normal 4 3 3 4 3 3" xfId="12298"/>
    <cellStyle name="Normal 4 3 3 4 3 3 2" xfId="32181"/>
    <cellStyle name="Normal 4 3 3 4 3 4" xfId="18450"/>
    <cellStyle name="Normal 4 3 3 4 3 4 2" xfId="38333"/>
    <cellStyle name="Normal 4 3 3 4 3 5" xfId="26028"/>
    <cellStyle name="Normal 4 3 3 4 4" xfId="7636"/>
    <cellStyle name="Normal 4 3 3 4 4 2" xfId="13830"/>
    <cellStyle name="Normal 4 3 3 4 4 2 2" xfId="33713"/>
    <cellStyle name="Normal 4 3 3 4 4 3" xfId="19982"/>
    <cellStyle name="Normal 4 3 3 4 4 3 2" xfId="39865"/>
    <cellStyle name="Normal 4 3 3 4 4 4" xfId="27560"/>
    <cellStyle name="Normal 4 3 3 4 5" xfId="10764"/>
    <cellStyle name="Normal 4 3 3 4 5 2" xfId="30647"/>
    <cellStyle name="Normal 4 3 3 4 6" xfId="16916"/>
    <cellStyle name="Normal 4 3 3 4 6 2" xfId="36799"/>
    <cellStyle name="Normal 4 3 3 4 7" xfId="24494"/>
    <cellStyle name="Normal 4 3 3 5" xfId="5224"/>
    <cellStyle name="Normal 4 3 3 5 2" xfId="6849"/>
    <cellStyle name="Normal 4 3 3 5 2 2" xfId="9935"/>
    <cellStyle name="Normal 4 3 3 5 2 2 2" xfId="16128"/>
    <cellStyle name="Normal 4 3 3 5 2 2 2 2" xfId="36011"/>
    <cellStyle name="Normal 4 3 3 5 2 2 3" xfId="22280"/>
    <cellStyle name="Normal 4 3 3 5 2 2 3 2" xfId="42163"/>
    <cellStyle name="Normal 4 3 3 5 2 2 4" xfId="29858"/>
    <cellStyle name="Normal 4 3 3 5 2 3" xfId="13062"/>
    <cellStyle name="Normal 4 3 3 5 2 3 2" xfId="32945"/>
    <cellStyle name="Normal 4 3 3 5 2 4" xfId="19214"/>
    <cellStyle name="Normal 4 3 3 5 2 4 2" xfId="39097"/>
    <cellStyle name="Normal 4 3 3 5 2 5" xfId="26792"/>
    <cellStyle name="Normal 4 3 3 5 3" xfId="8400"/>
    <cellStyle name="Normal 4 3 3 5 3 2" xfId="14594"/>
    <cellStyle name="Normal 4 3 3 5 3 2 2" xfId="34477"/>
    <cellStyle name="Normal 4 3 3 5 3 3" xfId="20746"/>
    <cellStyle name="Normal 4 3 3 5 3 3 2" xfId="40629"/>
    <cellStyle name="Normal 4 3 3 5 3 4" xfId="28324"/>
    <cellStyle name="Normal 4 3 3 5 4" xfId="11528"/>
    <cellStyle name="Normal 4 3 3 5 4 2" xfId="31411"/>
    <cellStyle name="Normal 4 3 3 5 5" xfId="17680"/>
    <cellStyle name="Normal 4 3 3 5 5 2" xfId="37563"/>
    <cellStyle name="Normal 4 3 3 5 6" xfId="25258"/>
    <cellStyle name="Normal 4 3 3 6" xfId="6066"/>
    <cellStyle name="Normal 4 3 3 6 2" xfId="9166"/>
    <cellStyle name="Normal 4 3 3 6 2 2" xfId="15359"/>
    <cellStyle name="Normal 4 3 3 6 2 2 2" xfId="35242"/>
    <cellStyle name="Normal 4 3 3 6 2 3" xfId="21511"/>
    <cellStyle name="Normal 4 3 3 6 2 3 2" xfId="41394"/>
    <cellStyle name="Normal 4 3 3 6 2 4" xfId="29089"/>
    <cellStyle name="Normal 4 3 3 6 3" xfId="12293"/>
    <cellStyle name="Normal 4 3 3 6 3 2" xfId="32176"/>
    <cellStyle name="Normal 4 3 3 6 4" xfId="18445"/>
    <cellStyle name="Normal 4 3 3 6 4 2" xfId="38328"/>
    <cellStyle name="Normal 4 3 3 6 5" xfId="26023"/>
    <cellStyle name="Normal 4 3 3 7" xfId="7631"/>
    <cellStyle name="Normal 4 3 3 7 2" xfId="13825"/>
    <cellStyle name="Normal 4 3 3 7 2 2" xfId="33708"/>
    <cellStyle name="Normal 4 3 3 7 3" xfId="19977"/>
    <cellStyle name="Normal 4 3 3 7 3 2" xfId="39860"/>
    <cellStyle name="Normal 4 3 3 7 4" xfId="27555"/>
    <cellStyle name="Normal 4 3 3 8" xfId="10759"/>
    <cellStyle name="Normal 4 3 3 8 2" xfId="30642"/>
    <cellStyle name="Normal 4 3 3 9" xfId="16911"/>
    <cellStyle name="Normal 4 3 3 9 2" xfId="36794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2 2" xfId="36018"/>
    <cellStyle name="Normal 4 3 4 2 2 2 2 3" xfId="22287"/>
    <cellStyle name="Normal 4 3 4 2 2 2 2 3 2" xfId="42170"/>
    <cellStyle name="Normal 4 3 4 2 2 2 2 4" xfId="29865"/>
    <cellStyle name="Normal 4 3 4 2 2 2 3" xfId="13069"/>
    <cellStyle name="Normal 4 3 4 2 2 2 3 2" xfId="32952"/>
    <cellStyle name="Normal 4 3 4 2 2 2 4" xfId="19221"/>
    <cellStyle name="Normal 4 3 4 2 2 2 4 2" xfId="39104"/>
    <cellStyle name="Normal 4 3 4 2 2 2 5" xfId="26799"/>
    <cellStyle name="Normal 4 3 4 2 2 3" xfId="8407"/>
    <cellStyle name="Normal 4 3 4 2 2 3 2" xfId="14601"/>
    <cellStyle name="Normal 4 3 4 2 2 3 2 2" xfId="34484"/>
    <cellStyle name="Normal 4 3 4 2 2 3 3" xfId="20753"/>
    <cellStyle name="Normal 4 3 4 2 2 3 3 2" xfId="40636"/>
    <cellStyle name="Normal 4 3 4 2 2 3 4" xfId="28331"/>
    <cellStyle name="Normal 4 3 4 2 2 4" xfId="11535"/>
    <cellStyle name="Normal 4 3 4 2 2 4 2" xfId="31418"/>
    <cellStyle name="Normal 4 3 4 2 2 5" xfId="17687"/>
    <cellStyle name="Normal 4 3 4 2 2 5 2" xfId="37570"/>
    <cellStyle name="Normal 4 3 4 2 2 6" xfId="25265"/>
    <cellStyle name="Normal 4 3 4 2 3" xfId="6073"/>
    <cellStyle name="Normal 4 3 4 2 3 2" xfId="9173"/>
    <cellStyle name="Normal 4 3 4 2 3 2 2" xfId="15366"/>
    <cellStyle name="Normal 4 3 4 2 3 2 2 2" xfId="35249"/>
    <cellStyle name="Normal 4 3 4 2 3 2 3" xfId="21518"/>
    <cellStyle name="Normal 4 3 4 2 3 2 3 2" xfId="41401"/>
    <cellStyle name="Normal 4 3 4 2 3 2 4" xfId="29096"/>
    <cellStyle name="Normal 4 3 4 2 3 3" xfId="12300"/>
    <cellStyle name="Normal 4 3 4 2 3 3 2" xfId="32183"/>
    <cellStyle name="Normal 4 3 4 2 3 4" xfId="18452"/>
    <cellStyle name="Normal 4 3 4 2 3 4 2" xfId="38335"/>
    <cellStyle name="Normal 4 3 4 2 3 5" xfId="26030"/>
    <cellStyle name="Normal 4 3 4 2 4" xfId="7638"/>
    <cellStyle name="Normal 4 3 4 2 4 2" xfId="13832"/>
    <cellStyle name="Normal 4 3 4 2 4 2 2" xfId="33715"/>
    <cellStyle name="Normal 4 3 4 2 4 3" xfId="19984"/>
    <cellStyle name="Normal 4 3 4 2 4 3 2" xfId="39867"/>
    <cellStyle name="Normal 4 3 4 2 4 4" xfId="27562"/>
    <cellStyle name="Normal 4 3 4 2 5" xfId="10766"/>
    <cellStyle name="Normal 4 3 4 2 5 2" xfId="30649"/>
    <cellStyle name="Normal 4 3 4 2 6" xfId="16918"/>
    <cellStyle name="Normal 4 3 4 2 6 2" xfId="36801"/>
    <cellStyle name="Normal 4 3 4 2 7" xfId="24496"/>
    <cellStyle name="Normal 4 3 4 3" xfId="5230"/>
    <cellStyle name="Normal 4 3 4 3 2" xfId="6855"/>
    <cellStyle name="Normal 4 3 4 3 2 2" xfId="9941"/>
    <cellStyle name="Normal 4 3 4 3 2 2 2" xfId="16134"/>
    <cellStyle name="Normal 4 3 4 3 2 2 2 2" xfId="36017"/>
    <cellStyle name="Normal 4 3 4 3 2 2 3" xfId="22286"/>
    <cellStyle name="Normal 4 3 4 3 2 2 3 2" xfId="42169"/>
    <cellStyle name="Normal 4 3 4 3 2 2 4" xfId="29864"/>
    <cellStyle name="Normal 4 3 4 3 2 3" xfId="13068"/>
    <cellStyle name="Normal 4 3 4 3 2 3 2" xfId="32951"/>
    <cellStyle name="Normal 4 3 4 3 2 4" xfId="19220"/>
    <cellStyle name="Normal 4 3 4 3 2 4 2" xfId="39103"/>
    <cellStyle name="Normal 4 3 4 3 2 5" xfId="26798"/>
    <cellStyle name="Normal 4 3 4 3 3" xfId="8406"/>
    <cellStyle name="Normal 4 3 4 3 3 2" xfId="14600"/>
    <cellStyle name="Normal 4 3 4 3 3 2 2" xfId="34483"/>
    <cellStyle name="Normal 4 3 4 3 3 3" xfId="20752"/>
    <cellStyle name="Normal 4 3 4 3 3 3 2" xfId="40635"/>
    <cellStyle name="Normal 4 3 4 3 3 4" xfId="28330"/>
    <cellStyle name="Normal 4 3 4 3 4" xfId="11534"/>
    <cellStyle name="Normal 4 3 4 3 4 2" xfId="31417"/>
    <cellStyle name="Normal 4 3 4 3 5" xfId="17686"/>
    <cellStyle name="Normal 4 3 4 3 5 2" xfId="37569"/>
    <cellStyle name="Normal 4 3 4 3 6" xfId="25264"/>
    <cellStyle name="Normal 4 3 4 4" xfId="6072"/>
    <cellStyle name="Normal 4 3 4 4 2" xfId="9172"/>
    <cellStyle name="Normal 4 3 4 4 2 2" xfId="15365"/>
    <cellStyle name="Normal 4 3 4 4 2 2 2" xfId="35248"/>
    <cellStyle name="Normal 4 3 4 4 2 3" xfId="21517"/>
    <cellStyle name="Normal 4 3 4 4 2 3 2" xfId="41400"/>
    <cellStyle name="Normal 4 3 4 4 2 4" xfId="29095"/>
    <cellStyle name="Normal 4 3 4 4 3" xfId="12299"/>
    <cellStyle name="Normal 4 3 4 4 3 2" xfId="32182"/>
    <cellStyle name="Normal 4 3 4 4 4" xfId="18451"/>
    <cellStyle name="Normal 4 3 4 4 4 2" xfId="38334"/>
    <cellStyle name="Normal 4 3 4 4 5" xfId="26029"/>
    <cellStyle name="Normal 4 3 4 5" xfId="7637"/>
    <cellStyle name="Normal 4 3 4 5 2" xfId="13831"/>
    <cellStyle name="Normal 4 3 4 5 2 2" xfId="33714"/>
    <cellStyle name="Normal 4 3 4 5 3" xfId="19983"/>
    <cellStyle name="Normal 4 3 4 5 3 2" xfId="39866"/>
    <cellStyle name="Normal 4 3 4 5 4" xfId="27561"/>
    <cellStyle name="Normal 4 3 4 6" xfId="10765"/>
    <cellStyle name="Normal 4 3 4 6 2" xfId="30648"/>
    <cellStyle name="Normal 4 3 4 7" xfId="16917"/>
    <cellStyle name="Normal 4 3 4 7 2" xfId="36800"/>
    <cellStyle name="Normal 4 3 4 8" xfId="24495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2 2" xfId="36020"/>
    <cellStyle name="Normal 4 3 5 2 2 2 2 3" xfId="22289"/>
    <cellStyle name="Normal 4 3 5 2 2 2 2 3 2" xfId="42172"/>
    <cellStyle name="Normal 4 3 5 2 2 2 2 4" xfId="29867"/>
    <cellStyle name="Normal 4 3 5 2 2 2 3" xfId="13071"/>
    <cellStyle name="Normal 4 3 5 2 2 2 3 2" xfId="32954"/>
    <cellStyle name="Normal 4 3 5 2 2 2 4" xfId="19223"/>
    <cellStyle name="Normal 4 3 5 2 2 2 4 2" xfId="39106"/>
    <cellStyle name="Normal 4 3 5 2 2 2 5" xfId="26801"/>
    <cellStyle name="Normal 4 3 5 2 2 3" xfId="8409"/>
    <cellStyle name="Normal 4 3 5 2 2 3 2" xfId="14603"/>
    <cellStyle name="Normal 4 3 5 2 2 3 2 2" xfId="34486"/>
    <cellStyle name="Normal 4 3 5 2 2 3 3" xfId="20755"/>
    <cellStyle name="Normal 4 3 5 2 2 3 3 2" xfId="40638"/>
    <cellStyle name="Normal 4 3 5 2 2 3 4" xfId="28333"/>
    <cellStyle name="Normal 4 3 5 2 2 4" xfId="11537"/>
    <cellStyle name="Normal 4 3 5 2 2 4 2" xfId="31420"/>
    <cellStyle name="Normal 4 3 5 2 2 5" xfId="17689"/>
    <cellStyle name="Normal 4 3 5 2 2 5 2" xfId="37572"/>
    <cellStyle name="Normal 4 3 5 2 2 6" xfId="25267"/>
    <cellStyle name="Normal 4 3 5 2 3" xfId="6075"/>
    <cellStyle name="Normal 4 3 5 2 3 2" xfId="9175"/>
    <cellStyle name="Normal 4 3 5 2 3 2 2" xfId="15368"/>
    <cellStyle name="Normal 4 3 5 2 3 2 2 2" xfId="35251"/>
    <cellStyle name="Normal 4 3 5 2 3 2 3" xfId="21520"/>
    <cellStyle name="Normal 4 3 5 2 3 2 3 2" xfId="41403"/>
    <cellStyle name="Normal 4 3 5 2 3 2 4" xfId="29098"/>
    <cellStyle name="Normal 4 3 5 2 3 3" xfId="12302"/>
    <cellStyle name="Normal 4 3 5 2 3 3 2" xfId="32185"/>
    <cellStyle name="Normal 4 3 5 2 3 4" xfId="18454"/>
    <cellStyle name="Normal 4 3 5 2 3 4 2" xfId="38337"/>
    <cellStyle name="Normal 4 3 5 2 3 5" xfId="26032"/>
    <cellStyle name="Normal 4 3 5 2 4" xfId="7640"/>
    <cellStyle name="Normal 4 3 5 2 4 2" xfId="13834"/>
    <cellStyle name="Normal 4 3 5 2 4 2 2" xfId="33717"/>
    <cellStyle name="Normal 4 3 5 2 4 3" xfId="19986"/>
    <cellStyle name="Normal 4 3 5 2 4 3 2" xfId="39869"/>
    <cellStyle name="Normal 4 3 5 2 4 4" xfId="27564"/>
    <cellStyle name="Normal 4 3 5 2 5" xfId="10768"/>
    <cellStyle name="Normal 4 3 5 2 5 2" xfId="30651"/>
    <cellStyle name="Normal 4 3 5 2 6" xfId="16920"/>
    <cellStyle name="Normal 4 3 5 2 6 2" xfId="36803"/>
    <cellStyle name="Normal 4 3 5 2 7" xfId="24498"/>
    <cellStyle name="Normal 4 3 5 3" xfId="5232"/>
    <cellStyle name="Normal 4 3 5 3 2" xfId="6857"/>
    <cellStyle name="Normal 4 3 5 3 2 2" xfId="9943"/>
    <cellStyle name="Normal 4 3 5 3 2 2 2" xfId="16136"/>
    <cellStyle name="Normal 4 3 5 3 2 2 2 2" xfId="36019"/>
    <cellStyle name="Normal 4 3 5 3 2 2 3" xfId="22288"/>
    <cellStyle name="Normal 4 3 5 3 2 2 3 2" xfId="42171"/>
    <cellStyle name="Normal 4 3 5 3 2 2 4" xfId="29866"/>
    <cellStyle name="Normal 4 3 5 3 2 3" xfId="13070"/>
    <cellStyle name="Normal 4 3 5 3 2 3 2" xfId="32953"/>
    <cellStyle name="Normal 4 3 5 3 2 4" xfId="19222"/>
    <cellStyle name="Normal 4 3 5 3 2 4 2" xfId="39105"/>
    <cellStyle name="Normal 4 3 5 3 2 5" xfId="26800"/>
    <cellStyle name="Normal 4 3 5 3 3" xfId="8408"/>
    <cellStyle name="Normal 4 3 5 3 3 2" xfId="14602"/>
    <cellStyle name="Normal 4 3 5 3 3 2 2" xfId="34485"/>
    <cellStyle name="Normal 4 3 5 3 3 3" xfId="20754"/>
    <cellStyle name="Normal 4 3 5 3 3 3 2" xfId="40637"/>
    <cellStyle name="Normal 4 3 5 3 3 4" xfId="28332"/>
    <cellStyle name="Normal 4 3 5 3 4" xfId="11536"/>
    <cellStyle name="Normal 4 3 5 3 4 2" xfId="31419"/>
    <cellStyle name="Normal 4 3 5 3 5" xfId="17688"/>
    <cellStyle name="Normal 4 3 5 3 5 2" xfId="37571"/>
    <cellStyle name="Normal 4 3 5 3 6" xfId="25266"/>
    <cellStyle name="Normal 4 3 5 4" xfId="6074"/>
    <cellStyle name="Normal 4 3 5 4 2" xfId="9174"/>
    <cellStyle name="Normal 4 3 5 4 2 2" xfId="15367"/>
    <cellStyle name="Normal 4 3 5 4 2 2 2" xfId="35250"/>
    <cellStyle name="Normal 4 3 5 4 2 3" xfId="21519"/>
    <cellStyle name="Normal 4 3 5 4 2 3 2" xfId="41402"/>
    <cellStyle name="Normal 4 3 5 4 2 4" xfId="29097"/>
    <cellStyle name="Normal 4 3 5 4 3" xfId="12301"/>
    <cellStyle name="Normal 4 3 5 4 3 2" xfId="32184"/>
    <cellStyle name="Normal 4 3 5 4 4" xfId="18453"/>
    <cellStyle name="Normal 4 3 5 4 4 2" xfId="38336"/>
    <cellStyle name="Normal 4 3 5 4 5" xfId="26031"/>
    <cellStyle name="Normal 4 3 5 5" xfId="7639"/>
    <cellStyle name="Normal 4 3 5 5 2" xfId="13833"/>
    <cellStyle name="Normal 4 3 5 5 2 2" xfId="33716"/>
    <cellStyle name="Normal 4 3 5 5 3" xfId="19985"/>
    <cellStyle name="Normal 4 3 5 5 3 2" xfId="39868"/>
    <cellStyle name="Normal 4 3 5 5 4" xfId="27563"/>
    <cellStyle name="Normal 4 3 5 6" xfId="10767"/>
    <cellStyle name="Normal 4 3 5 6 2" xfId="30650"/>
    <cellStyle name="Normal 4 3 5 7" xfId="16919"/>
    <cellStyle name="Normal 4 3 5 7 2" xfId="36802"/>
    <cellStyle name="Normal 4 3 5 8" xfId="24497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2 2" xfId="36021"/>
    <cellStyle name="Normal 4 3 6 2 2 2 3" xfId="22290"/>
    <cellStyle name="Normal 4 3 6 2 2 2 3 2" xfId="42173"/>
    <cellStyle name="Normal 4 3 6 2 2 2 4" xfId="29868"/>
    <cellStyle name="Normal 4 3 6 2 2 3" xfId="13072"/>
    <cellStyle name="Normal 4 3 6 2 2 3 2" xfId="32955"/>
    <cellStyle name="Normal 4 3 6 2 2 4" xfId="19224"/>
    <cellStyle name="Normal 4 3 6 2 2 4 2" xfId="39107"/>
    <cellStyle name="Normal 4 3 6 2 2 5" xfId="26802"/>
    <cellStyle name="Normal 4 3 6 2 3" xfId="8410"/>
    <cellStyle name="Normal 4 3 6 2 3 2" xfId="14604"/>
    <cellStyle name="Normal 4 3 6 2 3 2 2" xfId="34487"/>
    <cellStyle name="Normal 4 3 6 2 3 3" xfId="20756"/>
    <cellStyle name="Normal 4 3 6 2 3 3 2" xfId="40639"/>
    <cellStyle name="Normal 4 3 6 2 3 4" xfId="28334"/>
    <cellStyle name="Normal 4 3 6 2 4" xfId="11538"/>
    <cellStyle name="Normal 4 3 6 2 4 2" xfId="31421"/>
    <cellStyle name="Normal 4 3 6 2 5" xfId="17690"/>
    <cellStyle name="Normal 4 3 6 2 5 2" xfId="37573"/>
    <cellStyle name="Normal 4 3 6 2 6" xfId="25268"/>
    <cellStyle name="Normal 4 3 6 3" xfId="6076"/>
    <cellStyle name="Normal 4 3 6 3 2" xfId="9176"/>
    <cellStyle name="Normal 4 3 6 3 2 2" xfId="15369"/>
    <cellStyle name="Normal 4 3 6 3 2 2 2" xfId="35252"/>
    <cellStyle name="Normal 4 3 6 3 2 3" xfId="21521"/>
    <cellStyle name="Normal 4 3 6 3 2 3 2" xfId="41404"/>
    <cellStyle name="Normal 4 3 6 3 2 4" xfId="29099"/>
    <cellStyle name="Normal 4 3 6 3 3" xfId="12303"/>
    <cellStyle name="Normal 4 3 6 3 3 2" xfId="32186"/>
    <cellStyle name="Normal 4 3 6 3 4" xfId="18455"/>
    <cellStyle name="Normal 4 3 6 3 4 2" xfId="38338"/>
    <cellStyle name="Normal 4 3 6 3 5" xfId="26033"/>
    <cellStyle name="Normal 4 3 6 4" xfId="7641"/>
    <cellStyle name="Normal 4 3 6 4 2" xfId="13835"/>
    <cellStyle name="Normal 4 3 6 4 2 2" xfId="33718"/>
    <cellStyle name="Normal 4 3 6 4 3" xfId="19987"/>
    <cellStyle name="Normal 4 3 6 4 3 2" xfId="39870"/>
    <cellStyle name="Normal 4 3 6 4 4" xfId="27565"/>
    <cellStyle name="Normal 4 3 6 5" xfId="10769"/>
    <cellStyle name="Normal 4 3 6 5 2" xfId="30652"/>
    <cellStyle name="Normal 4 3 6 6" xfId="16921"/>
    <cellStyle name="Normal 4 3 6 6 2" xfId="36804"/>
    <cellStyle name="Normal 4 3 6 7" xfId="24499"/>
    <cellStyle name="Normal 4 3 7" xfId="5211"/>
    <cellStyle name="Normal 4 3 7 2" xfId="6836"/>
    <cellStyle name="Normal 4 3 7 2 2" xfId="9922"/>
    <cellStyle name="Normal 4 3 7 2 2 2" xfId="16115"/>
    <cellStyle name="Normal 4 3 7 2 2 2 2" xfId="35998"/>
    <cellStyle name="Normal 4 3 7 2 2 3" xfId="22267"/>
    <cellStyle name="Normal 4 3 7 2 2 3 2" xfId="42150"/>
    <cellStyle name="Normal 4 3 7 2 2 4" xfId="29845"/>
    <cellStyle name="Normal 4 3 7 2 3" xfId="13049"/>
    <cellStyle name="Normal 4 3 7 2 3 2" xfId="32932"/>
    <cellStyle name="Normal 4 3 7 2 4" xfId="19201"/>
    <cellStyle name="Normal 4 3 7 2 4 2" xfId="39084"/>
    <cellStyle name="Normal 4 3 7 2 5" xfId="26779"/>
    <cellStyle name="Normal 4 3 7 3" xfId="8387"/>
    <cellStyle name="Normal 4 3 7 3 2" xfId="14581"/>
    <cellStyle name="Normal 4 3 7 3 2 2" xfId="34464"/>
    <cellStyle name="Normal 4 3 7 3 3" xfId="20733"/>
    <cellStyle name="Normal 4 3 7 3 3 2" xfId="40616"/>
    <cellStyle name="Normal 4 3 7 3 4" xfId="28311"/>
    <cellStyle name="Normal 4 3 7 4" xfId="11515"/>
    <cellStyle name="Normal 4 3 7 4 2" xfId="31398"/>
    <cellStyle name="Normal 4 3 7 5" xfId="17667"/>
    <cellStyle name="Normal 4 3 7 5 2" xfId="37550"/>
    <cellStyle name="Normal 4 3 7 6" xfId="25245"/>
    <cellStyle name="Normal 4 3 8" xfId="6053"/>
    <cellStyle name="Normal 4 3 8 2" xfId="9153"/>
    <cellStyle name="Normal 4 3 8 2 2" xfId="15346"/>
    <cellStyle name="Normal 4 3 8 2 2 2" xfId="35229"/>
    <cellStyle name="Normal 4 3 8 2 3" xfId="21498"/>
    <cellStyle name="Normal 4 3 8 2 3 2" xfId="41381"/>
    <cellStyle name="Normal 4 3 8 2 4" xfId="29076"/>
    <cellStyle name="Normal 4 3 8 3" xfId="12280"/>
    <cellStyle name="Normal 4 3 8 3 2" xfId="32163"/>
    <cellStyle name="Normal 4 3 8 4" xfId="18432"/>
    <cellStyle name="Normal 4 3 8 4 2" xfId="38315"/>
    <cellStyle name="Normal 4 3 8 5" xfId="26010"/>
    <cellStyle name="Normal 4 3 9" xfId="7618"/>
    <cellStyle name="Normal 4 3 9 2" xfId="13812"/>
    <cellStyle name="Normal 4 3 9 2 2" xfId="33695"/>
    <cellStyle name="Normal 4 3 9 3" xfId="19964"/>
    <cellStyle name="Normal 4 3 9 3 2" xfId="39847"/>
    <cellStyle name="Normal 4 3 9 4" xfId="27542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2 2" xfId="36023"/>
    <cellStyle name="Normal 4 4 2 2 2 2 3" xfId="22292"/>
    <cellStyle name="Normal 4 4 2 2 2 2 3 2" xfId="42175"/>
    <cellStyle name="Normal 4 4 2 2 2 2 4" xfId="29870"/>
    <cellStyle name="Normal 4 4 2 2 2 3" xfId="13074"/>
    <cellStyle name="Normal 4 4 2 2 2 3 2" xfId="32957"/>
    <cellStyle name="Normal 4 4 2 2 2 4" xfId="19226"/>
    <cellStyle name="Normal 4 4 2 2 2 4 2" xfId="39109"/>
    <cellStyle name="Normal 4 4 2 2 2 5" xfId="26804"/>
    <cellStyle name="Normal 4 4 2 2 3" xfId="8412"/>
    <cellStyle name="Normal 4 4 2 2 3 2" xfId="14606"/>
    <cellStyle name="Normal 4 4 2 2 3 2 2" xfId="34489"/>
    <cellStyle name="Normal 4 4 2 2 3 3" xfId="20758"/>
    <cellStyle name="Normal 4 4 2 2 3 3 2" xfId="40641"/>
    <cellStyle name="Normal 4 4 2 2 3 4" xfId="28336"/>
    <cellStyle name="Normal 4 4 2 2 4" xfId="11540"/>
    <cellStyle name="Normal 4 4 2 2 4 2" xfId="31423"/>
    <cellStyle name="Normal 4 4 2 2 5" xfId="17692"/>
    <cellStyle name="Normal 4 4 2 2 5 2" xfId="37575"/>
    <cellStyle name="Normal 4 4 2 2 6" xfId="25270"/>
    <cellStyle name="Normal 4 4 2 3" xfId="6078"/>
    <cellStyle name="Normal 4 4 2 3 2" xfId="9178"/>
    <cellStyle name="Normal 4 4 2 3 2 2" xfId="15371"/>
    <cellStyle name="Normal 4 4 2 3 2 2 2" xfId="35254"/>
    <cellStyle name="Normal 4 4 2 3 2 3" xfId="21523"/>
    <cellStyle name="Normal 4 4 2 3 2 3 2" xfId="41406"/>
    <cellStyle name="Normal 4 4 2 3 2 4" xfId="29101"/>
    <cellStyle name="Normal 4 4 2 3 3" xfId="12305"/>
    <cellStyle name="Normal 4 4 2 3 3 2" xfId="32188"/>
    <cellStyle name="Normal 4 4 2 3 4" xfId="18457"/>
    <cellStyle name="Normal 4 4 2 3 4 2" xfId="38340"/>
    <cellStyle name="Normal 4 4 2 3 5" xfId="26035"/>
    <cellStyle name="Normal 4 4 2 4" xfId="7643"/>
    <cellStyle name="Normal 4 4 2 4 2" xfId="13837"/>
    <cellStyle name="Normal 4 4 2 4 2 2" xfId="33720"/>
    <cellStyle name="Normal 4 4 2 4 3" xfId="19989"/>
    <cellStyle name="Normal 4 4 2 4 3 2" xfId="39872"/>
    <cellStyle name="Normal 4 4 2 4 4" xfId="27567"/>
    <cellStyle name="Normal 4 4 2 5" xfId="10771"/>
    <cellStyle name="Normal 4 4 2 5 2" xfId="30654"/>
    <cellStyle name="Normal 4 4 2 6" xfId="16923"/>
    <cellStyle name="Normal 4 4 2 6 2" xfId="36806"/>
    <cellStyle name="Normal 4 4 2 7" xfId="24501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2 2" xfId="36022"/>
    <cellStyle name="Normal 4 4 4 2 2 3" xfId="22291"/>
    <cellStyle name="Normal 4 4 4 2 2 3 2" xfId="42174"/>
    <cellStyle name="Normal 4 4 4 2 2 4" xfId="29869"/>
    <cellStyle name="Normal 4 4 4 2 3" xfId="13073"/>
    <cellStyle name="Normal 4 4 4 2 3 2" xfId="32956"/>
    <cellStyle name="Normal 4 4 4 2 4" xfId="19225"/>
    <cellStyle name="Normal 4 4 4 2 4 2" xfId="39108"/>
    <cellStyle name="Normal 4 4 4 2 5" xfId="26803"/>
    <cellStyle name="Normal 4 4 4 3" xfId="8411"/>
    <cellStyle name="Normal 4 4 4 3 2" xfId="14605"/>
    <cellStyle name="Normal 4 4 4 3 2 2" xfId="34488"/>
    <cellStyle name="Normal 4 4 4 3 3" xfId="20757"/>
    <cellStyle name="Normal 4 4 4 3 3 2" xfId="40640"/>
    <cellStyle name="Normal 4 4 4 3 4" xfId="28335"/>
    <cellStyle name="Normal 4 4 4 4" xfId="11539"/>
    <cellStyle name="Normal 4 4 4 4 2" xfId="31422"/>
    <cellStyle name="Normal 4 4 4 5" xfId="17691"/>
    <cellStyle name="Normal 4 4 4 5 2" xfId="37574"/>
    <cellStyle name="Normal 4 4 4 6" xfId="25269"/>
    <cellStyle name="Normal 4 4 5" xfId="6077"/>
    <cellStyle name="Normal 4 4 5 2" xfId="9177"/>
    <cellStyle name="Normal 4 4 5 2 2" xfId="15370"/>
    <cellStyle name="Normal 4 4 5 2 2 2" xfId="35253"/>
    <cellStyle name="Normal 4 4 5 2 3" xfId="21522"/>
    <cellStyle name="Normal 4 4 5 2 3 2" xfId="41405"/>
    <cellStyle name="Normal 4 4 5 2 4" xfId="29100"/>
    <cellStyle name="Normal 4 4 5 3" xfId="12304"/>
    <cellStyle name="Normal 4 4 5 3 2" xfId="32187"/>
    <cellStyle name="Normal 4 4 5 4" xfId="18456"/>
    <cellStyle name="Normal 4 4 5 4 2" xfId="38339"/>
    <cellStyle name="Normal 4 4 5 5" xfId="26034"/>
    <cellStyle name="Normal 4 4 6" xfId="7642"/>
    <cellStyle name="Normal 4 4 6 2" xfId="13836"/>
    <cellStyle name="Normal 4 4 6 2 2" xfId="33719"/>
    <cellStyle name="Normal 4 4 6 3" xfId="19988"/>
    <cellStyle name="Normal 4 4 6 3 2" xfId="39871"/>
    <cellStyle name="Normal 4 4 6 4" xfId="27566"/>
    <cellStyle name="Normal 4 4 7" xfId="10770"/>
    <cellStyle name="Normal 4 4 7 2" xfId="30653"/>
    <cellStyle name="Normal 4 4 8" xfId="16922"/>
    <cellStyle name="Normal 4 4 8 2" xfId="36805"/>
    <cellStyle name="Normal 4 4 9" xfId="3999"/>
    <cellStyle name="Normal 4 4 9 2" xfId="24500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2 2" xfId="36024"/>
    <cellStyle name="Normal 4 5 2 2 2 3" xfId="22293"/>
    <cellStyle name="Normal 4 5 2 2 2 3 2" xfId="42176"/>
    <cellStyle name="Normal 4 5 2 2 2 4" xfId="29871"/>
    <cellStyle name="Normal 4 5 2 2 3" xfId="13075"/>
    <cellStyle name="Normal 4 5 2 2 3 2" xfId="32958"/>
    <cellStyle name="Normal 4 5 2 2 4" xfId="19227"/>
    <cellStyle name="Normal 4 5 2 2 4 2" xfId="39110"/>
    <cellStyle name="Normal 4 5 2 2 5" xfId="26805"/>
    <cellStyle name="Normal 4 5 2 3" xfId="8413"/>
    <cellStyle name="Normal 4 5 2 3 2" xfId="14607"/>
    <cellStyle name="Normal 4 5 2 3 2 2" xfId="34490"/>
    <cellStyle name="Normal 4 5 2 3 3" xfId="20759"/>
    <cellStyle name="Normal 4 5 2 3 3 2" xfId="40642"/>
    <cellStyle name="Normal 4 5 2 3 4" xfId="28337"/>
    <cellStyle name="Normal 4 5 2 4" xfId="11541"/>
    <cellStyle name="Normal 4 5 2 4 2" xfId="31424"/>
    <cellStyle name="Normal 4 5 2 5" xfId="17693"/>
    <cellStyle name="Normal 4 5 2 5 2" xfId="37576"/>
    <cellStyle name="Normal 4 5 2 6" xfId="25271"/>
    <cellStyle name="Normal 4 5 3" xfId="6079"/>
    <cellStyle name="Normal 4 5 3 2" xfId="9179"/>
    <cellStyle name="Normal 4 5 3 2 2" xfId="15372"/>
    <cellStyle name="Normal 4 5 3 2 2 2" xfId="35255"/>
    <cellStyle name="Normal 4 5 3 2 3" xfId="21524"/>
    <cellStyle name="Normal 4 5 3 2 3 2" xfId="41407"/>
    <cellStyle name="Normal 4 5 3 2 4" xfId="29102"/>
    <cellStyle name="Normal 4 5 3 3" xfId="12306"/>
    <cellStyle name="Normal 4 5 3 3 2" xfId="32189"/>
    <cellStyle name="Normal 4 5 3 4" xfId="18458"/>
    <cellStyle name="Normal 4 5 3 4 2" xfId="38341"/>
    <cellStyle name="Normal 4 5 3 5" xfId="26036"/>
    <cellStyle name="Normal 4 5 4" xfId="7644"/>
    <cellStyle name="Normal 4 5 4 2" xfId="13838"/>
    <cellStyle name="Normal 4 5 4 2 2" xfId="33721"/>
    <cellStyle name="Normal 4 5 4 3" xfId="19990"/>
    <cellStyle name="Normal 4 5 4 3 2" xfId="39873"/>
    <cellStyle name="Normal 4 5 4 4" xfId="27568"/>
    <cellStyle name="Normal 4 5 5" xfId="10772"/>
    <cellStyle name="Normal 4 5 5 2" xfId="30655"/>
    <cellStyle name="Normal 4 5 6" xfId="16924"/>
    <cellStyle name="Normal 4 5 6 2" xfId="36807"/>
    <cellStyle name="Normal 4 5 7" xfId="4002"/>
    <cellStyle name="Normal 4 5 7 2" xfId="245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2 2" xfId="36025"/>
    <cellStyle name="Normal 4 6 2 2 2 3" xfId="22294"/>
    <cellStyle name="Normal 4 6 2 2 2 3 2" xfId="42177"/>
    <cellStyle name="Normal 4 6 2 2 2 4" xfId="29872"/>
    <cellStyle name="Normal 4 6 2 2 3" xfId="13076"/>
    <cellStyle name="Normal 4 6 2 2 3 2" xfId="32959"/>
    <cellStyle name="Normal 4 6 2 2 4" xfId="19228"/>
    <cellStyle name="Normal 4 6 2 2 4 2" xfId="39111"/>
    <cellStyle name="Normal 4 6 2 2 5" xfId="26806"/>
    <cellStyle name="Normal 4 6 2 3" xfId="8414"/>
    <cellStyle name="Normal 4 6 2 3 2" xfId="14608"/>
    <cellStyle name="Normal 4 6 2 3 2 2" xfId="34491"/>
    <cellStyle name="Normal 4 6 2 3 3" xfId="20760"/>
    <cellStyle name="Normal 4 6 2 3 3 2" xfId="40643"/>
    <cellStyle name="Normal 4 6 2 3 4" xfId="28338"/>
    <cellStyle name="Normal 4 6 2 4" xfId="11542"/>
    <cellStyle name="Normal 4 6 2 4 2" xfId="31425"/>
    <cellStyle name="Normal 4 6 2 5" xfId="17694"/>
    <cellStyle name="Normal 4 6 2 5 2" xfId="37577"/>
    <cellStyle name="Normal 4 6 2 6" xfId="25272"/>
    <cellStyle name="Normal 4 6 3" xfId="6080"/>
    <cellStyle name="Normal 4 6 3 2" xfId="9180"/>
    <cellStyle name="Normal 4 6 3 2 2" xfId="15373"/>
    <cellStyle name="Normal 4 6 3 2 2 2" xfId="35256"/>
    <cellStyle name="Normal 4 6 3 2 3" xfId="21525"/>
    <cellStyle name="Normal 4 6 3 2 3 2" xfId="41408"/>
    <cellStyle name="Normal 4 6 3 2 4" xfId="29103"/>
    <cellStyle name="Normal 4 6 3 3" xfId="12307"/>
    <cellStyle name="Normal 4 6 3 3 2" xfId="32190"/>
    <cellStyle name="Normal 4 6 3 4" xfId="18459"/>
    <cellStyle name="Normal 4 6 3 4 2" xfId="38342"/>
    <cellStyle name="Normal 4 6 3 5" xfId="26037"/>
    <cellStyle name="Normal 4 6 4" xfId="7645"/>
    <cellStyle name="Normal 4 6 4 2" xfId="13839"/>
    <cellStyle name="Normal 4 6 4 2 2" xfId="33722"/>
    <cellStyle name="Normal 4 6 4 3" xfId="19991"/>
    <cellStyle name="Normal 4 6 4 3 2" xfId="39874"/>
    <cellStyle name="Normal 4 6 4 4" xfId="27569"/>
    <cellStyle name="Normal 4 6 5" xfId="10773"/>
    <cellStyle name="Normal 4 6 5 2" xfId="30656"/>
    <cellStyle name="Normal 4 6 6" xfId="16925"/>
    <cellStyle name="Normal 4 6 6 2" xfId="36808"/>
    <cellStyle name="Normal 4 6 7" xfId="4003"/>
    <cellStyle name="Normal 4 6 7 2" xfId="245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2 2" xfId="36026"/>
    <cellStyle name="Normal 4 7 2 2 2 3" xfId="22295"/>
    <cellStyle name="Normal 4 7 2 2 2 3 2" xfId="42178"/>
    <cellStyle name="Normal 4 7 2 2 2 4" xfId="29873"/>
    <cellStyle name="Normal 4 7 2 2 3" xfId="13077"/>
    <cellStyle name="Normal 4 7 2 2 3 2" xfId="32960"/>
    <cellStyle name="Normal 4 7 2 2 4" xfId="19229"/>
    <cellStyle name="Normal 4 7 2 2 4 2" xfId="39112"/>
    <cellStyle name="Normal 4 7 2 2 5" xfId="26807"/>
    <cellStyle name="Normal 4 7 2 3" xfId="8415"/>
    <cellStyle name="Normal 4 7 2 3 2" xfId="14609"/>
    <cellStyle name="Normal 4 7 2 3 2 2" xfId="34492"/>
    <cellStyle name="Normal 4 7 2 3 3" xfId="20761"/>
    <cellStyle name="Normal 4 7 2 3 3 2" xfId="40644"/>
    <cellStyle name="Normal 4 7 2 3 4" xfId="28339"/>
    <cellStyle name="Normal 4 7 2 4" xfId="11543"/>
    <cellStyle name="Normal 4 7 2 4 2" xfId="31426"/>
    <cellStyle name="Normal 4 7 2 5" xfId="17695"/>
    <cellStyle name="Normal 4 7 2 5 2" xfId="37578"/>
    <cellStyle name="Normal 4 7 2 6" xfId="25273"/>
    <cellStyle name="Normal 4 7 3" xfId="6081"/>
    <cellStyle name="Normal 4 7 3 2" xfId="9181"/>
    <cellStyle name="Normal 4 7 3 2 2" xfId="15374"/>
    <cellStyle name="Normal 4 7 3 2 2 2" xfId="35257"/>
    <cellStyle name="Normal 4 7 3 2 3" xfId="21526"/>
    <cellStyle name="Normal 4 7 3 2 3 2" xfId="41409"/>
    <cellStyle name="Normal 4 7 3 2 4" xfId="29104"/>
    <cellStyle name="Normal 4 7 3 3" xfId="12308"/>
    <cellStyle name="Normal 4 7 3 3 2" xfId="32191"/>
    <cellStyle name="Normal 4 7 3 4" xfId="18460"/>
    <cellStyle name="Normal 4 7 3 4 2" xfId="38343"/>
    <cellStyle name="Normal 4 7 3 5" xfId="26038"/>
    <cellStyle name="Normal 4 7 4" xfId="7646"/>
    <cellStyle name="Normal 4 7 4 2" xfId="13840"/>
    <cellStyle name="Normal 4 7 4 2 2" xfId="33723"/>
    <cellStyle name="Normal 4 7 4 3" xfId="19992"/>
    <cellStyle name="Normal 4 7 4 3 2" xfId="39875"/>
    <cellStyle name="Normal 4 7 4 4" xfId="27570"/>
    <cellStyle name="Normal 4 7 5" xfId="10774"/>
    <cellStyle name="Normal 4 7 5 2" xfId="30657"/>
    <cellStyle name="Normal 4 7 6" xfId="16926"/>
    <cellStyle name="Normal 4 7 6 2" xfId="36809"/>
    <cellStyle name="Normal 4 7 7" xfId="4004"/>
    <cellStyle name="Normal 4 7 7 2" xfId="245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2 2" xfId="36027"/>
    <cellStyle name="Normal 4 8 2 2 2 3" xfId="22296"/>
    <cellStyle name="Normal 4 8 2 2 2 3 2" xfId="42179"/>
    <cellStyle name="Normal 4 8 2 2 2 4" xfId="29874"/>
    <cellStyle name="Normal 4 8 2 2 3" xfId="13078"/>
    <cellStyle name="Normal 4 8 2 2 3 2" xfId="32961"/>
    <cellStyle name="Normal 4 8 2 2 4" xfId="19230"/>
    <cellStyle name="Normal 4 8 2 2 4 2" xfId="39113"/>
    <cellStyle name="Normal 4 8 2 2 5" xfId="26808"/>
    <cellStyle name="Normal 4 8 2 3" xfId="8416"/>
    <cellStyle name="Normal 4 8 2 3 2" xfId="14610"/>
    <cellStyle name="Normal 4 8 2 3 2 2" xfId="34493"/>
    <cellStyle name="Normal 4 8 2 3 3" xfId="20762"/>
    <cellStyle name="Normal 4 8 2 3 3 2" xfId="40645"/>
    <cellStyle name="Normal 4 8 2 3 4" xfId="28340"/>
    <cellStyle name="Normal 4 8 2 4" xfId="11544"/>
    <cellStyle name="Normal 4 8 2 4 2" xfId="31427"/>
    <cellStyle name="Normal 4 8 2 5" xfId="17696"/>
    <cellStyle name="Normal 4 8 2 5 2" xfId="37579"/>
    <cellStyle name="Normal 4 8 2 6" xfId="25274"/>
    <cellStyle name="Normal 4 8 3" xfId="6082"/>
    <cellStyle name="Normal 4 8 3 2" xfId="9182"/>
    <cellStyle name="Normal 4 8 3 2 2" xfId="15375"/>
    <cellStyle name="Normal 4 8 3 2 2 2" xfId="35258"/>
    <cellStyle name="Normal 4 8 3 2 3" xfId="21527"/>
    <cellStyle name="Normal 4 8 3 2 3 2" xfId="41410"/>
    <cellStyle name="Normal 4 8 3 2 4" xfId="29105"/>
    <cellStyle name="Normal 4 8 3 3" xfId="12309"/>
    <cellStyle name="Normal 4 8 3 3 2" xfId="32192"/>
    <cellStyle name="Normal 4 8 3 4" xfId="18461"/>
    <cellStyle name="Normal 4 8 3 4 2" xfId="38344"/>
    <cellStyle name="Normal 4 8 3 5" xfId="26039"/>
    <cellStyle name="Normal 4 8 4" xfId="7647"/>
    <cellStyle name="Normal 4 8 4 2" xfId="13841"/>
    <cellStyle name="Normal 4 8 4 2 2" xfId="33724"/>
    <cellStyle name="Normal 4 8 4 3" xfId="19993"/>
    <cellStyle name="Normal 4 8 4 3 2" xfId="39876"/>
    <cellStyle name="Normal 4 8 4 4" xfId="27571"/>
    <cellStyle name="Normal 4 8 5" xfId="10775"/>
    <cellStyle name="Normal 4 8 5 2" xfId="30658"/>
    <cellStyle name="Normal 4 8 6" xfId="16927"/>
    <cellStyle name="Normal 4 8 6 2" xfId="36810"/>
    <cellStyle name="Normal 4 8 7" xfId="4005"/>
    <cellStyle name="Normal 4 8 7 2" xfId="245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2 2" xfId="36028"/>
    <cellStyle name="Normal 41 2 2 2 2 3" xfId="22297"/>
    <cellStyle name="Normal 41 2 2 2 2 3 2" xfId="42180"/>
    <cellStyle name="Normal 41 2 2 2 2 4" xfId="29875"/>
    <cellStyle name="Normal 41 2 2 2 3" xfId="13079"/>
    <cellStyle name="Normal 41 2 2 2 3 2" xfId="32962"/>
    <cellStyle name="Normal 41 2 2 2 4" xfId="19231"/>
    <cellStyle name="Normal 41 2 2 2 4 2" xfId="39114"/>
    <cellStyle name="Normal 41 2 2 2 5" xfId="26809"/>
    <cellStyle name="Normal 41 2 2 3" xfId="8417"/>
    <cellStyle name="Normal 41 2 2 3 2" xfId="14611"/>
    <cellStyle name="Normal 41 2 2 3 2 2" xfId="34494"/>
    <cellStyle name="Normal 41 2 2 3 3" xfId="20763"/>
    <cellStyle name="Normal 41 2 2 3 3 2" xfId="40646"/>
    <cellStyle name="Normal 41 2 2 3 4" xfId="28341"/>
    <cellStyle name="Normal 41 2 2 4" xfId="11545"/>
    <cellStyle name="Normal 41 2 2 4 2" xfId="31428"/>
    <cellStyle name="Normal 41 2 2 5" xfId="17697"/>
    <cellStyle name="Normal 41 2 2 5 2" xfId="37580"/>
    <cellStyle name="Normal 41 2 2 6" xfId="25275"/>
    <cellStyle name="Normal 41 2 3" xfId="6083"/>
    <cellStyle name="Normal 41 2 3 2" xfId="9183"/>
    <cellStyle name="Normal 41 2 3 2 2" xfId="15376"/>
    <cellStyle name="Normal 41 2 3 2 2 2" xfId="35259"/>
    <cellStyle name="Normal 41 2 3 2 3" xfId="21528"/>
    <cellStyle name="Normal 41 2 3 2 3 2" xfId="41411"/>
    <cellStyle name="Normal 41 2 3 2 4" xfId="29106"/>
    <cellStyle name="Normal 41 2 3 3" xfId="12310"/>
    <cellStyle name="Normal 41 2 3 3 2" xfId="32193"/>
    <cellStyle name="Normal 41 2 3 4" xfId="18462"/>
    <cellStyle name="Normal 41 2 3 4 2" xfId="38345"/>
    <cellStyle name="Normal 41 2 3 5" xfId="26040"/>
    <cellStyle name="Normal 41 2 4" xfId="7648"/>
    <cellStyle name="Normal 41 2 4 2" xfId="13842"/>
    <cellStyle name="Normal 41 2 4 2 2" xfId="33725"/>
    <cellStyle name="Normal 41 2 4 3" xfId="19994"/>
    <cellStyle name="Normal 41 2 4 3 2" xfId="39877"/>
    <cellStyle name="Normal 41 2 4 4" xfId="27572"/>
    <cellStyle name="Normal 41 2 5" xfId="10776"/>
    <cellStyle name="Normal 41 2 5 2" xfId="30659"/>
    <cellStyle name="Normal 41 2 6" xfId="16928"/>
    <cellStyle name="Normal 41 2 6 2" xfId="36811"/>
    <cellStyle name="Normal 41 2 7" xfId="24506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2 2" xfId="36029"/>
    <cellStyle name="Normal 46 2 2 2 3" xfId="22298"/>
    <cellStyle name="Normal 46 2 2 2 3 2" xfId="42181"/>
    <cellStyle name="Normal 46 2 2 2 4" xfId="29876"/>
    <cellStyle name="Normal 46 2 2 3" xfId="13080"/>
    <cellStyle name="Normal 46 2 2 3 2" xfId="32963"/>
    <cellStyle name="Normal 46 2 2 4" xfId="19232"/>
    <cellStyle name="Normal 46 2 2 4 2" xfId="39115"/>
    <cellStyle name="Normal 46 2 2 5" xfId="26810"/>
    <cellStyle name="Normal 46 2 3" xfId="8418"/>
    <cellStyle name="Normal 46 2 3 2" xfId="14612"/>
    <cellStyle name="Normal 46 2 3 2 2" xfId="34495"/>
    <cellStyle name="Normal 46 2 3 3" xfId="20764"/>
    <cellStyle name="Normal 46 2 3 3 2" xfId="40647"/>
    <cellStyle name="Normal 46 2 3 4" xfId="28342"/>
    <cellStyle name="Normal 46 2 4" xfId="11546"/>
    <cellStyle name="Normal 46 2 4 2" xfId="31429"/>
    <cellStyle name="Normal 46 2 5" xfId="17698"/>
    <cellStyle name="Normal 46 2 5 2" xfId="37581"/>
    <cellStyle name="Normal 46 2 6" xfId="25276"/>
    <cellStyle name="Normal 46 3" xfId="6084"/>
    <cellStyle name="Normal 46 3 2" xfId="9184"/>
    <cellStyle name="Normal 46 3 2 2" xfId="15377"/>
    <cellStyle name="Normal 46 3 2 2 2" xfId="35260"/>
    <cellStyle name="Normal 46 3 2 3" xfId="21529"/>
    <cellStyle name="Normal 46 3 2 3 2" xfId="41412"/>
    <cellStyle name="Normal 46 3 2 4" xfId="29107"/>
    <cellStyle name="Normal 46 3 3" xfId="12311"/>
    <cellStyle name="Normal 46 3 3 2" xfId="32194"/>
    <cellStyle name="Normal 46 3 4" xfId="18463"/>
    <cellStyle name="Normal 46 3 4 2" xfId="38346"/>
    <cellStyle name="Normal 46 3 5" xfId="26041"/>
    <cellStyle name="Normal 46 4" xfId="7649"/>
    <cellStyle name="Normal 46 4 2" xfId="13843"/>
    <cellStyle name="Normal 46 4 2 2" xfId="33726"/>
    <cellStyle name="Normal 46 4 3" xfId="19995"/>
    <cellStyle name="Normal 46 4 3 2" xfId="39878"/>
    <cellStyle name="Normal 46 4 4" xfId="27573"/>
    <cellStyle name="Normal 46 5" xfId="10777"/>
    <cellStyle name="Normal 46 5 2" xfId="30660"/>
    <cellStyle name="Normal 46 6" xfId="16929"/>
    <cellStyle name="Normal 46 6 2" xfId="36812"/>
    <cellStyle name="Normal 46 7" xfId="24507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2 2" xfId="23757"/>
    <cellStyle name="Normal 5 10 3" xfId="4024"/>
    <cellStyle name="Normal 5 10 4" xfId="22660"/>
    <cellStyle name="Normal 5 10 4 2" xfId="42534"/>
    <cellStyle name="Normal 5 10 5" xfId="22877"/>
    <cellStyle name="Normal 5 10 5 2" xfId="42751"/>
    <cellStyle name="Normal 5 10 6" xfId="23454"/>
    <cellStyle name="Normal 5 11" xfId="420"/>
    <cellStyle name="Normal 5 11 2" xfId="917"/>
    <cellStyle name="Normal 5 11 2 2" xfId="23760"/>
    <cellStyle name="Normal 5 11 3" xfId="4025"/>
    <cellStyle name="Normal 5 11 4" xfId="22625"/>
    <cellStyle name="Normal 5 11 4 2" xfId="42499"/>
    <cellStyle name="Normal 5 11 5" xfId="22880"/>
    <cellStyle name="Normal 5 11 5 2" xfId="42754"/>
    <cellStyle name="Normal 5 11 6" xfId="23457"/>
    <cellStyle name="Normal 5 12" xfId="431"/>
    <cellStyle name="Normal 5 12 2" xfId="920"/>
    <cellStyle name="Normal 5 12 2 2" xfId="23763"/>
    <cellStyle name="Normal 5 12 3" xfId="4026"/>
    <cellStyle name="Normal 5 12 4" xfId="22796"/>
    <cellStyle name="Normal 5 12 4 2" xfId="42670"/>
    <cellStyle name="Normal 5 12 5" xfId="22883"/>
    <cellStyle name="Normal 5 12 5 2" xfId="42757"/>
    <cellStyle name="Normal 5 12 6" xfId="23460"/>
    <cellStyle name="Normal 5 13" xfId="439"/>
    <cellStyle name="Normal 5 13 2" xfId="923"/>
    <cellStyle name="Normal 5 13 2 2" xfId="23766"/>
    <cellStyle name="Normal 5 13 3" xfId="4027"/>
    <cellStyle name="Normal 5 13 4" xfId="22597"/>
    <cellStyle name="Normal 5 13 4 2" xfId="42471"/>
    <cellStyle name="Normal 5 13 5" xfId="22886"/>
    <cellStyle name="Normal 5 13 5 2" xfId="42760"/>
    <cellStyle name="Normal 5 13 6" xfId="23463"/>
    <cellStyle name="Normal 5 14" xfId="443"/>
    <cellStyle name="Normal 5 14 2" xfId="926"/>
    <cellStyle name="Normal 5 14 2 2" xfId="23769"/>
    <cellStyle name="Normal 5 14 3" xfId="4028"/>
    <cellStyle name="Normal 5 14 4" xfId="22745"/>
    <cellStyle name="Normal 5 14 4 2" xfId="42619"/>
    <cellStyle name="Normal 5 14 5" xfId="22889"/>
    <cellStyle name="Normal 5 14 5 2" xfId="42763"/>
    <cellStyle name="Normal 5 14 6" xfId="23466"/>
    <cellStyle name="Normal 5 15" xfId="446"/>
    <cellStyle name="Normal 5 15 2" xfId="929"/>
    <cellStyle name="Normal 5 15 2 2" xfId="23772"/>
    <cellStyle name="Normal 5 15 3" xfId="4029"/>
    <cellStyle name="Normal 5 15 4" xfId="22645"/>
    <cellStyle name="Normal 5 15 4 2" xfId="42519"/>
    <cellStyle name="Normal 5 15 5" xfId="22892"/>
    <cellStyle name="Normal 5 15 5 2" xfId="42766"/>
    <cellStyle name="Normal 5 15 6" xfId="23469"/>
    <cellStyle name="Normal 5 16" xfId="510"/>
    <cellStyle name="Normal 5 16 2" xfId="944"/>
    <cellStyle name="Normal 5 16 2 2" xfId="23787"/>
    <cellStyle name="Normal 5 16 3" xfId="4030"/>
    <cellStyle name="Normal 5 16 4" xfId="22672"/>
    <cellStyle name="Normal 5 16 4 2" xfId="42546"/>
    <cellStyle name="Normal 5 16 5" xfId="22907"/>
    <cellStyle name="Normal 5 16 5 2" xfId="42781"/>
    <cellStyle name="Normal 5 16 6" xfId="23484"/>
    <cellStyle name="Normal 5 17" xfId="540"/>
    <cellStyle name="Normal 5 17 2" xfId="960"/>
    <cellStyle name="Normal 5 17 2 2" xfId="23803"/>
    <cellStyle name="Normal 5 17 3" xfId="4031"/>
    <cellStyle name="Normal 5 17 4" xfId="22783"/>
    <cellStyle name="Normal 5 17 4 2" xfId="42657"/>
    <cellStyle name="Normal 5 17 5" xfId="22923"/>
    <cellStyle name="Normal 5 17 5 2" xfId="42797"/>
    <cellStyle name="Normal 5 17 6" xfId="23500"/>
    <cellStyle name="Normal 5 18" xfId="567"/>
    <cellStyle name="Normal 5 18 2" xfId="976"/>
    <cellStyle name="Normal 5 18 2 2" xfId="23819"/>
    <cellStyle name="Normal 5 18 3" xfId="4032"/>
    <cellStyle name="Normal 5 18 4" xfId="22764"/>
    <cellStyle name="Normal 5 18 4 2" xfId="42638"/>
    <cellStyle name="Normal 5 18 5" xfId="22939"/>
    <cellStyle name="Normal 5 18 5 2" xfId="42813"/>
    <cellStyle name="Normal 5 18 6" xfId="23516"/>
    <cellStyle name="Normal 5 19" xfId="593"/>
    <cellStyle name="Normal 5 19 2" xfId="992"/>
    <cellStyle name="Normal 5 19 2 2" xfId="23835"/>
    <cellStyle name="Normal 5 19 3" xfId="4033"/>
    <cellStyle name="Normal 5 19 4" xfId="22759"/>
    <cellStyle name="Normal 5 19 4 2" xfId="42633"/>
    <cellStyle name="Normal 5 19 5" xfId="22955"/>
    <cellStyle name="Normal 5 19 5 2" xfId="42829"/>
    <cellStyle name="Normal 5 19 6" xfId="23532"/>
    <cellStyle name="Normal 5 2" xfId="30"/>
    <cellStyle name="Normal 5 2 10" xfId="10779"/>
    <cellStyle name="Normal 5 2 10 2" xfId="30662"/>
    <cellStyle name="Normal 5 2 11" xfId="16931"/>
    <cellStyle name="Normal 5 2 11 2" xfId="36814"/>
    <cellStyle name="Normal 5 2 12" xfId="4034"/>
    <cellStyle name="Normal 5 2 12 2" xfId="24509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2 2" xfId="36032"/>
    <cellStyle name="Normal 5 2 2 2 2 2 2 2 3" xfId="22301"/>
    <cellStyle name="Normal 5 2 2 2 2 2 2 2 3 2" xfId="42184"/>
    <cellStyle name="Normal 5 2 2 2 2 2 2 2 4" xfId="29879"/>
    <cellStyle name="Normal 5 2 2 2 2 2 2 3" xfId="13083"/>
    <cellStyle name="Normal 5 2 2 2 2 2 2 3 2" xfId="32966"/>
    <cellStyle name="Normal 5 2 2 2 2 2 2 4" xfId="19235"/>
    <cellStyle name="Normal 5 2 2 2 2 2 2 4 2" xfId="39118"/>
    <cellStyle name="Normal 5 2 2 2 2 2 2 5" xfId="26813"/>
    <cellStyle name="Normal 5 2 2 2 2 2 3" xfId="8421"/>
    <cellStyle name="Normal 5 2 2 2 2 2 3 2" xfId="14615"/>
    <cellStyle name="Normal 5 2 2 2 2 2 3 2 2" xfId="34498"/>
    <cellStyle name="Normal 5 2 2 2 2 2 3 3" xfId="20767"/>
    <cellStyle name="Normal 5 2 2 2 2 2 3 3 2" xfId="40650"/>
    <cellStyle name="Normal 5 2 2 2 2 2 3 4" xfId="28345"/>
    <cellStyle name="Normal 5 2 2 2 2 2 4" xfId="11549"/>
    <cellStyle name="Normal 5 2 2 2 2 2 4 2" xfId="31432"/>
    <cellStyle name="Normal 5 2 2 2 2 2 5" xfId="17701"/>
    <cellStyle name="Normal 5 2 2 2 2 2 5 2" xfId="37584"/>
    <cellStyle name="Normal 5 2 2 2 2 2 6" xfId="25279"/>
    <cellStyle name="Normal 5 2 2 2 2 3" xfId="6087"/>
    <cellStyle name="Normal 5 2 2 2 2 3 2" xfId="9187"/>
    <cellStyle name="Normal 5 2 2 2 2 3 2 2" xfId="15380"/>
    <cellStyle name="Normal 5 2 2 2 2 3 2 2 2" xfId="35263"/>
    <cellStyle name="Normal 5 2 2 2 2 3 2 3" xfId="21532"/>
    <cellStyle name="Normal 5 2 2 2 2 3 2 3 2" xfId="41415"/>
    <cellStyle name="Normal 5 2 2 2 2 3 2 4" xfId="29110"/>
    <cellStyle name="Normal 5 2 2 2 2 3 3" xfId="12314"/>
    <cellStyle name="Normal 5 2 2 2 2 3 3 2" xfId="32197"/>
    <cellStyle name="Normal 5 2 2 2 2 3 4" xfId="18466"/>
    <cellStyle name="Normal 5 2 2 2 2 3 4 2" xfId="38349"/>
    <cellStyle name="Normal 5 2 2 2 2 3 5" xfId="26044"/>
    <cellStyle name="Normal 5 2 2 2 2 4" xfId="7652"/>
    <cellStyle name="Normal 5 2 2 2 2 4 2" xfId="13846"/>
    <cellStyle name="Normal 5 2 2 2 2 4 2 2" xfId="33729"/>
    <cellStyle name="Normal 5 2 2 2 2 4 3" xfId="19998"/>
    <cellStyle name="Normal 5 2 2 2 2 4 3 2" xfId="39881"/>
    <cellStyle name="Normal 5 2 2 2 2 4 4" xfId="27576"/>
    <cellStyle name="Normal 5 2 2 2 2 5" xfId="10780"/>
    <cellStyle name="Normal 5 2 2 2 2 5 2" xfId="30663"/>
    <cellStyle name="Normal 5 2 2 2 2 6" xfId="16932"/>
    <cellStyle name="Normal 5 2 2 2 2 6 2" xfId="36815"/>
    <cellStyle name="Normal 5 2 2 2 2 7" xfId="24510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2 2" xfId="36033"/>
    <cellStyle name="Normal 5 2 2 3 2 2 2 3" xfId="22302"/>
    <cellStyle name="Normal 5 2 2 3 2 2 2 3 2" xfId="42185"/>
    <cellStyle name="Normal 5 2 2 3 2 2 2 4" xfId="29880"/>
    <cellStyle name="Normal 5 2 2 3 2 2 3" xfId="13084"/>
    <cellStyle name="Normal 5 2 2 3 2 2 3 2" xfId="32967"/>
    <cellStyle name="Normal 5 2 2 3 2 2 4" xfId="19236"/>
    <cellStyle name="Normal 5 2 2 3 2 2 4 2" xfId="39119"/>
    <cellStyle name="Normal 5 2 2 3 2 2 5" xfId="26814"/>
    <cellStyle name="Normal 5 2 2 3 2 3" xfId="8422"/>
    <cellStyle name="Normal 5 2 2 3 2 3 2" xfId="14616"/>
    <cellStyle name="Normal 5 2 2 3 2 3 2 2" xfId="34499"/>
    <cellStyle name="Normal 5 2 2 3 2 3 3" xfId="20768"/>
    <cellStyle name="Normal 5 2 2 3 2 3 3 2" xfId="40651"/>
    <cellStyle name="Normal 5 2 2 3 2 3 4" xfId="28346"/>
    <cellStyle name="Normal 5 2 2 3 2 4" xfId="11550"/>
    <cellStyle name="Normal 5 2 2 3 2 4 2" xfId="31433"/>
    <cellStyle name="Normal 5 2 2 3 2 5" xfId="17702"/>
    <cellStyle name="Normal 5 2 2 3 2 5 2" xfId="37585"/>
    <cellStyle name="Normal 5 2 2 3 2 6" xfId="25280"/>
    <cellStyle name="Normal 5 2 2 3 3" xfId="6088"/>
    <cellStyle name="Normal 5 2 2 3 3 2" xfId="9188"/>
    <cellStyle name="Normal 5 2 2 3 3 2 2" xfId="15381"/>
    <cellStyle name="Normal 5 2 2 3 3 2 2 2" xfId="35264"/>
    <cellStyle name="Normal 5 2 2 3 3 2 3" xfId="21533"/>
    <cellStyle name="Normal 5 2 2 3 3 2 3 2" xfId="41416"/>
    <cellStyle name="Normal 5 2 2 3 3 2 4" xfId="29111"/>
    <cellStyle name="Normal 5 2 2 3 3 3" xfId="12315"/>
    <cellStyle name="Normal 5 2 2 3 3 3 2" xfId="32198"/>
    <cellStyle name="Normal 5 2 2 3 3 4" xfId="18467"/>
    <cellStyle name="Normal 5 2 2 3 3 4 2" xfId="38350"/>
    <cellStyle name="Normal 5 2 2 3 3 5" xfId="26045"/>
    <cellStyle name="Normal 5 2 2 3 4" xfId="7653"/>
    <cellStyle name="Normal 5 2 2 3 4 2" xfId="13847"/>
    <cellStyle name="Normal 5 2 2 3 4 2 2" xfId="33730"/>
    <cellStyle name="Normal 5 2 2 3 4 3" xfId="19999"/>
    <cellStyle name="Normal 5 2 2 3 4 3 2" xfId="39882"/>
    <cellStyle name="Normal 5 2 2 3 4 4" xfId="27577"/>
    <cellStyle name="Normal 5 2 2 3 5" xfId="10781"/>
    <cellStyle name="Normal 5 2 2 3 5 2" xfId="30664"/>
    <cellStyle name="Normal 5 2 2 3 6" xfId="16933"/>
    <cellStyle name="Normal 5 2 2 3 6 2" xfId="36816"/>
    <cellStyle name="Normal 5 2 2 3 7" xfId="24511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2 2" xfId="36034"/>
    <cellStyle name="Normal 5 2 3 2 2 2 2 2 3" xfId="22303"/>
    <cellStyle name="Normal 5 2 3 2 2 2 2 2 3 2" xfId="42186"/>
    <cellStyle name="Normal 5 2 3 2 2 2 2 2 4" xfId="29881"/>
    <cellStyle name="Normal 5 2 3 2 2 2 2 3" xfId="13085"/>
    <cellStyle name="Normal 5 2 3 2 2 2 2 3 2" xfId="32968"/>
    <cellStyle name="Normal 5 2 3 2 2 2 2 4" xfId="19237"/>
    <cellStyle name="Normal 5 2 3 2 2 2 2 4 2" xfId="39120"/>
    <cellStyle name="Normal 5 2 3 2 2 2 2 5" xfId="26815"/>
    <cellStyle name="Normal 5 2 3 2 2 2 3" xfId="8423"/>
    <cellStyle name="Normal 5 2 3 2 2 2 3 2" xfId="14617"/>
    <cellStyle name="Normal 5 2 3 2 2 2 3 2 2" xfId="34500"/>
    <cellStyle name="Normal 5 2 3 2 2 2 3 3" xfId="20769"/>
    <cellStyle name="Normal 5 2 3 2 2 2 3 3 2" xfId="40652"/>
    <cellStyle name="Normal 5 2 3 2 2 2 3 4" xfId="28347"/>
    <cellStyle name="Normal 5 2 3 2 2 2 4" xfId="11551"/>
    <cellStyle name="Normal 5 2 3 2 2 2 4 2" xfId="31434"/>
    <cellStyle name="Normal 5 2 3 2 2 2 5" xfId="17703"/>
    <cellStyle name="Normal 5 2 3 2 2 2 5 2" xfId="37586"/>
    <cellStyle name="Normal 5 2 3 2 2 2 6" xfId="25281"/>
    <cellStyle name="Normal 5 2 3 2 2 3" xfId="6089"/>
    <cellStyle name="Normal 5 2 3 2 2 3 2" xfId="9189"/>
    <cellStyle name="Normal 5 2 3 2 2 3 2 2" xfId="15382"/>
    <cellStyle name="Normal 5 2 3 2 2 3 2 2 2" xfId="35265"/>
    <cellStyle name="Normal 5 2 3 2 2 3 2 3" xfId="21534"/>
    <cellStyle name="Normal 5 2 3 2 2 3 2 3 2" xfId="41417"/>
    <cellStyle name="Normal 5 2 3 2 2 3 2 4" xfId="29112"/>
    <cellStyle name="Normal 5 2 3 2 2 3 3" xfId="12316"/>
    <cellStyle name="Normal 5 2 3 2 2 3 3 2" xfId="32199"/>
    <cellStyle name="Normal 5 2 3 2 2 3 4" xfId="18468"/>
    <cellStyle name="Normal 5 2 3 2 2 3 4 2" xfId="38351"/>
    <cellStyle name="Normal 5 2 3 2 2 3 5" xfId="26046"/>
    <cellStyle name="Normal 5 2 3 2 2 4" xfId="7654"/>
    <cellStyle name="Normal 5 2 3 2 2 4 2" xfId="13848"/>
    <cellStyle name="Normal 5 2 3 2 2 4 2 2" xfId="33731"/>
    <cellStyle name="Normal 5 2 3 2 2 4 3" xfId="20000"/>
    <cellStyle name="Normal 5 2 3 2 2 4 3 2" xfId="39883"/>
    <cellStyle name="Normal 5 2 3 2 2 4 4" xfId="27578"/>
    <cellStyle name="Normal 5 2 3 2 2 5" xfId="10782"/>
    <cellStyle name="Normal 5 2 3 2 2 5 2" xfId="30665"/>
    <cellStyle name="Normal 5 2 3 2 2 6" xfId="16934"/>
    <cellStyle name="Normal 5 2 3 2 2 6 2" xfId="36817"/>
    <cellStyle name="Normal 5 2 3 2 2 7" xfId="24512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2 2" xfId="36035"/>
    <cellStyle name="Normal 5 2 3 3 2 2 2 3" xfId="22304"/>
    <cellStyle name="Normal 5 2 3 3 2 2 2 3 2" xfId="42187"/>
    <cellStyle name="Normal 5 2 3 3 2 2 2 4" xfId="29882"/>
    <cellStyle name="Normal 5 2 3 3 2 2 3" xfId="13086"/>
    <cellStyle name="Normal 5 2 3 3 2 2 3 2" xfId="32969"/>
    <cellStyle name="Normal 5 2 3 3 2 2 4" xfId="19238"/>
    <cellStyle name="Normal 5 2 3 3 2 2 4 2" xfId="39121"/>
    <cellStyle name="Normal 5 2 3 3 2 2 5" xfId="26816"/>
    <cellStyle name="Normal 5 2 3 3 2 3" xfId="8424"/>
    <cellStyle name="Normal 5 2 3 3 2 3 2" xfId="14618"/>
    <cellStyle name="Normal 5 2 3 3 2 3 2 2" xfId="34501"/>
    <cellStyle name="Normal 5 2 3 3 2 3 3" xfId="20770"/>
    <cellStyle name="Normal 5 2 3 3 2 3 3 2" xfId="40653"/>
    <cellStyle name="Normal 5 2 3 3 2 3 4" xfId="28348"/>
    <cellStyle name="Normal 5 2 3 3 2 4" xfId="11552"/>
    <cellStyle name="Normal 5 2 3 3 2 4 2" xfId="31435"/>
    <cellStyle name="Normal 5 2 3 3 2 5" xfId="17704"/>
    <cellStyle name="Normal 5 2 3 3 2 5 2" xfId="37587"/>
    <cellStyle name="Normal 5 2 3 3 2 6" xfId="25282"/>
    <cellStyle name="Normal 5 2 3 3 3" xfId="6090"/>
    <cellStyle name="Normal 5 2 3 3 3 2" xfId="9190"/>
    <cellStyle name="Normal 5 2 3 3 3 2 2" xfId="15383"/>
    <cellStyle name="Normal 5 2 3 3 3 2 2 2" xfId="35266"/>
    <cellStyle name="Normal 5 2 3 3 3 2 3" xfId="21535"/>
    <cellStyle name="Normal 5 2 3 3 3 2 3 2" xfId="41418"/>
    <cellStyle name="Normal 5 2 3 3 3 2 4" xfId="29113"/>
    <cellStyle name="Normal 5 2 3 3 3 3" xfId="12317"/>
    <cellStyle name="Normal 5 2 3 3 3 3 2" xfId="32200"/>
    <cellStyle name="Normal 5 2 3 3 3 4" xfId="18469"/>
    <cellStyle name="Normal 5 2 3 3 3 4 2" xfId="38352"/>
    <cellStyle name="Normal 5 2 3 3 3 5" xfId="26047"/>
    <cellStyle name="Normal 5 2 3 3 4" xfId="7655"/>
    <cellStyle name="Normal 5 2 3 3 4 2" xfId="13849"/>
    <cellStyle name="Normal 5 2 3 3 4 2 2" xfId="33732"/>
    <cellStyle name="Normal 5 2 3 3 4 3" xfId="20001"/>
    <cellStyle name="Normal 5 2 3 3 4 3 2" xfId="39884"/>
    <cellStyle name="Normal 5 2 3 3 4 4" xfId="27579"/>
    <cellStyle name="Normal 5 2 3 3 5" xfId="10783"/>
    <cellStyle name="Normal 5 2 3 3 5 2" xfId="30666"/>
    <cellStyle name="Normal 5 2 3 3 6" xfId="16935"/>
    <cellStyle name="Normal 5 2 3 3 6 2" xfId="36818"/>
    <cellStyle name="Normal 5 2 3 3 7" xfId="24513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2 2" xfId="36036"/>
    <cellStyle name="Normal 5 2 4 2 2 2 2 3" xfId="22305"/>
    <cellStyle name="Normal 5 2 4 2 2 2 2 3 2" xfId="42188"/>
    <cellStyle name="Normal 5 2 4 2 2 2 2 4" xfId="29883"/>
    <cellStyle name="Normal 5 2 4 2 2 2 3" xfId="13087"/>
    <cellStyle name="Normal 5 2 4 2 2 2 3 2" xfId="32970"/>
    <cellStyle name="Normal 5 2 4 2 2 2 4" xfId="19239"/>
    <cellStyle name="Normal 5 2 4 2 2 2 4 2" xfId="39122"/>
    <cellStyle name="Normal 5 2 4 2 2 2 5" xfId="26817"/>
    <cellStyle name="Normal 5 2 4 2 2 3" xfId="8425"/>
    <cellStyle name="Normal 5 2 4 2 2 3 2" xfId="14619"/>
    <cellStyle name="Normal 5 2 4 2 2 3 2 2" xfId="34502"/>
    <cellStyle name="Normal 5 2 4 2 2 3 3" xfId="20771"/>
    <cellStyle name="Normal 5 2 4 2 2 3 3 2" xfId="40654"/>
    <cellStyle name="Normal 5 2 4 2 2 3 4" xfId="28349"/>
    <cellStyle name="Normal 5 2 4 2 2 4" xfId="11553"/>
    <cellStyle name="Normal 5 2 4 2 2 4 2" xfId="31436"/>
    <cellStyle name="Normal 5 2 4 2 2 5" xfId="17705"/>
    <cellStyle name="Normal 5 2 4 2 2 5 2" xfId="37588"/>
    <cellStyle name="Normal 5 2 4 2 2 6" xfId="25283"/>
    <cellStyle name="Normal 5 2 4 2 3" xfId="6091"/>
    <cellStyle name="Normal 5 2 4 2 3 2" xfId="9191"/>
    <cellStyle name="Normal 5 2 4 2 3 2 2" xfId="15384"/>
    <cellStyle name="Normal 5 2 4 2 3 2 2 2" xfId="35267"/>
    <cellStyle name="Normal 5 2 4 2 3 2 3" xfId="21536"/>
    <cellStyle name="Normal 5 2 4 2 3 2 3 2" xfId="41419"/>
    <cellStyle name="Normal 5 2 4 2 3 2 4" xfId="29114"/>
    <cellStyle name="Normal 5 2 4 2 3 3" xfId="12318"/>
    <cellStyle name="Normal 5 2 4 2 3 3 2" xfId="32201"/>
    <cellStyle name="Normal 5 2 4 2 3 4" xfId="18470"/>
    <cellStyle name="Normal 5 2 4 2 3 4 2" xfId="38353"/>
    <cellStyle name="Normal 5 2 4 2 3 5" xfId="26048"/>
    <cellStyle name="Normal 5 2 4 2 4" xfId="7656"/>
    <cellStyle name="Normal 5 2 4 2 4 2" xfId="13850"/>
    <cellStyle name="Normal 5 2 4 2 4 2 2" xfId="33733"/>
    <cellStyle name="Normal 5 2 4 2 4 3" xfId="20002"/>
    <cellStyle name="Normal 5 2 4 2 4 3 2" xfId="39885"/>
    <cellStyle name="Normal 5 2 4 2 4 4" xfId="27580"/>
    <cellStyle name="Normal 5 2 4 2 5" xfId="10784"/>
    <cellStyle name="Normal 5 2 4 2 5 2" xfId="30667"/>
    <cellStyle name="Normal 5 2 4 2 6" xfId="16936"/>
    <cellStyle name="Normal 5 2 4 2 6 2" xfId="36819"/>
    <cellStyle name="Normal 5 2 4 2 7" xfId="24514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2 2" xfId="36037"/>
    <cellStyle name="Normal 5 2 6 2 2 2 3" xfId="22306"/>
    <cellStyle name="Normal 5 2 6 2 2 2 3 2" xfId="42189"/>
    <cellStyle name="Normal 5 2 6 2 2 2 4" xfId="29884"/>
    <cellStyle name="Normal 5 2 6 2 2 3" xfId="13088"/>
    <cellStyle name="Normal 5 2 6 2 2 3 2" xfId="32971"/>
    <cellStyle name="Normal 5 2 6 2 2 4" xfId="19240"/>
    <cellStyle name="Normal 5 2 6 2 2 4 2" xfId="39123"/>
    <cellStyle name="Normal 5 2 6 2 2 5" xfId="26818"/>
    <cellStyle name="Normal 5 2 6 2 3" xfId="8426"/>
    <cellStyle name="Normal 5 2 6 2 3 2" xfId="14620"/>
    <cellStyle name="Normal 5 2 6 2 3 2 2" xfId="34503"/>
    <cellStyle name="Normal 5 2 6 2 3 3" xfId="20772"/>
    <cellStyle name="Normal 5 2 6 2 3 3 2" xfId="40655"/>
    <cellStyle name="Normal 5 2 6 2 3 4" xfId="28350"/>
    <cellStyle name="Normal 5 2 6 2 4" xfId="11554"/>
    <cellStyle name="Normal 5 2 6 2 4 2" xfId="31437"/>
    <cellStyle name="Normal 5 2 6 2 5" xfId="17706"/>
    <cellStyle name="Normal 5 2 6 2 5 2" xfId="37589"/>
    <cellStyle name="Normal 5 2 6 2 6" xfId="25284"/>
    <cellStyle name="Normal 5 2 6 3" xfId="6092"/>
    <cellStyle name="Normal 5 2 6 3 2" xfId="9192"/>
    <cellStyle name="Normal 5 2 6 3 2 2" xfId="15385"/>
    <cellStyle name="Normal 5 2 6 3 2 2 2" xfId="35268"/>
    <cellStyle name="Normal 5 2 6 3 2 3" xfId="21537"/>
    <cellStyle name="Normal 5 2 6 3 2 3 2" xfId="41420"/>
    <cellStyle name="Normal 5 2 6 3 2 4" xfId="29115"/>
    <cellStyle name="Normal 5 2 6 3 3" xfId="12319"/>
    <cellStyle name="Normal 5 2 6 3 3 2" xfId="32202"/>
    <cellStyle name="Normal 5 2 6 3 4" xfId="18471"/>
    <cellStyle name="Normal 5 2 6 3 4 2" xfId="38354"/>
    <cellStyle name="Normal 5 2 6 3 5" xfId="26049"/>
    <cellStyle name="Normal 5 2 6 4" xfId="7657"/>
    <cellStyle name="Normal 5 2 6 4 2" xfId="13851"/>
    <cellStyle name="Normal 5 2 6 4 2 2" xfId="33734"/>
    <cellStyle name="Normal 5 2 6 4 3" xfId="20003"/>
    <cellStyle name="Normal 5 2 6 4 3 2" xfId="39886"/>
    <cellStyle name="Normal 5 2 6 4 4" xfId="27581"/>
    <cellStyle name="Normal 5 2 6 5" xfId="10785"/>
    <cellStyle name="Normal 5 2 6 5 2" xfId="30668"/>
    <cellStyle name="Normal 5 2 6 6" xfId="16937"/>
    <cellStyle name="Normal 5 2 6 6 2" xfId="36820"/>
    <cellStyle name="Normal 5 2 6 7" xfId="24515"/>
    <cellStyle name="Normal 5 2 7" xfId="5244"/>
    <cellStyle name="Normal 5 2 7 2" xfId="6869"/>
    <cellStyle name="Normal 5 2 7 2 2" xfId="9955"/>
    <cellStyle name="Normal 5 2 7 2 2 2" xfId="16148"/>
    <cellStyle name="Normal 5 2 7 2 2 2 2" xfId="36031"/>
    <cellStyle name="Normal 5 2 7 2 2 3" xfId="22300"/>
    <cellStyle name="Normal 5 2 7 2 2 3 2" xfId="42183"/>
    <cellStyle name="Normal 5 2 7 2 2 4" xfId="29878"/>
    <cellStyle name="Normal 5 2 7 2 3" xfId="13082"/>
    <cellStyle name="Normal 5 2 7 2 3 2" xfId="32965"/>
    <cellStyle name="Normal 5 2 7 2 4" xfId="19234"/>
    <cellStyle name="Normal 5 2 7 2 4 2" xfId="39117"/>
    <cellStyle name="Normal 5 2 7 2 5" xfId="26812"/>
    <cellStyle name="Normal 5 2 7 3" xfId="8420"/>
    <cellStyle name="Normal 5 2 7 3 2" xfId="14614"/>
    <cellStyle name="Normal 5 2 7 3 2 2" xfId="34497"/>
    <cellStyle name="Normal 5 2 7 3 3" xfId="20766"/>
    <cellStyle name="Normal 5 2 7 3 3 2" xfId="40649"/>
    <cellStyle name="Normal 5 2 7 3 4" xfId="28344"/>
    <cellStyle name="Normal 5 2 7 4" xfId="11548"/>
    <cellStyle name="Normal 5 2 7 4 2" xfId="31431"/>
    <cellStyle name="Normal 5 2 7 5" xfId="17700"/>
    <cellStyle name="Normal 5 2 7 5 2" xfId="37583"/>
    <cellStyle name="Normal 5 2 7 6" xfId="25278"/>
    <cellStyle name="Normal 5 2 8" xfId="6086"/>
    <cellStyle name="Normal 5 2 8 2" xfId="9186"/>
    <cellStyle name="Normal 5 2 8 2 2" xfId="15379"/>
    <cellStyle name="Normal 5 2 8 2 2 2" xfId="35262"/>
    <cellStyle name="Normal 5 2 8 2 3" xfId="21531"/>
    <cellStyle name="Normal 5 2 8 2 3 2" xfId="41414"/>
    <cellStyle name="Normal 5 2 8 2 4" xfId="29109"/>
    <cellStyle name="Normal 5 2 8 3" xfId="12313"/>
    <cellStyle name="Normal 5 2 8 3 2" xfId="32196"/>
    <cellStyle name="Normal 5 2 8 4" xfId="18465"/>
    <cellStyle name="Normal 5 2 8 4 2" xfId="38348"/>
    <cellStyle name="Normal 5 2 8 5" xfId="26043"/>
    <cellStyle name="Normal 5 2 9" xfId="7651"/>
    <cellStyle name="Normal 5 2 9 2" xfId="13845"/>
    <cellStyle name="Normal 5 2 9 2 2" xfId="33728"/>
    <cellStyle name="Normal 5 2 9 3" xfId="19997"/>
    <cellStyle name="Normal 5 2 9 3 2" xfId="39880"/>
    <cellStyle name="Normal 5 2 9 4" xfId="27575"/>
    <cellStyle name="Normal 5 20" xfId="619"/>
    <cellStyle name="Normal 5 20 2" xfId="1008"/>
    <cellStyle name="Normal 5 20 2 2" xfId="23851"/>
    <cellStyle name="Normal 5 20 3" xfId="4046"/>
    <cellStyle name="Normal 5 20 4" xfId="22673"/>
    <cellStyle name="Normal 5 20 4 2" xfId="42547"/>
    <cellStyle name="Normal 5 20 5" xfId="22971"/>
    <cellStyle name="Normal 5 20 5 2" xfId="42845"/>
    <cellStyle name="Normal 5 20 6" xfId="23548"/>
    <cellStyle name="Normal 5 21" xfId="643"/>
    <cellStyle name="Normal 5 21 2" xfId="1024"/>
    <cellStyle name="Normal 5 21 2 2" xfId="23867"/>
    <cellStyle name="Normal 5 21 3" xfId="4047"/>
    <cellStyle name="Normal 5 21 4" xfId="22605"/>
    <cellStyle name="Normal 5 21 4 2" xfId="42479"/>
    <cellStyle name="Normal 5 21 5" xfId="22987"/>
    <cellStyle name="Normal 5 21 5 2" xfId="42861"/>
    <cellStyle name="Normal 5 21 6" xfId="23564"/>
    <cellStyle name="Normal 5 22" xfId="669"/>
    <cellStyle name="Normal 5 22 2" xfId="1040"/>
    <cellStyle name="Normal 5 22 2 2" xfId="23883"/>
    <cellStyle name="Normal 5 22 3" xfId="4048"/>
    <cellStyle name="Normal 5 22 4" xfId="22664"/>
    <cellStyle name="Normal 5 22 4 2" xfId="42538"/>
    <cellStyle name="Normal 5 22 5" xfId="23003"/>
    <cellStyle name="Normal 5 22 5 2" xfId="42877"/>
    <cellStyle name="Normal 5 22 6" xfId="23580"/>
    <cellStyle name="Normal 5 23" xfId="709"/>
    <cellStyle name="Normal 5 23 2" xfId="1056"/>
    <cellStyle name="Normal 5 23 2 2" xfId="23899"/>
    <cellStyle name="Normal 5 23 3" xfId="4049"/>
    <cellStyle name="Normal 5 23 4" xfId="22699"/>
    <cellStyle name="Normal 5 23 4 2" xfId="42573"/>
    <cellStyle name="Normal 5 23 5" xfId="23019"/>
    <cellStyle name="Normal 5 23 5 2" xfId="42893"/>
    <cellStyle name="Normal 5 23 6" xfId="23596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2 2" xfId="36038"/>
    <cellStyle name="Normal 5 24 2 2 2 3" xfId="22307"/>
    <cellStyle name="Normal 5 24 2 2 2 3 2" xfId="42190"/>
    <cellStyle name="Normal 5 24 2 2 2 4" xfId="29885"/>
    <cellStyle name="Normal 5 24 2 2 3" xfId="13089"/>
    <cellStyle name="Normal 5 24 2 2 3 2" xfId="32972"/>
    <cellStyle name="Normal 5 24 2 2 4" xfId="19241"/>
    <cellStyle name="Normal 5 24 2 2 4 2" xfId="39124"/>
    <cellStyle name="Normal 5 24 2 2 5" xfId="26819"/>
    <cellStyle name="Normal 5 24 2 3" xfId="8427"/>
    <cellStyle name="Normal 5 24 2 3 2" xfId="14621"/>
    <cellStyle name="Normal 5 24 2 3 2 2" xfId="34504"/>
    <cellStyle name="Normal 5 24 2 3 3" xfId="20773"/>
    <cellStyle name="Normal 5 24 2 3 3 2" xfId="40656"/>
    <cellStyle name="Normal 5 24 2 3 4" xfId="28351"/>
    <cellStyle name="Normal 5 24 2 4" xfId="11555"/>
    <cellStyle name="Normal 5 24 2 4 2" xfId="31438"/>
    <cellStyle name="Normal 5 24 2 5" xfId="17707"/>
    <cellStyle name="Normal 5 24 2 5 2" xfId="37590"/>
    <cellStyle name="Normal 5 24 2 6" xfId="5251"/>
    <cellStyle name="Normal 5 24 2 6 2" xfId="25285"/>
    <cellStyle name="Normal 5 24 2 7" xfId="23915"/>
    <cellStyle name="Normal 5 24 3" xfId="6093"/>
    <cellStyle name="Normal 5 24 3 2" xfId="9193"/>
    <cellStyle name="Normal 5 24 3 2 2" xfId="15386"/>
    <cellStyle name="Normal 5 24 3 2 2 2" xfId="35269"/>
    <cellStyle name="Normal 5 24 3 2 3" xfId="21538"/>
    <cellStyle name="Normal 5 24 3 2 3 2" xfId="41421"/>
    <cellStyle name="Normal 5 24 3 2 4" xfId="29116"/>
    <cellStyle name="Normal 5 24 3 3" xfId="12320"/>
    <cellStyle name="Normal 5 24 3 3 2" xfId="32203"/>
    <cellStyle name="Normal 5 24 3 4" xfId="18472"/>
    <cellStyle name="Normal 5 24 3 4 2" xfId="38355"/>
    <cellStyle name="Normal 5 24 3 5" xfId="26050"/>
    <cellStyle name="Normal 5 24 4" xfId="7658"/>
    <cellStyle name="Normal 5 24 4 2" xfId="13852"/>
    <cellStyle name="Normal 5 24 4 2 2" xfId="33735"/>
    <cellStyle name="Normal 5 24 4 3" xfId="20004"/>
    <cellStyle name="Normal 5 24 4 3 2" xfId="39887"/>
    <cellStyle name="Normal 5 24 4 4" xfId="27582"/>
    <cellStyle name="Normal 5 24 5" xfId="10786"/>
    <cellStyle name="Normal 5 24 5 2" xfId="30669"/>
    <cellStyle name="Normal 5 24 6" xfId="16938"/>
    <cellStyle name="Normal 5 24 6 2" xfId="36821"/>
    <cellStyle name="Normal 5 24 7" xfId="4050"/>
    <cellStyle name="Normal 5 24 7 2" xfId="24516"/>
    <cellStyle name="Normal 5 24 8" xfId="23035"/>
    <cellStyle name="Normal 5 24 8 2" xfId="42909"/>
    <cellStyle name="Normal 5 24 9" xfId="23612"/>
    <cellStyle name="Normal 5 25" xfId="763"/>
    <cellStyle name="Normal 5 25 2" xfId="1088"/>
    <cellStyle name="Normal 5 25 2 2" xfId="4052"/>
    <cellStyle name="Normal 5 25 2 3" xfId="23931"/>
    <cellStyle name="Normal 5 25 3" xfId="4051"/>
    <cellStyle name="Normal 5 25 4" xfId="22623"/>
    <cellStyle name="Normal 5 25 4 2" xfId="42497"/>
    <cellStyle name="Normal 5 25 5" xfId="23051"/>
    <cellStyle name="Normal 5 25 5 2" xfId="42925"/>
    <cellStyle name="Normal 5 25 6" xfId="23628"/>
    <cellStyle name="Normal 5 26" xfId="788"/>
    <cellStyle name="Normal 5 26 2" xfId="1104"/>
    <cellStyle name="Normal 5 26 2 2" xfId="4054"/>
    <cellStyle name="Normal 5 26 2 3" xfId="23947"/>
    <cellStyle name="Normal 5 26 3" xfId="4053"/>
    <cellStyle name="Normal 5 26 4" xfId="22751"/>
    <cellStyle name="Normal 5 26 4 2" xfId="42625"/>
    <cellStyle name="Normal 5 26 5" xfId="23067"/>
    <cellStyle name="Normal 5 26 5 2" xfId="42941"/>
    <cellStyle name="Normal 5 26 6" xfId="23644"/>
    <cellStyle name="Normal 5 27" xfId="812"/>
    <cellStyle name="Normal 5 27 2" xfId="1120"/>
    <cellStyle name="Normal 5 27 2 2" xfId="23963"/>
    <cellStyle name="Normal 5 27 3" xfId="4620"/>
    <cellStyle name="Normal 5 27 4" xfId="22604"/>
    <cellStyle name="Normal 5 27 4 2" xfId="42478"/>
    <cellStyle name="Normal 5 27 5" xfId="23083"/>
    <cellStyle name="Normal 5 27 5 2" xfId="42957"/>
    <cellStyle name="Normal 5 27 6" xfId="23660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2 2" xfId="36030"/>
    <cellStyle name="Normal 5 28 2 2 2 3" xfId="22299"/>
    <cellStyle name="Normal 5 28 2 2 2 3 2" xfId="42182"/>
    <cellStyle name="Normal 5 28 2 2 2 4" xfId="29877"/>
    <cellStyle name="Normal 5 28 2 2 3" xfId="13081"/>
    <cellStyle name="Normal 5 28 2 2 3 2" xfId="32964"/>
    <cellStyle name="Normal 5 28 2 2 4" xfId="19233"/>
    <cellStyle name="Normal 5 28 2 2 4 2" xfId="39116"/>
    <cellStyle name="Normal 5 28 2 2 5" xfId="26811"/>
    <cellStyle name="Normal 5 28 2 3" xfId="8419"/>
    <cellStyle name="Normal 5 28 2 3 2" xfId="14613"/>
    <cellStyle name="Normal 5 28 2 3 2 2" xfId="34496"/>
    <cellStyle name="Normal 5 28 2 3 3" xfId="20765"/>
    <cellStyle name="Normal 5 28 2 3 3 2" xfId="40648"/>
    <cellStyle name="Normal 5 28 2 3 4" xfId="28343"/>
    <cellStyle name="Normal 5 28 2 4" xfId="11547"/>
    <cellStyle name="Normal 5 28 2 4 2" xfId="31430"/>
    <cellStyle name="Normal 5 28 2 5" xfId="17699"/>
    <cellStyle name="Normal 5 28 2 5 2" xfId="37582"/>
    <cellStyle name="Normal 5 28 2 6" xfId="5243"/>
    <cellStyle name="Normal 5 28 2 6 2" xfId="25277"/>
    <cellStyle name="Normal 5 28 2 7" xfId="23979"/>
    <cellStyle name="Normal 5 28 3" xfId="6085"/>
    <cellStyle name="Normal 5 28 3 2" xfId="9185"/>
    <cellStyle name="Normal 5 28 3 2 2" xfId="15378"/>
    <cellStyle name="Normal 5 28 3 2 2 2" xfId="35261"/>
    <cellStyle name="Normal 5 28 3 2 3" xfId="21530"/>
    <cellStyle name="Normal 5 28 3 2 3 2" xfId="41413"/>
    <cellStyle name="Normal 5 28 3 2 4" xfId="29108"/>
    <cellStyle name="Normal 5 28 3 3" xfId="12312"/>
    <cellStyle name="Normal 5 28 3 3 2" xfId="32195"/>
    <cellStyle name="Normal 5 28 3 4" xfId="18464"/>
    <cellStyle name="Normal 5 28 3 4 2" xfId="38347"/>
    <cellStyle name="Normal 5 28 3 5" xfId="26042"/>
    <cellStyle name="Normal 5 28 4" xfId="7650"/>
    <cellStyle name="Normal 5 28 4 2" xfId="13844"/>
    <cellStyle name="Normal 5 28 4 2 2" xfId="33727"/>
    <cellStyle name="Normal 5 28 4 3" xfId="19996"/>
    <cellStyle name="Normal 5 28 4 3 2" xfId="39879"/>
    <cellStyle name="Normal 5 28 4 4" xfId="27574"/>
    <cellStyle name="Normal 5 28 5" xfId="10778"/>
    <cellStyle name="Normal 5 28 5 2" xfId="30661"/>
    <cellStyle name="Normal 5 28 6" xfId="16930"/>
    <cellStyle name="Normal 5 28 6 2" xfId="36813"/>
    <cellStyle name="Normal 5 28 7" xfId="4023"/>
    <cellStyle name="Normal 5 28 7 2" xfId="24508"/>
    <cellStyle name="Normal 5 28 8" xfId="23099"/>
    <cellStyle name="Normal 5 28 8 2" xfId="42973"/>
    <cellStyle name="Normal 5 28 9" xfId="23676"/>
    <cellStyle name="Normal 5 29" xfId="844"/>
    <cellStyle name="Normal 5 29 2" xfId="1152"/>
    <cellStyle name="Normal 5 29 2 2" xfId="23995"/>
    <cellStyle name="Normal 5 29 3" xfId="1179"/>
    <cellStyle name="Normal 5 29 4" xfId="22729"/>
    <cellStyle name="Normal 5 29 4 2" xfId="42603"/>
    <cellStyle name="Normal 5 29 5" xfId="23115"/>
    <cellStyle name="Normal 5 29 5 2" xfId="42989"/>
    <cellStyle name="Normal 5 29 6" xfId="23692"/>
    <cellStyle name="Normal 5 3" xfId="296"/>
    <cellStyle name="Normal 5 3 10" xfId="23281"/>
    <cellStyle name="Normal 5 3 11" xfId="23432"/>
    <cellStyle name="Normal 5 3 2" xfId="892"/>
    <cellStyle name="Normal 5 3 2 2" xfId="4056"/>
    <cellStyle name="Normal 5 3 2 3" xfId="23735"/>
    <cellStyle name="Normal 5 3 3" xfId="5252"/>
    <cellStyle name="Normal 5 3 3 2" xfId="6877"/>
    <cellStyle name="Normal 5 3 3 2 2" xfId="9963"/>
    <cellStyle name="Normal 5 3 3 2 2 2" xfId="16156"/>
    <cellStyle name="Normal 5 3 3 2 2 2 2" xfId="36039"/>
    <cellStyle name="Normal 5 3 3 2 2 3" xfId="22308"/>
    <cellStyle name="Normal 5 3 3 2 2 3 2" xfId="42191"/>
    <cellStyle name="Normal 5 3 3 2 2 4" xfId="29886"/>
    <cellStyle name="Normal 5 3 3 2 3" xfId="13090"/>
    <cellStyle name="Normal 5 3 3 2 3 2" xfId="32973"/>
    <cellStyle name="Normal 5 3 3 2 4" xfId="19242"/>
    <cellStyle name="Normal 5 3 3 2 4 2" xfId="39125"/>
    <cellStyle name="Normal 5 3 3 2 5" xfId="26820"/>
    <cellStyle name="Normal 5 3 3 3" xfId="8428"/>
    <cellStyle name="Normal 5 3 3 3 2" xfId="14622"/>
    <cellStyle name="Normal 5 3 3 3 2 2" xfId="34505"/>
    <cellStyle name="Normal 5 3 3 3 3" xfId="20774"/>
    <cellStyle name="Normal 5 3 3 3 3 2" xfId="40657"/>
    <cellStyle name="Normal 5 3 3 3 4" xfId="28352"/>
    <cellStyle name="Normal 5 3 3 4" xfId="11556"/>
    <cellStyle name="Normal 5 3 3 4 2" xfId="31439"/>
    <cellStyle name="Normal 5 3 3 5" xfId="17708"/>
    <cellStyle name="Normal 5 3 3 5 2" xfId="37591"/>
    <cellStyle name="Normal 5 3 3 6" xfId="25286"/>
    <cellStyle name="Normal 5 3 4" xfId="6094"/>
    <cellStyle name="Normal 5 3 4 2" xfId="9194"/>
    <cellStyle name="Normal 5 3 4 2 2" xfId="15387"/>
    <cellStyle name="Normal 5 3 4 2 2 2" xfId="35270"/>
    <cellStyle name="Normal 5 3 4 2 3" xfId="21539"/>
    <cellStyle name="Normal 5 3 4 2 3 2" xfId="41422"/>
    <cellStyle name="Normal 5 3 4 2 4" xfId="29117"/>
    <cellStyle name="Normal 5 3 4 3" xfId="12321"/>
    <cellStyle name="Normal 5 3 4 3 2" xfId="32204"/>
    <cellStyle name="Normal 5 3 4 4" xfId="18473"/>
    <cellStyle name="Normal 5 3 4 4 2" xfId="38356"/>
    <cellStyle name="Normal 5 3 4 5" xfId="26051"/>
    <cellStyle name="Normal 5 3 5" xfId="7659"/>
    <cellStyle name="Normal 5 3 5 2" xfId="13853"/>
    <cellStyle name="Normal 5 3 5 2 2" xfId="33736"/>
    <cellStyle name="Normal 5 3 5 3" xfId="20005"/>
    <cellStyle name="Normal 5 3 5 3 2" xfId="39888"/>
    <cellStyle name="Normal 5 3 5 4" xfId="27583"/>
    <cellStyle name="Normal 5 3 6" xfId="10787"/>
    <cellStyle name="Normal 5 3 6 2" xfId="30670"/>
    <cellStyle name="Normal 5 3 7" xfId="16939"/>
    <cellStyle name="Normal 5 3 7 2" xfId="36822"/>
    <cellStyle name="Normal 5 3 8" xfId="4055"/>
    <cellStyle name="Normal 5 3 8 2" xfId="24517"/>
    <cellStyle name="Normal 5 3 9" xfId="22855"/>
    <cellStyle name="Normal 5 3 9 2" xfId="42729"/>
    <cellStyle name="Normal 5 30" xfId="201"/>
    <cellStyle name="Normal 5 4" xfId="319"/>
    <cellStyle name="Normal 5 4 10" xfId="23282"/>
    <cellStyle name="Normal 5 4 11" xfId="23436"/>
    <cellStyle name="Normal 5 4 2" xfId="896"/>
    <cellStyle name="Normal 5 4 2 2" xfId="4058"/>
    <cellStyle name="Normal 5 4 2 3" xfId="23739"/>
    <cellStyle name="Normal 5 4 3" xfId="5253"/>
    <cellStyle name="Normal 5 4 3 2" xfId="6878"/>
    <cellStyle name="Normal 5 4 3 2 2" xfId="9964"/>
    <cellStyle name="Normal 5 4 3 2 2 2" xfId="16157"/>
    <cellStyle name="Normal 5 4 3 2 2 2 2" xfId="36040"/>
    <cellStyle name="Normal 5 4 3 2 2 3" xfId="22309"/>
    <cellStyle name="Normal 5 4 3 2 2 3 2" xfId="42192"/>
    <cellStyle name="Normal 5 4 3 2 2 4" xfId="29887"/>
    <cellStyle name="Normal 5 4 3 2 3" xfId="13091"/>
    <cellStyle name="Normal 5 4 3 2 3 2" xfId="32974"/>
    <cellStyle name="Normal 5 4 3 2 4" xfId="19243"/>
    <cellStyle name="Normal 5 4 3 2 4 2" xfId="39126"/>
    <cellStyle name="Normal 5 4 3 2 5" xfId="26821"/>
    <cellStyle name="Normal 5 4 3 3" xfId="8429"/>
    <cellStyle name="Normal 5 4 3 3 2" xfId="14623"/>
    <cellStyle name="Normal 5 4 3 3 2 2" xfId="34506"/>
    <cellStyle name="Normal 5 4 3 3 3" xfId="20775"/>
    <cellStyle name="Normal 5 4 3 3 3 2" xfId="40658"/>
    <cellStyle name="Normal 5 4 3 3 4" xfId="28353"/>
    <cellStyle name="Normal 5 4 3 4" xfId="11557"/>
    <cellStyle name="Normal 5 4 3 4 2" xfId="31440"/>
    <cellStyle name="Normal 5 4 3 5" xfId="17709"/>
    <cellStyle name="Normal 5 4 3 5 2" xfId="37592"/>
    <cellStyle name="Normal 5 4 3 6" xfId="25287"/>
    <cellStyle name="Normal 5 4 4" xfId="6095"/>
    <cellStyle name="Normal 5 4 4 2" xfId="9195"/>
    <cellStyle name="Normal 5 4 4 2 2" xfId="15388"/>
    <cellStyle name="Normal 5 4 4 2 2 2" xfId="35271"/>
    <cellStyle name="Normal 5 4 4 2 3" xfId="21540"/>
    <cellStyle name="Normal 5 4 4 2 3 2" xfId="41423"/>
    <cellStyle name="Normal 5 4 4 2 4" xfId="29118"/>
    <cellStyle name="Normal 5 4 4 3" xfId="12322"/>
    <cellStyle name="Normal 5 4 4 3 2" xfId="32205"/>
    <cellStyle name="Normal 5 4 4 4" xfId="18474"/>
    <cellStyle name="Normal 5 4 4 4 2" xfId="38357"/>
    <cellStyle name="Normal 5 4 4 5" xfId="26052"/>
    <cellStyle name="Normal 5 4 5" xfId="7660"/>
    <cellStyle name="Normal 5 4 5 2" xfId="13854"/>
    <cellStyle name="Normal 5 4 5 2 2" xfId="33737"/>
    <cellStyle name="Normal 5 4 5 3" xfId="20006"/>
    <cellStyle name="Normal 5 4 5 3 2" xfId="39889"/>
    <cellStyle name="Normal 5 4 5 4" xfId="27584"/>
    <cellStyle name="Normal 5 4 6" xfId="10788"/>
    <cellStyle name="Normal 5 4 6 2" xfId="30671"/>
    <cellStyle name="Normal 5 4 7" xfId="16940"/>
    <cellStyle name="Normal 5 4 7 2" xfId="36823"/>
    <cellStyle name="Normal 5 4 8" xfId="4057"/>
    <cellStyle name="Normal 5 4 8 2" xfId="24518"/>
    <cellStyle name="Normal 5 4 9" xfId="22859"/>
    <cellStyle name="Normal 5 4 9 2" xfId="42733"/>
    <cellStyle name="Normal 5 5" xfId="334"/>
    <cellStyle name="Normal 5 5 10" xfId="23283"/>
    <cellStyle name="Normal 5 5 11" xfId="23439"/>
    <cellStyle name="Normal 5 5 2" xfId="899"/>
    <cellStyle name="Normal 5 5 2 2" xfId="4060"/>
    <cellStyle name="Normal 5 5 2 3" xfId="23742"/>
    <cellStyle name="Normal 5 5 3" xfId="5254"/>
    <cellStyle name="Normal 5 5 3 2" xfId="6879"/>
    <cellStyle name="Normal 5 5 3 2 2" xfId="9965"/>
    <cellStyle name="Normal 5 5 3 2 2 2" xfId="16158"/>
    <cellStyle name="Normal 5 5 3 2 2 2 2" xfId="36041"/>
    <cellStyle name="Normal 5 5 3 2 2 3" xfId="22310"/>
    <cellStyle name="Normal 5 5 3 2 2 3 2" xfId="42193"/>
    <cellStyle name="Normal 5 5 3 2 2 4" xfId="29888"/>
    <cellStyle name="Normal 5 5 3 2 3" xfId="13092"/>
    <cellStyle name="Normal 5 5 3 2 3 2" xfId="32975"/>
    <cellStyle name="Normal 5 5 3 2 4" xfId="19244"/>
    <cellStyle name="Normal 5 5 3 2 4 2" xfId="39127"/>
    <cellStyle name="Normal 5 5 3 2 5" xfId="26822"/>
    <cellStyle name="Normal 5 5 3 3" xfId="8430"/>
    <cellStyle name="Normal 5 5 3 3 2" xfId="14624"/>
    <cellStyle name="Normal 5 5 3 3 2 2" xfId="34507"/>
    <cellStyle name="Normal 5 5 3 3 3" xfId="20776"/>
    <cellStyle name="Normal 5 5 3 3 3 2" xfId="40659"/>
    <cellStyle name="Normal 5 5 3 3 4" xfId="28354"/>
    <cellStyle name="Normal 5 5 3 4" xfId="11558"/>
    <cellStyle name="Normal 5 5 3 4 2" xfId="31441"/>
    <cellStyle name="Normal 5 5 3 5" xfId="17710"/>
    <cellStyle name="Normal 5 5 3 5 2" xfId="37593"/>
    <cellStyle name="Normal 5 5 3 6" xfId="25288"/>
    <cellStyle name="Normal 5 5 4" xfId="6096"/>
    <cellStyle name="Normal 5 5 4 2" xfId="9196"/>
    <cellStyle name="Normal 5 5 4 2 2" xfId="15389"/>
    <cellStyle name="Normal 5 5 4 2 2 2" xfId="35272"/>
    <cellStyle name="Normal 5 5 4 2 3" xfId="21541"/>
    <cellStyle name="Normal 5 5 4 2 3 2" xfId="41424"/>
    <cellStyle name="Normal 5 5 4 2 4" xfId="29119"/>
    <cellStyle name="Normal 5 5 4 3" xfId="12323"/>
    <cellStyle name="Normal 5 5 4 3 2" xfId="32206"/>
    <cellStyle name="Normal 5 5 4 4" xfId="18475"/>
    <cellStyle name="Normal 5 5 4 4 2" xfId="38358"/>
    <cellStyle name="Normal 5 5 4 5" xfId="26053"/>
    <cellStyle name="Normal 5 5 5" xfId="7661"/>
    <cellStyle name="Normal 5 5 5 2" xfId="13855"/>
    <cellStyle name="Normal 5 5 5 2 2" xfId="33738"/>
    <cellStyle name="Normal 5 5 5 3" xfId="20007"/>
    <cellStyle name="Normal 5 5 5 3 2" xfId="39890"/>
    <cellStyle name="Normal 5 5 5 4" xfId="27585"/>
    <cellStyle name="Normal 5 5 6" xfId="10789"/>
    <cellStyle name="Normal 5 5 6 2" xfId="30672"/>
    <cellStyle name="Normal 5 5 7" xfId="16941"/>
    <cellStyle name="Normal 5 5 7 2" xfId="36824"/>
    <cellStyle name="Normal 5 5 8" xfId="4059"/>
    <cellStyle name="Normal 5 5 8 2" xfId="24519"/>
    <cellStyle name="Normal 5 5 9" xfId="22862"/>
    <cellStyle name="Normal 5 5 9 2" xfId="42736"/>
    <cellStyle name="Normal 5 6" xfId="348"/>
    <cellStyle name="Normal 5 6 10" xfId="23442"/>
    <cellStyle name="Normal 5 6 2" xfId="902"/>
    <cellStyle name="Normal 5 6 2 2" xfId="4062"/>
    <cellStyle name="Normal 5 6 2 3" xfId="23745"/>
    <cellStyle name="Normal 5 6 3" xfId="5255"/>
    <cellStyle name="Normal 5 6 3 2" xfId="6880"/>
    <cellStyle name="Normal 5 6 3 2 2" xfId="9966"/>
    <cellStyle name="Normal 5 6 3 2 2 2" xfId="16159"/>
    <cellStyle name="Normal 5 6 3 2 2 2 2" xfId="36042"/>
    <cellStyle name="Normal 5 6 3 2 2 3" xfId="22311"/>
    <cellStyle name="Normal 5 6 3 2 2 3 2" xfId="42194"/>
    <cellStyle name="Normal 5 6 3 2 2 4" xfId="29889"/>
    <cellStyle name="Normal 5 6 3 2 3" xfId="13093"/>
    <cellStyle name="Normal 5 6 3 2 3 2" xfId="32976"/>
    <cellStyle name="Normal 5 6 3 2 4" xfId="19245"/>
    <cellStyle name="Normal 5 6 3 2 4 2" xfId="39128"/>
    <cellStyle name="Normal 5 6 3 2 5" xfId="26823"/>
    <cellStyle name="Normal 5 6 3 3" xfId="8431"/>
    <cellStyle name="Normal 5 6 3 3 2" xfId="14625"/>
    <cellStyle name="Normal 5 6 3 3 2 2" xfId="34508"/>
    <cellStyle name="Normal 5 6 3 3 3" xfId="20777"/>
    <cellStyle name="Normal 5 6 3 3 3 2" xfId="40660"/>
    <cellStyle name="Normal 5 6 3 3 4" xfId="28355"/>
    <cellStyle name="Normal 5 6 3 4" xfId="11559"/>
    <cellStyle name="Normal 5 6 3 4 2" xfId="31442"/>
    <cellStyle name="Normal 5 6 3 5" xfId="17711"/>
    <cellStyle name="Normal 5 6 3 5 2" xfId="37594"/>
    <cellStyle name="Normal 5 6 3 6" xfId="25289"/>
    <cellStyle name="Normal 5 6 4" xfId="6097"/>
    <cellStyle name="Normal 5 6 4 2" xfId="9197"/>
    <cellStyle name="Normal 5 6 4 2 2" xfId="15390"/>
    <cellStyle name="Normal 5 6 4 2 2 2" xfId="35273"/>
    <cellStyle name="Normal 5 6 4 2 3" xfId="21542"/>
    <cellStyle name="Normal 5 6 4 2 3 2" xfId="41425"/>
    <cellStyle name="Normal 5 6 4 2 4" xfId="29120"/>
    <cellStyle name="Normal 5 6 4 3" xfId="12324"/>
    <cellStyle name="Normal 5 6 4 3 2" xfId="32207"/>
    <cellStyle name="Normal 5 6 4 4" xfId="18476"/>
    <cellStyle name="Normal 5 6 4 4 2" xfId="38359"/>
    <cellStyle name="Normal 5 6 4 5" xfId="26054"/>
    <cellStyle name="Normal 5 6 5" xfId="7662"/>
    <cellStyle name="Normal 5 6 5 2" xfId="13856"/>
    <cellStyle name="Normal 5 6 5 2 2" xfId="33739"/>
    <cellStyle name="Normal 5 6 5 3" xfId="20008"/>
    <cellStyle name="Normal 5 6 5 3 2" xfId="39891"/>
    <cellStyle name="Normal 5 6 5 4" xfId="27586"/>
    <cellStyle name="Normal 5 6 6" xfId="10790"/>
    <cellStyle name="Normal 5 6 6 2" xfId="30673"/>
    <cellStyle name="Normal 5 6 7" xfId="16942"/>
    <cellStyle name="Normal 5 6 7 2" xfId="36825"/>
    <cellStyle name="Normal 5 6 8" xfId="4061"/>
    <cellStyle name="Normal 5 6 8 2" xfId="24520"/>
    <cellStyle name="Normal 5 6 9" xfId="22865"/>
    <cellStyle name="Normal 5 6 9 2" xfId="42739"/>
    <cellStyle name="Normal 5 7" xfId="364"/>
    <cellStyle name="Normal 5 7 10" xfId="23445"/>
    <cellStyle name="Normal 5 7 2" xfId="905"/>
    <cellStyle name="Normal 5 7 2 2" xfId="4064"/>
    <cellStyle name="Normal 5 7 2 3" xfId="23748"/>
    <cellStyle name="Normal 5 7 3" xfId="5256"/>
    <cellStyle name="Normal 5 7 3 2" xfId="6881"/>
    <cellStyle name="Normal 5 7 3 2 2" xfId="9967"/>
    <cellStyle name="Normal 5 7 3 2 2 2" xfId="16160"/>
    <cellStyle name="Normal 5 7 3 2 2 2 2" xfId="36043"/>
    <cellStyle name="Normal 5 7 3 2 2 3" xfId="22312"/>
    <cellStyle name="Normal 5 7 3 2 2 3 2" xfId="42195"/>
    <cellStyle name="Normal 5 7 3 2 2 4" xfId="29890"/>
    <cellStyle name="Normal 5 7 3 2 3" xfId="13094"/>
    <cellStyle name="Normal 5 7 3 2 3 2" xfId="32977"/>
    <cellStyle name="Normal 5 7 3 2 4" xfId="19246"/>
    <cellStyle name="Normal 5 7 3 2 4 2" xfId="39129"/>
    <cellStyle name="Normal 5 7 3 2 5" xfId="26824"/>
    <cellStyle name="Normal 5 7 3 3" xfId="8432"/>
    <cellStyle name="Normal 5 7 3 3 2" xfId="14626"/>
    <cellStyle name="Normal 5 7 3 3 2 2" xfId="34509"/>
    <cellStyle name="Normal 5 7 3 3 3" xfId="20778"/>
    <cellStyle name="Normal 5 7 3 3 3 2" xfId="40661"/>
    <cellStyle name="Normal 5 7 3 3 4" xfId="28356"/>
    <cellStyle name="Normal 5 7 3 4" xfId="11560"/>
    <cellStyle name="Normal 5 7 3 4 2" xfId="31443"/>
    <cellStyle name="Normal 5 7 3 5" xfId="17712"/>
    <cellStyle name="Normal 5 7 3 5 2" xfId="37595"/>
    <cellStyle name="Normal 5 7 3 6" xfId="25290"/>
    <cellStyle name="Normal 5 7 4" xfId="6098"/>
    <cellStyle name="Normal 5 7 4 2" xfId="9198"/>
    <cellStyle name="Normal 5 7 4 2 2" xfId="15391"/>
    <cellStyle name="Normal 5 7 4 2 2 2" xfId="35274"/>
    <cellStyle name="Normal 5 7 4 2 3" xfId="21543"/>
    <cellStyle name="Normal 5 7 4 2 3 2" xfId="41426"/>
    <cellStyle name="Normal 5 7 4 2 4" xfId="29121"/>
    <cellStyle name="Normal 5 7 4 3" xfId="12325"/>
    <cellStyle name="Normal 5 7 4 3 2" xfId="32208"/>
    <cellStyle name="Normal 5 7 4 4" xfId="18477"/>
    <cellStyle name="Normal 5 7 4 4 2" xfId="38360"/>
    <cellStyle name="Normal 5 7 4 5" xfId="26055"/>
    <cellStyle name="Normal 5 7 5" xfId="7663"/>
    <cellStyle name="Normal 5 7 5 2" xfId="13857"/>
    <cellStyle name="Normal 5 7 5 2 2" xfId="33740"/>
    <cellStyle name="Normal 5 7 5 3" xfId="20009"/>
    <cellStyle name="Normal 5 7 5 3 2" xfId="39892"/>
    <cellStyle name="Normal 5 7 5 4" xfId="27587"/>
    <cellStyle name="Normal 5 7 6" xfId="10791"/>
    <cellStyle name="Normal 5 7 6 2" xfId="30674"/>
    <cellStyle name="Normal 5 7 7" xfId="16943"/>
    <cellStyle name="Normal 5 7 7 2" xfId="36826"/>
    <cellStyle name="Normal 5 7 8" xfId="4063"/>
    <cellStyle name="Normal 5 7 8 2" xfId="24521"/>
    <cellStyle name="Normal 5 7 9" xfId="22868"/>
    <cellStyle name="Normal 5 7 9 2" xfId="42742"/>
    <cellStyle name="Normal 5 8" xfId="379"/>
    <cellStyle name="Normal 5 8 2" xfId="908"/>
    <cellStyle name="Normal 5 8 2 2" xfId="23751"/>
    <cellStyle name="Normal 5 8 3" xfId="4065"/>
    <cellStyle name="Normal 5 8 4" xfId="22687"/>
    <cellStyle name="Normal 5 8 4 2" xfId="42561"/>
    <cellStyle name="Normal 5 8 5" xfId="22871"/>
    <cellStyle name="Normal 5 8 5 2" xfId="42745"/>
    <cellStyle name="Normal 5 8 6" xfId="23448"/>
    <cellStyle name="Normal 5 9" xfId="395"/>
    <cellStyle name="Normal 5 9 2" xfId="911"/>
    <cellStyle name="Normal 5 9 2 2" xfId="23754"/>
    <cellStyle name="Normal 5 9 3" xfId="4066"/>
    <cellStyle name="Normal 5 9 4" xfId="22634"/>
    <cellStyle name="Normal 5 9 4 2" xfId="42508"/>
    <cellStyle name="Normal 5 9 5" xfId="22874"/>
    <cellStyle name="Normal 5 9 5 2" xfId="42748"/>
    <cellStyle name="Normal 5 9 6" xfId="23451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2 2" xfId="35551"/>
    <cellStyle name="Normal 50 2 2 2 3" xfId="21820"/>
    <cellStyle name="Normal 50 2 2 2 3 2" xfId="41703"/>
    <cellStyle name="Normal 50 2 2 2 4" xfId="29398"/>
    <cellStyle name="Normal 50 2 2 3" xfId="12602"/>
    <cellStyle name="Normal 50 2 2 3 2" xfId="32485"/>
    <cellStyle name="Normal 50 2 2 4" xfId="18754"/>
    <cellStyle name="Normal 50 2 2 4 2" xfId="38637"/>
    <cellStyle name="Normal 50 2 2 5" xfId="26332"/>
    <cellStyle name="Normal 50 2 3" xfId="7940"/>
    <cellStyle name="Normal 50 2 3 2" xfId="14134"/>
    <cellStyle name="Normal 50 2 3 2 2" xfId="34017"/>
    <cellStyle name="Normal 50 2 3 3" xfId="20286"/>
    <cellStyle name="Normal 50 2 3 3 2" xfId="40169"/>
    <cellStyle name="Normal 50 2 3 4" xfId="27864"/>
    <cellStyle name="Normal 50 2 4" xfId="11068"/>
    <cellStyle name="Normal 50 2 4 2" xfId="30951"/>
    <cellStyle name="Normal 50 2 5" xfId="17220"/>
    <cellStyle name="Normal 50 2 5 2" xfId="37103"/>
    <cellStyle name="Normal 50 2 6" xfId="24798"/>
    <cellStyle name="Normal 50 3" xfId="5603"/>
    <cellStyle name="Normal 50 3 2" xfId="8706"/>
    <cellStyle name="Normal 50 3 2 2" xfId="14899"/>
    <cellStyle name="Normal 50 3 2 2 2" xfId="34782"/>
    <cellStyle name="Normal 50 3 2 3" xfId="21051"/>
    <cellStyle name="Normal 50 3 2 3 2" xfId="40934"/>
    <cellStyle name="Normal 50 3 2 4" xfId="28629"/>
    <cellStyle name="Normal 50 3 3" xfId="11833"/>
    <cellStyle name="Normal 50 3 3 2" xfId="31716"/>
    <cellStyle name="Normal 50 3 4" xfId="17985"/>
    <cellStyle name="Normal 50 3 4 2" xfId="37868"/>
    <cellStyle name="Normal 50 3 5" xfId="25563"/>
    <cellStyle name="Normal 50 4" xfId="7171"/>
    <cellStyle name="Normal 50 4 2" xfId="13365"/>
    <cellStyle name="Normal 50 4 2 2" xfId="33248"/>
    <cellStyle name="Normal 50 4 3" xfId="19517"/>
    <cellStyle name="Normal 50 4 3 2" xfId="39400"/>
    <cellStyle name="Normal 50 4 4" xfId="27095"/>
    <cellStyle name="Normal 50 5" xfId="10299"/>
    <cellStyle name="Normal 50 5 2" xfId="30182"/>
    <cellStyle name="Normal 50 6" xfId="16451"/>
    <cellStyle name="Normal 50 6 2" xfId="36334"/>
    <cellStyle name="Normal 50 7" xfId="24029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2 2" xfId="35522"/>
    <cellStyle name="Normal 51 3 2 3" xfId="21791"/>
    <cellStyle name="Normal 51 3 2 3 2" xfId="41674"/>
    <cellStyle name="Normal 51 3 2 4" xfId="29369"/>
    <cellStyle name="Normal 51 3 3" xfId="12573"/>
    <cellStyle name="Normal 51 3 3 2" xfId="32456"/>
    <cellStyle name="Normal 51 3 4" xfId="18725"/>
    <cellStyle name="Normal 51 3 4 2" xfId="38608"/>
    <cellStyle name="Normal 51 3 5" xfId="26303"/>
    <cellStyle name="Normal 51 4" xfId="7911"/>
    <cellStyle name="Normal 51 4 2" xfId="14105"/>
    <cellStyle name="Normal 51 4 2 2" xfId="33988"/>
    <cellStyle name="Normal 51 4 3" xfId="20257"/>
    <cellStyle name="Normal 51 4 3 2" xfId="40140"/>
    <cellStyle name="Normal 51 4 4" xfId="27835"/>
    <cellStyle name="Normal 51 5" xfId="11039"/>
    <cellStyle name="Normal 51 5 2" xfId="30922"/>
    <cellStyle name="Normal 51 6" xfId="17191"/>
    <cellStyle name="Normal 51 6 2" xfId="37074"/>
    <cellStyle name="Normal 51 7" xfId="24769"/>
    <cellStyle name="Normal 52" xfId="5576"/>
    <cellStyle name="Normal 52 2" xfId="8680"/>
    <cellStyle name="Normal 52 2 2" xfId="14874"/>
    <cellStyle name="Normal 52 2 2 2" xfId="34757"/>
    <cellStyle name="Normal 52 2 3" xfId="21026"/>
    <cellStyle name="Normal 52 2 3 2" xfId="40909"/>
    <cellStyle name="Normal 52 2 4" xfId="28604"/>
    <cellStyle name="Normal 52 3" xfId="11808"/>
    <cellStyle name="Normal 52 3 2" xfId="31691"/>
    <cellStyle name="Normal 52 4" xfId="17960"/>
    <cellStyle name="Normal 52 4 2" xfId="37843"/>
    <cellStyle name="Normal 52 5" xfId="25538"/>
    <cellStyle name="Normal 53" xfId="7142"/>
    <cellStyle name="Normal 54" xfId="7141"/>
    <cellStyle name="Normal 54 2" xfId="13342"/>
    <cellStyle name="Normal 54 2 2" xfId="33225"/>
    <cellStyle name="Normal 54 3" xfId="19494"/>
    <cellStyle name="Normal 54 3 2" xfId="39377"/>
    <cellStyle name="Normal 54 4" xfId="27072"/>
    <cellStyle name="Normal 55" xfId="10218"/>
    <cellStyle name="Normal 56" xfId="10270"/>
    <cellStyle name="Normal 57" xfId="10269"/>
    <cellStyle name="Normal 57 2" xfId="30159"/>
    <cellStyle name="Normal 58" xfId="1175"/>
    <cellStyle name="Normal 59" xfId="1157"/>
    <cellStyle name="Normal 59 2" xfId="23999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2 2" xfId="36045"/>
    <cellStyle name="Normal 7 10 2 2 2 3" xfId="22314"/>
    <cellStyle name="Normal 7 10 2 2 2 3 2" xfId="42197"/>
    <cellStyle name="Normal 7 10 2 2 2 4" xfId="29892"/>
    <cellStyle name="Normal 7 10 2 2 3" xfId="13096"/>
    <cellStyle name="Normal 7 10 2 2 3 2" xfId="32979"/>
    <cellStyle name="Normal 7 10 2 2 4" xfId="19248"/>
    <cellStyle name="Normal 7 10 2 2 4 2" xfId="39131"/>
    <cellStyle name="Normal 7 10 2 2 5" xfId="26826"/>
    <cellStyle name="Normal 7 10 2 3" xfId="8434"/>
    <cellStyle name="Normal 7 10 2 3 2" xfId="14628"/>
    <cellStyle name="Normal 7 10 2 3 2 2" xfId="34511"/>
    <cellStyle name="Normal 7 10 2 3 3" xfId="20780"/>
    <cellStyle name="Normal 7 10 2 3 3 2" xfId="40663"/>
    <cellStyle name="Normal 7 10 2 3 4" xfId="28358"/>
    <cellStyle name="Normal 7 10 2 4" xfId="11562"/>
    <cellStyle name="Normal 7 10 2 4 2" xfId="31445"/>
    <cellStyle name="Normal 7 10 2 5" xfId="17714"/>
    <cellStyle name="Normal 7 10 2 5 2" xfId="37597"/>
    <cellStyle name="Normal 7 10 2 6" xfId="25292"/>
    <cellStyle name="Normal 7 10 3" xfId="6100"/>
    <cellStyle name="Normal 7 10 3 2" xfId="9200"/>
    <cellStyle name="Normal 7 10 3 2 2" xfId="15393"/>
    <cellStyle name="Normal 7 10 3 2 2 2" xfId="35276"/>
    <cellStyle name="Normal 7 10 3 2 3" xfId="21545"/>
    <cellStyle name="Normal 7 10 3 2 3 2" xfId="41428"/>
    <cellStyle name="Normal 7 10 3 2 4" xfId="29123"/>
    <cellStyle name="Normal 7 10 3 3" xfId="12327"/>
    <cellStyle name="Normal 7 10 3 3 2" xfId="32210"/>
    <cellStyle name="Normal 7 10 3 4" xfId="18479"/>
    <cellStyle name="Normal 7 10 3 4 2" xfId="38362"/>
    <cellStyle name="Normal 7 10 3 5" xfId="26057"/>
    <cellStyle name="Normal 7 10 4" xfId="7665"/>
    <cellStyle name="Normal 7 10 4 2" xfId="13859"/>
    <cellStyle name="Normal 7 10 4 2 2" xfId="33742"/>
    <cellStyle name="Normal 7 10 4 3" xfId="20011"/>
    <cellStyle name="Normal 7 10 4 3 2" xfId="39894"/>
    <cellStyle name="Normal 7 10 4 4" xfId="27589"/>
    <cellStyle name="Normal 7 10 5" xfId="10793"/>
    <cellStyle name="Normal 7 10 5 2" xfId="30676"/>
    <cellStyle name="Normal 7 10 6" xfId="16945"/>
    <cellStyle name="Normal 7 10 6 2" xfId="36828"/>
    <cellStyle name="Normal 7 10 7" xfId="24523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2 2" xfId="36046"/>
    <cellStyle name="Normal 7 11 2 2 2 3" xfId="22315"/>
    <cellStyle name="Normal 7 11 2 2 2 3 2" xfId="42198"/>
    <cellStyle name="Normal 7 11 2 2 2 4" xfId="29893"/>
    <cellStyle name="Normal 7 11 2 2 3" xfId="13097"/>
    <cellStyle name="Normal 7 11 2 2 3 2" xfId="32980"/>
    <cellStyle name="Normal 7 11 2 2 4" xfId="19249"/>
    <cellStyle name="Normal 7 11 2 2 4 2" xfId="39132"/>
    <cellStyle name="Normal 7 11 2 2 5" xfId="26827"/>
    <cellStyle name="Normal 7 11 2 3" xfId="8435"/>
    <cellStyle name="Normal 7 11 2 3 2" xfId="14629"/>
    <cellStyle name="Normal 7 11 2 3 2 2" xfId="34512"/>
    <cellStyle name="Normal 7 11 2 3 3" xfId="20781"/>
    <cellStyle name="Normal 7 11 2 3 3 2" xfId="40664"/>
    <cellStyle name="Normal 7 11 2 3 4" xfId="28359"/>
    <cellStyle name="Normal 7 11 2 4" xfId="11563"/>
    <cellStyle name="Normal 7 11 2 4 2" xfId="31446"/>
    <cellStyle name="Normal 7 11 2 5" xfId="17715"/>
    <cellStyle name="Normal 7 11 2 5 2" xfId="37598"/>
    <cellStyle name="Normal 7 11 2 6" xfId="25293"/>
    <cellStyle name="Normal 7 11 3" xfId="6101"/>
    <cellStyle name="Normal 7 11 3 2" xfId="9201"/>
    <cellStyle name="Normal 7 11 3 2 2" xfId="15394"/>
    <cellStyle name="Normal 7 11 3 2 2 2" xfId="35277"/>
    <cellStyle name="Normal 7 11 3 2 3" xfId="21546"/>
    <cellStyle name="Normal 7 11 3 2 3 2" xfId="41429"/>
    <cellStyle name="Normal 7 11 3 2 4" xfId="29124"/>
    <cellStyle name="Normal 7 11 3 3" xfId="12328"/>
    <cellStyle name="Normal 7 11 3 3 2" xfId="32211"/>
    <cellStyle name="Normal 7 11 3 4" xfId="18480"/>
    <cellStyle name="Normal 7 11 3 4 2" xfId="38363"/>
    <cellStyle name="Normal 7 11 3 5" xfId="26058"/>
    <cellStyle name="Normal 7 11 4" xfId="7666"/>
    <cellStyle name="Normal 7 11 4 2" xfId="13860"/>
    <cellStyle name="Normal 7 11 4 2 2" xfId="33743"/>
    <cellStyle name="Normal 7 11 4 3" xfId="20012"/>
    <cellStyle name="Normal 7 11 4 3 2" xfId="39895"/>
    <cellStyle name="Normal 7 11 4 4" xfId="27590"/>
    <cellStyle name="Normal 7 11 5" xfId="10794"/>
    <cellStyle name="Normal 7 11 5 2" xfId="30677"/>
    <cellStyle name="Normal 7 11 6" xfId="16946"/>
    <cellStyle name="Normal 7 11 6 2" xfId="36829"/>
    <cellStyle name="Normal 7 11 7" xfId="24524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2 2" xfId="36047"/>
    <cellStyle name="Normal 7 12 2 2 2 3" xfId="22316"/>
    <cellStyle name="Normal 7 12 2 2 2 3 2" xfId="42199"/>
    <cellStyle name="Normal 7 12 2 2 2 4" xfId="29894"/>
    <cellStyle name="Normal 7 12 2 2 3" xfId="13098"/>
    <cellStyle name="Normal 7 12 2 2 3 2" xfId="32981"/>
    <cellStyle name="Normal 7 12 2 2 4" xfId="19250"/>
    <cellStyle name="Normal 7 12 2 2 4 2" xfId="39133"/>
    <cellStyle name="Normal 7 12 2 2 5" xfId="26828"/>
    <cellStyle name="Normal 7 12 2 3" xfId="8436"/>
    <cellStyle name="Normal 7 12 2 3 2" xfId="14630"/>
    <cellStyle name="Normal 7 12 2 3 2 2" xfId="34513"/>
    <cellStyle name="Normal 7 12 2 3 3" xfId="20782"/>
    <cellStyle name="Normal 7 12 2 3 3 2" xfId="40665"/>
    <cellStyle name="Normal 7 12 2 3 4" xfId="28360"/>
    <cellStyle name="Normal 7 12 2 4" xfId="11564"/>
    <cellStyle name="Normal 7 12 2 4 2" xfId="31447"/>
    <cellStyle name="Normal 7 12 2 5" xfId="17716"/>
    <cellStyle name="Normal 7 12 2 5 2" xfId="37599"/>
    <cellStyle name="Normal 7 12 2 6" xfId="25294"/>
    <cellStyle name="Normal 7 12 3" xfId="6102"/>
    <cellStyle name="Normal 7 12 3 2" xfId="9202"/>
    <cellStyle name="Normal 7 12 3 2 2" xfId="15395"/>
    <cellStyle name="Normal 7 12 3 2 2 2" xfId="35278"/>
    <cellStyle name="Normal 7 12 3 2 3" xfId="21547"/>
    <cellStyle name="Normal 7 12 3 2 3 2" xfId="41430"/>
    <cellStyle name="Normal 7 12 3 2 4" xfId="29125"/>
    <cellStyle name="Normal 7 12 3 3" xfId="12329"/>
    <cellStyle name="Normal 7 12 3 3 2" xfId="32212"/>
    <cellStyle name="Normal 7 12 3 4" xfId="18481"/>
    <cellStyle name="Normal 7 12 3 4 2" xfId="38364"/>
    <cellStyle name="Normal 7 12 3 5" xfId="26059"/>
    <cellStyle name="Normal 7 12 4" xfId="7667"/>
    <cellStyle name="Normal 7 12 4 2" xfId="13861"/>
    <cellStyle name="Normal 7 12 4 2 2" xfId="33744"/>
    <cellStyle name="Normal 7 12 4 3" xfId="20013"/>
    <cellStyle name="Normal 7 12 4 3 2" xfId="39896"/>
    <cellStyle name="Normal 7 12 4 4" xfId="27591"/>
    <cellStyle name="Normal 7 12 5" xfId="10795"/>
    <cellStyle name="Normal 7 12 5 2" xfId="30678"/>
    <cellStyle name="Normal 7 12 6" xfId="16947"/>
    <cellStyle name="Normal 7 12 6 2" xfId="36830"/>
    <cellStyle name="Normal 7 12 7" xfId="24525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2 2" xfId="36048"/>
    <cellStyle name="Normal 7 13 2 2 2 3" xfId="22317"/>
    <cellStyle name="Normal 7 13 2 2 2 3 2" xfId="42200"/>
    <cellStyle name="Normal 7 13 2 2 2 4" xfId="29895"/>
    <cellStyle name="Normal 7 13 2 2 3" xfId="13099"/>
    <cellStyle name="Normal 7 13 2 2 3 2" xfId="32982"/>
    <cellStyle name="Normal 7 13 2 2 4" xfId="19251"/>
    <cellStyle name="Normal 7 13 2 2 4 2" xfId="39134"/>
    <cellStyle name="Normal 7 13 2 2 5" xfId="26829"/>
    <cellStyle name="Normal 7 13 2 3" xfId="8437"/>
    <cellStyle name="Normal 7 13 2 3 2" xfId="14631"/>
    <cellStyle name="Normal 7 13 2 3 2 2" xfId="34514"/>
    <cellStyle name="Normal 7 13 2 3 3" xfId="20783"/>
    <cellStyle name="Normal 7 13 2 3 3 2" xfId="40666"/>
    <cellStyle name="Normal 7 13 2 3 4" xfId="28361"/>
    <cellStyle name="Normal 7 13 2 4" xfId="11565"/>
    <cellStyle name="Normal 7 13 2 4 2" xfId="31448"/>
    <cellStyle name="Normal 7 13 2 5" xfId="17717"/>
    <cellStyle name="Normal 7 13 2 5 2" xfId="37600"/>
    <cellStyle name="Normal 7 13 2 6" xfId="25295"/>
    <cellStyle name="Normal 7 13 3" xfId="6103"/>
    <cellStyle name="Normal 7 13 3 2" xfId="9203"/>
    <cellStyle name="Normal 7 13 3 2 2" xfId="15396"/>
    <cellStyle name="Normal 7 13 3 2 2 2" xfId="35279"/>
    <cellStyle name="Normal 7 13 3 2 3" xfId="21548"/>
    <cellStyle name="Normal 7 13 3 2 3 2" xfId="41431"/>
    <cellStyle name="Normal 7 13 3 2 4" xfId="29126"/>
    <cellStyle name="Normal 7 13 3 3" xfId="12330"/>
    <cellStyle name="Normal 7 13 3 3 2" xfId="32213"/>
    <cellStyle name="Normal 7 13 3 4" xfId="18482"/>
    <cellStyle name="Normal 7 13 3 4 2" xfId="38365"/>
    <cellStyle name="Normal 7 13 3 5" xfId="26060"/>
    <cellStyle name="Normal 7 13 4" xfId="7668"/>
    <cellStyle name="Normal 7 13 4 2" xfId="13862"/>
    <cellStyle name="Normal 7 13 4 2 2" xfId="33745"/>
    <cellStyle name="Normal 7 13 4 3" xfId="20014"/>
    <cellStyle name="Normal 7 13 4 3 2" xfId="39897"/>
    <cellStyle name="Normal 7 13 4 4" xfId="27592"/>
    <cellStyle name="Normal 7 13 5" xfId="10796"/>
    <cellStyle name="Normal 7 13 5 2" xfId="30679"/>
    <cellStyle name="Normal 7 13 6" xfId="16948"/>
    <cellStyle name="Normal 7 13 6 2" xfId="36831"/>
    <cellStyle name="Normal 7 13 7" xfId="24526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2 2" xfId="36049"/>
    <cellStyle name="Normal 7 14 2 2 2 3" xfId="22318"/>
    <cellStyle name="Normal 7 14 2 2 2 3 2" xfId="42201"/>
    <cellStyle name="Normal 7 14 2 2 2 4" xfId="29896"/>
    <cellStyle name="Normal 7 14 2 2 3" xfId="13100"/>
    <cellStyle name="Normal 7 14 2 2 3 2" xfId="32983"/>
    <cellStyle name="Normal 7 14 2 2 4" xfId="19252"/>
    <cellStyle name="Normal 7 14 2 2 4 2" xfId="39135"/>
    <cellStyle name="Normal 7 14 2 2 5" xfId="26830"/>
    <cellStyle name="Normal 7 14 2 3" xfId="8438"/>
    <cellStyle name="Normal 7 14 2 3 2" xfId="14632"/>
    <cellStyle name="Normal 7 14 2 3 2 2" xfId="34515"/>
    <cellStyle name="Normal 7 14 2 3 3" xfId="20784"/>
    <cellStyle name="Normal 7 14 2 3 3 2" xfId="40667"/>
    <cellStyle name="Normal 7 14 2 3 4" xfId="28362"/>
    <cellStyle name="Normal 7 14 2 4" xfId="11566"/>
    <cellStyle name="Normal 7 14 2 4 2" xfId="31449"/>
    <cellStyle name="Normal 7 14 2 5" xfId="17718"/>
    <cellStyle name="Normal 7 14 2 5 2" xfId="37601"/>
    <cellStyle name="Normal 7 14 2 6" xfId="25296"/>
    <cellStyle name="Normal 7 14 3" xfId="6104"/>
    <cellStyle name="Normal 7 14 3 2" xfId="9204"/>
    <cellStyle name="Normal 7 14 3 2 2" xfId="15397"/>
    <cellStyle name="Normal 7 14 3 2 2 2" xfId="35280"/>
    <cellStyle name="Normal 7 14 3 2 3" xfId="21549"/>
    <cellStyle name="Normal 7 14 3 2 3 2" xfId="41432"/>
    <cellStyle name="Normal 7 14 3 2 4" xfId="29127"/>
    <cellStyle name="Normal 7 14 3 3" xfId="12331"/>
    <cellStyle name="Normal 7 14 3 3 2" xfId="32214"/>
    <cellStyle name="Normal 7 14 3 4" xfId="18483"/>
    <cellStyle name="Normal 7 14 3 4 2" xfId="38366"/>
    <cellStyle name="Normal 7 14 3 5" xfId="26061"/>
    <cellStyle name="Normal 7 14 4" xfId="7669"/>
    <cellStyle name="Normal 7 14 4 2" xfId="13863"/>
    <cellStyle name="Normal 7 14 4 2 2" xfId="33746"/>
    <cellStyle name="Normal 7 14 4 3" xfId="20015"/>
    <cellStyle name="Normal 7 14 4 3 2" xfId="39898"/>
    <cellStyle name="Normal 7 14 4 4" xfId="27593"/>
    <cellStyle name="Normal 7 14 5" xfId="10797"/>
    <cellStyle name="Normal 7 14 5 2" xfId="30680"/>
    <cellStyle name="Normal 7 14 6" xfId="16949"/>
    <cellStyle name="Normal 7 14 6 2" xfId="36832"/>
    <cellStyle name="Normal 7 14 7" xfId="24527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2 2" xfId="36050"/>
    <cellStyle name="Normal 7 15 2 2 2 3" xfId="22319"/>
    <cellStyle name="Normal 7 15 2 2 2 3 2" xfId="42202"/>
    <cellStyle name="Normal 7 15 2 2 2 4" xfId="29897"/>
    <cellStyle name="Normal 7 15 2 2 3" xfId="13101"/>
    <cellStyle name="Normal 7 15 2 2 3 2" xfId="32984"/>
    <cellStyle name="Normal 7 15 2 2 4" xfId="19253"/>
    <cellStyle name="Normal 7 15 2 2 4 2" xfId="39136"/>
    <cellStyle name="Normal 7 15 2 2 5" xfId="26831"/>
    <cellStyle name="Normal 7 15 2 3" xfId="8439"/>
    <cellStyle name="Normal 7 15 2 3 2" xfId="14633"/>
    <cellStyle name="Normal 7 15 2 3 2 2" xfId="34516"/>
    <cellStyle name="Normal 7 15 2 3 3" xfId="20785"/>
    <cellStyle name="Normal 7 15 2 3 3 2" xfId="40668"/>
    <cellStyle name="Normal 7 15 2 3 4" xfId="28363"/>
    <cellStyle name="Normal 7 15 2 4" xfId="11567"/>
    <cellStyle name="Normal 7 15 2 4 2" xfId="31450"/>
    <cellStyle name="Normal 7 15 2 5" xfId="17719"/>
    <cellStyle name="Normal 7 15 2 5 2" xfId="37602"/>
    <cellStyle name="Normal 7 15 2 6" xfId="25297"/>
    <cellStyle name="Normal 7 15 3" xfId="6105"/>
    <cellStyle name="Normal 7 15 3 2" xfId="9205"/>
    <cellStyle name="Normal 7 15 3 2 2" xfId="15398"/>
    <cellStyle name="Normal 7 15 3 2 2 2" xfId="35281"/>
    <cellStyle name="Normal 7 15 3 2 3" xfId="21550"/>
    <cellStyle name="Normal 7 15 3 2 3 2" xfId="41433"/>
    <cellStyle name="Normal 7 15 3 2 4" xfId="29128"/>
    <cellStyle name="Normal 7 15 3 3" xfId="12332"/>
    <cellStyle name="Normal 7 15 3 3 2" xfId="32215"/>
    <cellStyle name="Normal 7 15 3 4" xfId="18484"/>
    <cellStyle name="Normal 7 15 3 4 2" xfId="38367"/>
    <cellStyle name="Normal 7 15 3 5" xfId="26062"/>
    <cellStyle name="Normal 7 15 4" xfId="7670"/>
    <cellStyle name="Normal 7 15 4 2" xfId="13864"/>
    <cellStyle name="Normal 7 15 4 2 2" xfId="33747"/>
    <cellStyle name="Normal 7 15 4 3" xfId="20016"/>
    <cellStyle name="Normal 7 15 4 3 2" xfId="39899"/>
    <cellStyle name="Normal 7 15 4 4" xfId="27594"/>
    <cellStyle name="Normal 7 15 5" xfId="10798"/>
    <cellStyle name="Normal 7 15 5 2" xfId="30681"/>
    <cellStyle name="Normal 7 15 6" xfId="16950"/>
    <cellStyle name="Normal 7 15 6 2" xfId="36833"/>
    <cellStyle name="Normal 7 15 7" xfId="24528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2 2" xfId="36051"/>
    <cellStyle name="Normal 7 16 2 2 2 3" xfId="22320"/>
    <cellStyle name="Normal 7 16 2 2 2 3 2" xfId="42203"/>
    <cellStyle name="Normal 7 16 2 2 2 4" xfId="29898"/>
    <cellStyle name="Normal 7 16 2 2 3" xfId="13102"/>
    <cellStyle name="Normal 7 16 2 2 3 2" xfId="32985"/>
    <cellStyle name="Normal 7 16 2 2 4" xfId="19254"/>
    <cellStyle name="Normal 7 16 2 2 4 2" xfId="39137"/>
    <cellStyle name="Normal 7 16 2 2 5" xfId="26832"/>
    <cellStyle name="Normal 7 16 2 3" xfId="8440"/>
    <cellStyle name="Normal 7 16 2 3 2" xfId="14634"/>
    <cellStyle name="Normal 7 16 2 3 2 2" xfId="34517"/>
    <cellStyle name="Normal 7 16 2 3 3" xfId="20786"/>
    <cellStyle name="Normal 7 16 2 3 3 2" xfId="40669"/>
    <cellStyle name="Normal 7 16 2 3 4" xfId="28364"/>
    <cellStyle name="Normal 7 16 2 4" xfId="11568"/>
    <cellStyle name="Normal 7 16 2 4 2" xfId="31451"/>
    <cellStyle name="Normal 7 16 2 5" xfId="17720"/>
    <cellStyle name="Normal 7 16 2 5 2" xfId="37603"/>
    <cellStyle name="Normal 7 16 2 6" xfId="25298"/>
    <cellStyle name="Normal 7 16 3" xfId="6106"/>
    <cellStyle name="Normal 7 16 3 2" xfId="9206"/>
    <cellStyle name="Normal 7 16 3 2 2" xfId="15399"/>
    <cellStyle name="Normal 7 16 3 2 2 2" xfId="35282"/>
    <cellStyle name="Normal 7 16 3 2 3" xfId="21551"/>
    <cellStyle name="Normal 7 16 3 2 3 2" xfId="41434"/>
    <cellStyle name="Normal 7 16 3 2 4" xfId="29129"/>
    <cellStyle name="Normal 7 16 3 3" xfId="12333"/>
    <cellStyle name="Normal 7 16 3 3 2" xfId="32216"/>
    <cellStyle name="Normal 7 16 3 4" xfId="18485"/>
    <cellStyle name="Normal 7 16 3 4 2" xfId="38368"/>
    <cellStyle name="Normal 7 16 3 5" xfId="26063"/>
    <cellStyle name="Normal 7 16 4" xfId="7671"/>
    <cellStyle name="Normal 7 16 4 2" xfId="13865"/>
    <cellStyle name="Normal 7 16 4 2 2" xfId="33748"/>
    <cellStyle name="Normal 7 16 4 3" xfId="20017"/>
    <cellStyle name="Normal 7 16 4 3 2" xfId="39900"/>
    <cellStyle name="Normal 7 16 4 4" xfId="27595"/>
    <cellStyle name="Normal 7 16 5" xfId="10799"/>
    <cellStyle name="Normal 7 16 5 2" xfId="30682"/>
    <cellStyle name="Normal 7 16 6" xfId="16951"/>
    <cellStyle name="Normal 7 16 6 2" xfId="36834"/>
    <cellStyle name="Normal 7 16 7" xfId="24529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2 2" xfId="36052"/>
    <cellStyle name="Normal 7 17 2 2 2 3" xfId="22321"/>
    <cellStyle name="Normal 7 17 2 2 2 3 2" xfId="42204"/>
    <cellStyle name="Normal 7 17 2 2 2 4" xfId="29899"/>
    <cellStyle name="Normal 7 17 2 2 3" xfId="13103"/>
    <cellStyle name="Normal 7 17 2 2 3 2" xfId="32986"/>
    <cellStyle name="Normal 7 17 2 2 4" xfId="19255"/>
    <cellStyle name="Normal 7 17 2 2 4 2" xfId="39138"/>
    <cellStyle name="Normal 7 17 2 2 5" xfId="26833"/>
    <cellStyle name="Normal 7 17 2 3" xfId="8441"/>
    <cellStyle name="Normal 7 17 2 3 2" xfId="14635"/>
    <cellStyle name="Normal 7 17 2 3 2 2" xfId="34518"/>
    <cellStyle name="Normal 7 17 2 3 3" xfId="20787"/>
    <cellStyle name="Normal 7 17 2 3 3 2" xfId="40670"/>
    <cellStyle name="Normal 7 17 2 3 4" xfId="28365"/>
    <cellStyle name="Normal 7 17 2 4" xfId="11569"/>
    <cellStyle name="Normal 7 17 2 4 2" xfId="31452"/>
    <cellStyle name="Normal 7 17 2 5" xfId="17721"/>
    <cellStyle name="Normal 7 17 2 5 2" xfId="37604"/>
    <cellStyle name="Normal 7 17 2 6" xfId="25299"/>
    <cellStyle name="Normal 7 17 3" xfId="6107"/>
    <cellStyle name="Normal 7 17 3 2" xfId="9207"/>
    <cellStyle name="Normal 7 17 3 2 2" xfId="15400"/>
    <cellStyle name="Normal 7 17 3 2 2 2" xfId="35283"/>
    <cellStyle name="Normal 7 17 3 2 3" xfId="21552"/>
    <cellStyle name="Normal 7 17 3 2 3 2" xfId="41435"/>
    <cellStyle name="Normal 7 17 3 2 4" xfId="29130"/>
    <cellStyle name="Normal 7 17 3 3" xfId="12334"/>
    <cellStyle name="Normal 7 17 3 3 2" xfId="32217"/>
    <cellStyle name="Normal 7 17 3 4" xfId="18486"/>
    <cellStyle name="Normal 7 17 3 4 2" xfId="38369"/>
    <cellStyle name="Normal 7 17 3 5" xfId="26064"/>
    <cellStyle name="Normal 7 17 4" xfId="7672"/>
    <cellStyle name="Normal 7 17 4 2" xfId="13866"/>
    <cellStyle name="Normal 7 17 4 2 2" xfId="33749"/>
    <cellStyle name="Normal 7 17 4 3" xfId="20018"/>
    <cellStyle name="Normal 7 17 4 3 2" xfId="39901"/>
    <cellStyle name="Normal 7 17 4 4" xfId="27596"/>
    <cellStyle name="Normal 7 17 5" xfId="10800"/>
    <cellStyle name="Normal 7 17 5 2" xfId="30683"/>
    <cellStyle name="Normal 7 17 6" xfId="16952"/>
    <cellStyle name="Normal 7 17 6 2" xfId="36835"/>
    <cellStyle name="Normal 7 17 7" xfId="24530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2 2" xfId="36053"/>
    <cellStyle name="Normal 7 18 2 2 2 3" xfId="22322"/>
    <cellStyle name="Normal 7 18 2 2 2 3 2" xfId="42205"/>
    <cellStyle name="Normal 7 18 2 2 2 4" xfId="29900"/>
    <cellStyle name="Normal 7 18 2 2 3" xfId="13104"/>
    <cellStyle name="Normal 7 18 2 2 3 2" xfId="32987"/>
    <cellStyle name="Normal 7 18 2 2 4" xfId="19256"/>
    <cellStyle name="Normal 7 18 2 2 4 2" xfId="39139"/>
    <cellStyle name="Normal 7 18 2 2 5" xfId="26834"/>
    <cellStyle name="Normal 7 18 2 3" xfId="8442"/>
    <cellStyle name="Normal 7 18 2 3 2" xfId="14636"/>
    <cellStyle name="Normal 7 18 2 3 2 2" xfId="34519"/>
    <cellStyle name="Normal 7 18 2 3 3" xfId="20788"/>
    <cellStyle name="Normal 7 18 2 3 3 2" xfId="40671"/>
    <cellStyle name="Normal 7 18 2 3 4" xfId="28366"/>
    <cellStyle name="Normal 7 18 2 4" xfId="11570"/>
    <cellStyle name="Normal 7 18 2 4 2" xfId="31453"/>
    <cellStyle name="Normal 7 18 2 5" xfId="17722"/>
    <cellStyle name="Normal 7 18 2 5 2" xfId="37605"/>
    <cellStyle name="Normal 7 18 2 6" xfId="25300"/>
    <cellStyle name="Normal 7 18 3" xfId="6108"/>
    <cellStyle name="Normal 7 18 3 2" xfId="9208"/>
    <cellStyle name="Normal 7 18 3 2 2" xfId="15401"/>
    <cellStyle name="Normal 7 18 3 2 2 2" xfId="35284"/>
    <cellStyle name="Normal 7 18 3 2 3" xfId="21553"/>
    <cellStyle name="Normal 7 18 3 2 3 2" xfId="41436"/>
    <cellStyle name="Normal 7 18 3 2 4" xfId="29131"/>
    <cellStyle name="Normal 7 18 3 3" xfId="12335"/>
    <cellStyle name="Normal 7 18 3 3 2" xfId="32218"/>
    <cellStyle name="Normal 7 18 3 4" xfId="18487"/>
    <cellStyle name="Normal 7 18 3 4 2" xfId="38370"/>
    <cellStyle name="Normal 7 18 3 5" xfId="26065"/>
    <cellStyle name="Normal 7 18 4" xfId="7673"/>
    <cellStyle name="Normal 7 18 4 2" xfId="13867"/>
    <cellStyle name="Normal 7 18 4 2 2" xfId="33750"/>
    <cellStyle name="Normal 7 18 4 3" xfId="20019"/>
    <cellStyle name="Normal 7 18 4 3 2" xfId="39902"/>
    <cellStyle name="Normal 7 18 4 4" xfId="27597"/>
    <cellStyle name="Normal 7 18 5" xfId="10801"/>
    <cellStyle name="Normal 7 18 5 2" xfId="30684"/>
    <cellStyle name="Normal 7 18 6" xfId="16953"/>
    <cellStyle name="Normal 7 18 6 2" xfId="36836"/>
    <cellStyle name="Normal 7 18 7" xfId="24531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2 2" xfId="36054"/>
    <cellStyle name="Normal 7 19 2 2 2 3" xfId="22323"/>
    <cellStyle name="Normal 7 19 2 2 2 3 2" xfId="42206"/>
    <cellStyle name="Normal 7 19 2 2 2 4" xfId="29901"/>
    <cellStyle name="Normal 7 19 2 2 3" xfId="13105"/>
    <cellStyle name="Normal 7 19 2 2 3 2" xfId="32988"/>
    <cellStyle name="Normal 7 19 2 2 4" xfId="19257"/>
    <cellStyle name="Normal 7 19 2 2 4 2" xfId="39140"/>
    <cellStyle name="Normal 7 19 2 2 5" xfId="26835"/>
    <cellStyle name="Normal 7 19 2 3" xfId="8443"/>
    <cellStyle name="Normal 7 19 2 3 2" xfId="14637"/>
    <cellStyle name="Normal 7 19 2 3 2 2" xfId="34520"/>
    <cellStyle name="Normal 7 19 2 3 3" xfId="20789"/>
    <cellStyle name="Normal 7 19 2 3 3 2" xfId="40672"/>
    <cellStyle name="Normal 7 19 2 3 4" xfId="28367"/>
    <cellStyle name="Normal 7 19 2 4" xfId="11571"/>
    <cellStyle name="Normal 7 19 2 4 2" xfId="31454"/>
    <cellStyle name="Normal 7 19 2 5" xfId="17723"/>
    <cellStyle name="Normal 7 19 2 5 2" xfId="37606"/>
    <cellStyle name="Normal 7 19 2 6" xfId="25301"/>
    <cellStyle name="Normal 7 19 3" xfId="6109"/>
    <cellStyle name="Normal 7 19 3 2" xfId="9209"/>
    <cellStyle name="Normal 7 19 3 2 2" xfId="15402"/>
    <cellStyle name="Normal 7 19 3 2 2 2" xfId="35285"/>
    <cellStyle name="Normal 7 19 3 2 3" xfId="21554"/>
    <cellStyle name="Normal 7 19 3 2 3 2" xfId="41437"/>
    <cellStyle name="Normal 7 19 3 2 4" xfId="29132"/>
    <cellStyle name="Normal 7 19 3 3" xfId="12336"/>
    <cellStyle name="Normal 7 19 3 3 2" xfId="32219"/>
    <cellStyle name="Normal 7 19 3 4" xfId="18488"/>
    <cellStyle name="Normal 7 19 3 4 2" xfId="38371"/>
    <cellStyle name="Normal 7 19 3 5" xfId="26066"/>
    <cellStyle name="Normal 7 19 4" xfId="7674"/>
    <cellStyle name="Normal 7 19 4 2" xfId="13868"/>
    <cellStyle name="Normal 7 19 4 2 2" xfId="33751"/>
    <cellStyle name="Normal 7 19 4 3" xfId="20020"/>
    <cellStyle name="Normal 7 19 4 3 2" xfId="39903"/>
    <cellStyle name="Normal 7 19 4 4" xfId="27598"/>
    <cellStyle name="Normal 7 19 5" xfId="10802"/>
    <cellStyle name="Normal 7 19 5 2" xfId="30685"/>
    <cellStyle name="Normal 7 19 6" xfId="16954"/>
    <cellStyle name="Normal 7 19 6 2" xfId="36837"/>
    <cellStyle name="Normal 7 19 7" xfId="24532"/>
    <cellStyle name="Normal 7 2" xfId="34"/>
    <cellStyle name="Normal 7 2 10" xfId="10803"/>
    <cellStyle name="Normal 7 2 10 2" xfId="30686"/>
    <cellStyle name="Normal 7 2 11" xfId="16955"/>
    <cellStyle name="Normal 7 2 11 2" xfId="36838"/>
    <cellStyle name="Normal 7 2 12" xfId="4086"/>
    <cellStyle name="Normal 7 2 12 2" xfId="24533"/>
    <cellStyle name="Normal 7 2 13" xfId="23288"/>
    <cellStyle name="Normal 7 2 14" xfId="23334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2 2" xfId="36056"/>
    <cellStyle name="Normal 7 2 2 2 2 2 3" xfId="22325"/>
    <cellStyle name="Normal 7 2 2 2 2 2 3 2" xfId="42208"/>
    <cellStyle name="Normal 7 2 2 2 2 2 4" xfId="29903"/>
    <cellStyle name="Normal 7 2 2 2 2 3" xfId="13107"/>
    <cellStyle name="Normal 7 2 2 2 2 3 2" xfId="32990"/>
    <cellStyle name="Normal 7 2 2 2 2 4" xfId="19259"/>
    <cellStyle name="Normal 7 2 2 2 2 4 2" xfId="39142"/>
    <cellStyle name="Normal 7 2 2 2 2 5" xfId="6894"/>
    <cellStyle name="Normal 7 2 2 2 2 5 2" xfId="26837"/>
    <cellStyle name="Normal 7 2 2 2 2 6" xfId="23386"/>
    <cellStyle name="Normal 7 2 2 2 3" xfId="8445"/>
    <cellStyle name="Normal 7 2 2 2 3 2" xfId="14639"/>
    <cellStyle name="Normal 7 2 2 2 3 2 2" xfId="34522"/>
    <cellStyle name="Normal 7 2 2 2 3 3" xfId="20791"/>
    <cellStyle name="Normal 7 2 2 2 3 3 2" xfId="40674"/>
    <cellStyle name="Normal 7 2 2 2 3 4" xfId="28369"/>
    <cellStyle name="Normal 7 2 2 2 4" xfId="11573"/>
    <cellStyle name="Normal 7 2 2 2 4 2" xfId="31456"/>
    <cellStyle name="Normal 7 2 2 2 5" xfId="17725"/>
    <cellStyle name="Normal 7 2 2 2 5 2" xfId="37608"/>
    <cellStyle name="Normal 7 2 2 2 6" xfId="5269"/>
    <cellStyle name="Normal 7 2 2 2 6 2" xfId="25303"/>
    <cellStyle name="Normal 7 2 2 2 7" xfId="23348"/>
    <cellStyle name="Normal 7 2 2 3" xfId="127"/>
    <cellStyle name="Normal 7 2 2 3 2" xfId="9211"/>
    <cellStyle name="Normal 7 2 2 3 2 2" xfId="15404"/>
    <cellStyle name="Normal 7 2 2 3 2 2 2" xfId="35287"/>
    <cellStyle name="Normal 7 2 2 3 2 3" xfId="21556"/>
    <cellStyle name="Normal 7 2 2 3 2 3 2" xfId="41439"/>
    <cellStyle name="Normal 7 2 2 3 2 4" xfId="29134"/>
    <cellStyle name="Normal 7 2 2 3 3" xfId="12338"/>
    <cellStyle name="Normal 7 2 2 3 3 2" xfId="32221"/>
    <cellStyle name="Normal 7 2 2 3 4" xfId="18490"/>
    <cellStyle name="Normal 7 2 2 3 4 2" xfId="38373"/>
    <cellStyle name="Normal 7 2 2 3 5" xfId="6111"/>
    <cellStyle name="Normal 7 2 2 3 5 2" xfId="26068"/>
    <cellStyle name="Normal 7 2 2 3 6" xfId="23373"/>
    <cellStyle name="Normal 7 2 2 4" xfId="113"/>
    <cellStyle name="Normal 7 2 2 4 2" xfId="13870"/>
    <cellStyle name="Normal 7 2 2 4 2 2" xfId="33753"/>
    <cellStyle name="Normal 7 2 2 4 3" xfId="20022"/>
    <cellStyle name="Normal 7 2 2 4 3 2" xfId="39905"/>
    <cellStyle name="Normal 7 2 2 4 4" xfId="7676"/>
    <cellStyle name="Normal 7 2 2 4 4 2" xfId="27600"/>
    <cellStyle name="Normal 7 2 2 4 5" xfId="23361"/>
    <cellStyle name="Normal 7 2 2 5" xfId="10804"/>
    <cellStyle name="Normal 7 2 2 5 2" xfId="30687"/>
    <cellStyle name="Normal 7 2 2 6" xfId="16956"/>
    <cellStyle name="Normal 7 2 2 6 2" xfId="36839"/>
    <cellStyle name="Normal 7 2 2 7" xfId="4087"/>
    <cellStyle name="Normal 7 2 2 7 2" xfId="24534"/>
    <cellStyle name="Normal 7 2 2 8" xfId="23335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2 2" xfId="36057"/>
    <cellStyle name="Normal 7 2 3 2 2 2 3" xfId="22326"/>
    <cellStyle name="Normal 7 2 3 2 2 2 3 2" xfId="42209"/>
    <cellStyle name="Normal 7 2 3 2 2 2 4" xfId="29904"/>
    <cellStyle name="Normal 7 2 3 2 2 3" xfId="13108"/>
    <cellStyle name="Normal 7 2 3 2 2 3 2" xfId="32991"/>
    <cellStyle name="Normal 7 2 3 2 2 4" xfId="19260"/>
    <cellStyle name="Normal 7 2 3 2 2 4 2" xfId="39143"/>
    <cellStyle name="Normal 7 2 3 2 2 5" xfId="26838"/>
    <cellStyle name="Normal 7 2 3 2 3" xfId="8446"/>
    <cellStyle name="Normal 7 2 3 2 3 2" xfId="14640"/>
    <cellStyle name="Normal 7 2 3 2 3 2 2" xfId="34523"/>
    <cellStyle name="Normal 7 2 3 2 3 3" xfId="20792"/>
    <cellStyle name="Normal 7 2 3 2 3 3 2" xfId="40675"/>
    <cellStyle name="Normal 7 2 3 2 3 4" xfId="28370"/>
    <cellStyle name="Normal 7 2 3 2 4" xfId="11574"/>
    <cellStyle name="Normal 7 2 3 2 4 2" xfId="31457"/>
    <cellStyle name="Normal 7 2 3 2 5" xfId="17726"/>
    <cellStyle name="Normal 7 2 3 2 5 2" xfId="37609"/>
    <cellStyle name="Normal 7 2 3 2 6" xfId="5270"/>
    <cellStyle name="Normal 7 2 3 2 6 2" xfId="25304"/>
    <cellStyle name="Normal 7 2 3 2 7" xfId="23385"/>
    <cellStyle name="Normal 7 2 3 3" xfId="6112"/>
    <cellStyle name="Normal 7 2 3 3 2" xfId="9212"/>
    <cellStyle name="Normal 7 2 3 3 2 2" xfId="15405"/>
    <cellStyle name="Normal 7 2 3 3 2 2 2" xfId="35288"/>
    <cellStyle name="Normal 7 2 3 3 2 3" xfId="21557"/>
    <cellStyle name="Normal 7 2 3 3 2 3 2" xfId="41440"/>
    <cellStyle name="Normal 7 2 3 3 2 4" xfId="29135"/>
    <cellStyle name="Normal 7 2 3 3 3" xfId="12339"/>
    <cellStyle name="Normal 7 2 3 3 3 2" xfId="32222"/>
    <cellStyle name="Normal 7 2 3 3 4" xfId="18491"/>
    <cellStyle name="Normal 7 2 3 3 4 2" xfId="38374"/>
    <cellStyle name="Normal 7 2 3 3 5" xfId="26069"/>
    <cellStyle name="Normal 7 2 3 4" xfId="7677"/>
    <cellStyle name="Normal 7 2 3 4 2" xfId="13871"/>
    <cellStyle name="Normal 7 2 3 4 2 2" xfId="33754"/>
    <cellStyle name="Normal 7 2 3 4 3" xfId="20023"/>
    <cellStyle name="Normal 7 2 3 4 3 2" xfId="39906"/>
    <cellStyle name="Normal 7 2 3 4 4" xfId="27601"/>
    <cellStyle name="Normal 7 2 3 5" xfId="10805"/>
    <cellStyle name="Normal 7 2 3 5 2" xfId="30688"/>
    <cellStyle name="Normal 7 2 3 6" xfId="16957"/>
    <cellStyle name="Normal 7 2 3 6 2" xfId="36840"/>
    <cellStyle name="Normal 7 2 3 7" xfId="4088"/>
    <cellStyle name="Normal 7 2 3 7 2" xfId="24535"/>
    <cellStyle name="Normal 7 2 3 8" xfId="23347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2 2" xfId="36058"/>
    <cellStyle name="Normal 7 2 4 2 2 2 3" xfId="22327"/>
    <cellStyle name="Normal 7 2 4 2 2 2 3 2" xfId="42210"/>
    <cellStyle name="Normal 7 2 4 2 2 2 4" xfId="29905"/>
    <cellStyle name="Normal 7 2 4 2 2 3" xfId="13109"/>
    <cellStyle name="Normal 7 2 4 2 2 3 2" xfId="32992"/>
    <cellStyle name="Normal 7 2 4 2 2 4" xfId="19261"/>
    <cellStyle name="Normal 7 2 4 2 2 4 2" xfId="39144"/>
    <cellStyle name="Normal 7 2 4 2 2 5" xfId="26839"/>
    <cellStyle name="Normal 7 2 4 2 3" xfId="8447"/>
    <cellStyle name="Normal 7 2 4 2 3 2" xfId="14641"/>
    <cellStyle name="Normal 7 2 4 2 3 2 2" xfId="34524"/>
    <cellStyle name="Normal 7 2 4 2 3 3" xfId="20793"/>
    <cellStyle name="Normal 7 2 4 2 3 3 2" xfId="40676"/>
    <cellStyle name="Normal 7 2 4 2 3 4" xfId="28371"/>
    <cellStyle name="Normal 7 2 4 2 4" xfId="11575"/>
    <cellStyle name="Normal 7 2 4 2 4 2" xfId="31458"/>
    <cellStyle name="Normal 7 2 4 2 5" xfId="17727"/>
    <cellStyle name="Normal 7 2 4 2 5 2" xfId="37610"/>
    <cellStyle name="Normal 7 2 4 2 6" xfId="25305"/>
    <cellStyle name="Normal 7 2 4 3" xfId="6113"/>
    <cellStyle name="Normal 7 2 4 3 2" xfId="9213"/>
    <cellStyle name="Normal 7 2 4 3 2 2" xfId="15406"/>
    <cellStyle name="Normal 7 2 4 3 2 2 2" xfId="35289"/>
    <cellStyle name="Normal 7 2 4 3 2 3" xfId="21558"/>
    <cellStyle name="Normal 7 2 4 3 2 3 2" xfId="41441"/>
    <cellStyle name="Normal 7 2 4 3 2 4" xfId="29136"/>
    <cellStyle name="Normal 7 2 4 3 3" xfId="12340"/>
    <cellStyle name="Normal 7 2 4 3 3 2" xfId="32223"/>
    <cellStyle name="Normal 7 2 4 3 4" xfId="18492"/>
    <cellStyle name="Normal 7 2 4 3 4 2" xfId="38375"/>
    <cellStyle name="Normal 7 2 4 3 5" xfId="26070"/>
    <cellStyle name="Normal 7 2 4 4" xfId="7678"/>
    <cellStyle name="Normal 7 2 4 4 2" xfId="13872"/>
    <cellStyle name="Normal 7 2 4 4 2 2" xfId="33755"/>
    <cellStyle name="Normal 7 2 4 4 3" xfId="20024"/>
    <cellStyle name="Normal 7 2 4 4 3 2" xfId="39907"/>
    <cellStyle name="Normal 7 2 4 4 4" xfId="27602"/>
    <cellStyle name="Normal 7 2 4 5" xfId="10806"/>
    <cellStyle name="Normal 7 2 4 5 2" xfId="30689"/>
    <cellStyle name="Normal 7 2 4 6" xfId="16958"/>
    <cellStyle name="Normal 7 2 4 6 2" xfId="36841"/>
    <cellStyle name="Normal 7 2 4 7" xfId="4089"/>
    <cellStyle name="Normal 7 2 4 7 2" xfId="24536"/>
    <cellStyle name="Normal 7 2 4 8" xfId="23372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2 2" xfId="36059"/>
    <cellStyle name="Normal 7 2 5 2 2 2 3" xfId="22328"/>
    <cellStyle name="Normal 7 2 5 2 2 2 3 2" xfId="42211"/>
    <cellStyle name="Normal 7 2 5 2 2 2 4" xfId="29906"/>
    <cellStyle name="Normal 7 2 5 2 2 3" xfId="13110"/>
    <cellStyle name="Normal 7 2 5 2 2 3 2" xfId="32993"/>
    <cellStyle name="Normal 7 2 5 2 2 4" xfId="19262"/>
    <cellStyle name="Normal 7 2 5 2 2 4 2" xfId="39145"/>
    <cellStyle name="Normal 7 2 5 2 2 5" xfId="26840"/>
    <cellStyle name="Normal 7 2 5 2 3" xfId="8448"/>
    <cellStyle name="Normal 7 2 5 2 3 2" xfId="14642"/>
    <cellStyle name="Normal 7 2 5 2 3 2 2" xfId="34525"/>
    <cellStyle name="Normal 7 2 5 2 3 3" xfId="20794"/>
    <cellStyle name="Normal 7 2 5 2 3 3 2" xfId="40677"/>
    <cellStyle name="Normal 7 2 5 2 3 4" xfId="28372"/>
    <cellStyle name="Normal 7 2 5 2 4" xfId="11576"/>
    <cellStyle name="Normal 7 2 5 2 4 2" xfId="31459"/>
    <cellStyle name="Normal 7 2 5 2 5" xfId="17728"/>
    <cellStyle name="Normal 7 2 5 2 5 2" xfId="37611"/>
    <cellStyle name="Normal 7 2 5 2 6" xfId="25306"/>
    <cellStyle name="Normal 7 2 5 3" xfId="6114"/>
    <cellStyle name="Normal 7 2 5 3 2" xfId="9214"/>
    <cellStyle name="Normal 7 2 5 3 2 2" xfId="15407"/>
    <cellStyle name="Normal 7 2 5 3 2 2 2" xfId="35290"/>
    <cellStyle name="Normal 7 2 5 3 2 3" xfId="21559"/>
    <cellStyle name="Normal 7 2 5 3 2 3 2" xfId="41442"/>
    <cellStyle name="Normal 7 2 5 3 2 4" xfId="29137"/>
    <cellStyle name="Normal 7 2 5 3 3" xfId="12341"/>
    <cellStyle name="Normal 7 2 5 3 3 2" xfId="32224"/>
    <cellStyle name="Normal 7 2 5 3 4" xfId="18493"/>
    <cellStyle name="Normal 7 2 5 3 4 2" xfId="38376"/>
    <cellStyle name="Normal 7 2 5 3 5" xfId="26071"/>
    <cellStyle name="Normal 7 2 5 4" xfId="7679"/>
    <cellStyle name="Normal 7 2 5 4 2" xfId="13873"/>
    <cellStyle name="Normal 7 2 5 4 2 2" xfId="33756"/>
    <cellStyle name="Normal 7 2 5 4 3" xfId="20025"/>
    <cellStyle name="Normal 7 2 5 4 3 2" xfId="39908"/>
    <cellStyle name="Normal 7 2 5 4 4" xfId="27603"/>
    <cellStyle name="Normal 7 2 5 5" xfId="10807"/>
    <cellStyle name="Normal 7 2 5 5 2" xfId="30690"/>
    <cellStyle name="Normal 7 2 5 6" xfId="16959"/>
    <cellStyle name="Normal 7 2 5 6 2" xfId="36842"/>
    <cellStyle name="Normal 7 2 5 7" xfId="4090"/>
    <cellStyle name="Normal 7 2 5 7 2" xfId="24537"/>
    <cellStyle name="Normal 7 2 5 8" xfId="23360"/>
    <cellStyle name="Normal 7 2 6" xfId="5268"/>
    <cellStyle name="Normal 7 2 6 2" xfId="6893"/>
    <cellStyle name="Normal 7 2 6 2 2" xfId="9979"/>
    <cellStyle name="Normal 7 2 6 2 2 2" xfId="16172"/>
    <cellStyle name="Normal 7 2 6 2 2 2 2" xfId="36055"/>
    <cellStyle name="Normal 7 2 6 2 2 3" xfId="22324"/>
    <cellStyle name="Normal 7 2 6 2 2 3 2" xfId="42207"/>
    <cellStyle name="Normal 7 2 6 2 2 4" xfId="29902"/>
    <cellStyle name="Normal 7 2 6 2 3" xfId="13106"/>
    <cellStyle name="Normal 7 2 6 2 3 2" xfId="32989"/>
    <cellStyle name="Normal 7 2 6 2 4" xfId="19258"/>
    <cellStyle name="Normal 7 2 6 2 4 2" xfId="39141"/>
    <cellStyle name="Normal 7 2 6 2 5" xfId="26836"/>
    <cellStyle name="Normal 7 2 6 3" xfId="8444"/>
    <cellStyle name="Normal 7 2 6 3 2" xfId="14638"/>
    <cellStyle name="Normal 7 2 6 3 2 2" xfId="34521"/>
    <cellStyle name="Normal 7 2 6 3 3" xfId="20790"/>
    <cellStyle name="Normal 7 2 6 3 3 2" xfId="40673"/>
    <cellStyle name="Normal 7 2 6 3 4" xfId="28368"/>
    <cellStyle name="Normal 7 2 6 4" xfId="11572"/>
    <cellStyle name="Normal 7 2 6 4 2" xfId="31455"/>
    <cellStyle name="Normal 7 2 6 5" xfId="17724"/>
    <cellStyle name="Normal 7 2 6 5 2" xfId="37607"/>
    <cellStyle name="Normal 7 2 6 6" xfId="25302"/>
    <cellStyle name="Normal 7 2 7" xfId="6110"/>
    <cellStyle name="Normal 7 2 7 2" xfId="9210"/>
    <cellStyle name="Normal 7 2 7 2 2" xfId="15403"/>
    <cellStyle name="Normal 7 2 7 2 2 2" xfId="35286"/>
    <cellStyle name="Normal 7 2 7 2 3" xfId="21555"/>
    <cellStyle name="Normal 7 2 7 2 3 2" xfId="41438"/>
    <cellStyle name="Normal 7 2 7 2 4" xfId="29133"/>
    <cellStyle name="Normal 7 2 7 3" xfId="12337"/>
    <cellStyle name="Normal 7 2 7 3 2" xfId="32220"/>
    <cellStyle name="Normal 7 2 7 4" xfId="18489"/>
    <cellStyle name="Normal 7 2 7 4 2" xfId="38372"/>
    <cellStyle name="Normal 7 2 7 5" xfId="26067"/>
    <cellStyle name="Normal 7 2 8" xfId="7675"/>
    <cellStyle name="Normal 7 2 8 2" xfId="13869"/>
    <cellStyle name="Normal 7 2 8 2 2" xfId="33752"/>
    <cellStyle name="Normal 7 2 8 3" xfId="20021"/>
    <cellStyle name="Normal 7 2 8 3 2" xfId="39904"/>
    <cellStyle name="Normal 7 2 8 4" xfId="27599"/>
    <cellStyle name="Normal 7 2 9" xfId="10249"/>
    <cellStyle name="Normal 7 2 9 2" xfId="16421"/>
    <cellStyle name="Normal 7 2 9 2 2" xfId="36304"/>
    <cellStyle name="Normal 7 2 9 3" xfId="22573"/>
    <cellStyle name="Normal 7 2 9 3 2" xfId="42456"/>
    <cellStyle name="Normal 7 2 9 4" xfId="30151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2 2" xfId="36060"/>
    <cellStyle name="Normal 7 20 2 2 2 3" xfId="22329"/>
    <cellStyle name="Normal 7 20 2 2 2 3 2" xfId="42212"/>
    <cellStyle name="Normal 7 20 2 2 2 4" xfId="29907"/>
    <cellStyle name="Normal 7 20 2 2 3" xfId="13111"/>
    <cellStyle name="Normal 7 20 2 2 3 2" xfId="32994"/>
    <cellStyle name="Normal 7 20 2 2 4" xfId="19263"/>
    <cellStyle name="Normal 7 20 2 2 4 2" xfId="39146"/>
    <cellStyle name="Normal 7 20 2 2 5" xfId="26841"/>
    <cellStyle name="Normal 7 20 2 3" xfId="8449"/>
    <cellStyle name="Normal 7 20 2 3 2" xfId="14643"/>
    <cellStyle name="Normal 7 20 2 3 2 2" xfId="34526"/>
    <cellStyle name="Normal 7 20 2 3 3" xfId="20795"/>
    <cellStyle name="Normal 7 20 2 3 3 2" xfId="40678"/>
    <cellStyle name="Normal 7 20 2 3 4" xfId="28373"/>
    <cellStyle name="Normal 7 20 2 4" xfId="11577"/>
    <cellStyle name="Normal 7 20 2 4 2" xfId="31460"/>
    <cellStyle name="Normal 7 20 2 5" xfId="17729"/>
    <cellStyle name="Normal 7 20 2 5 2" xfId="37612"/>
    <cellStyle name="Normal 7 20 2 6" xfId="25307"/>
    <cellStyle name="Normal 7 20 3" xfId="6115"/>
    <cellStyle name="Normal 7 20 3 2" xfId="9215"/>
    <cellStyle name="Normal 7 20 3 2 2" xfId="15408"/>
    <cellStyle name="Normal 7 20 3 2 2 2" xfId="35291"/>
    <cellStyle name="Normal 7 20 3 2 3" xfId="21560"/>
    <cellStyle name="Normal 7 20 3 2 3 2" xfId="41443"/>
    <cellStyle name="Normal 7 20 3 2 4" xfId="29138"/>
    <cellStyle name="Normal 7 20 3 3" xfId="12342"/>
    <cellStyle name="Normal 7 20 3 3 2" xfId="32225"/>
    <cellStyle name="Normal 7 20 3 4" xfId="18494"/>
    <cellStyle name="Normal 7 20 3 4 2" xfId="38377"/>
    <cellStyle name="Normal 7 20 3 5" xfId="26072"/>
    <cellStyle name="Normal 7 20 4" xfId="7680"/>
    <cellStyle name="Normal 7 20 4 2" xfId="13874"/>
    <cellStyle name="Normal 7 20 4 2 2" xfId="33757"/>
    <cellStyle name="Normal 7 20 4 3" xfId="20026"/>
    <cellStyle name="Normal 7 20 4 3 2" xfId="39909"/>
    <cellStyle name="Normal 7 20 4 4" xfId="27604"/>
    <cellStyle name="Normal 7 20 5" xfId="10808"/>
    <cellStyle name="Normal 7 20 5 2" xfId="30691"/>
    <cellStyle name="Normal 7 20 6" xfId="16960"/>
    <cellStyle name="Normal 7 20 6 2" xfId="36843"/>
    <cellStyle name="Normal 7 20 7" xfId="24538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2 2" xfId="36061"/>
    <cellStyle name="Normal 7 22 2 2 2 3" xfId="22330"/>
    <cellStyle name="Normal 7 22 2 2 2 3 2" xfId="42213"/>
    <cellStyle name="Normal 7 22 2 2 2 4" xfId="29908"/>
    <cellStyle name="Normal 7 22 2 2 3" xfId="13112"/>
    <cellStyle name="Normal 7 22 2 2 3 2" xfId="32995"/>
    <cellStyle name="Normal 7 22 2 2 4" xfId="19264"/>
    <cellStyle name="Normal 7 22 2 2 4 2" xfId="39147"/>
    <cellStyle name="Normal 7 22 2 2 5" xfId="26842"/>
    <cellStyle name="Normal 7 22 2 3" xfId="8450"/>
    <cellStyle name="Normal 7 22 2 3 2" xfId="14644"/>
    <cellStyle name="Normal 7 22 2 3 2 2" xfId="34527"/>
    <cellStyle name="Normal 7 22 2 3 3" xfId="20796"/>
    <cellStyle name="Normal 7 22 2 3 3 2" xfId="40679"/>
    <cellStyle name="Normal 7 22 2 3 4" xfId="28374"/>
    <cellStyle name="Normal 7 22 2 4" xfId="11578"/>
    <cellStyle name="Normal 7 22 2 4 2" xfId="31461"/>
    <cellStyle name="Normal 7 22 2 5" xfId="17730"/>
    <cellStyle name="Normal 7 22 2 5 2" xfId="37613"/>
    <cellStyle name="Normal 7 22 2 6" xfId="25308"/>
    <cellStyle name="Normal 7 22 3" xfId="6116"/>
    <cellStyle name="Normal 7 22 3 2" xfId="9216"/>
    <cellStyle name="Normal 7 22 3 2 2" xfId="15409"/>
    <cellStyle name="Normal 7 22 3 2 2 2" xfId="35292"/>
    <cellStyle name="Normal 7 22 3 2 3" xfId="21561"/>
    <cellStyle name="Normal 7 22 3 2 3 2" xfId="41444"/>
    <cellStyle name="Normal 7 22 3 2 4" xfId="29139"/>
    <cellStyle name="Normal 7 22 3 3" xfId="12343"/>
    <cellStyle name="Normal 7 22 3 3 2" xfId="32226"/>
    <cellStyle name="Normal 7 22 3 4" xfId="18495"/>
    <cellStyle name="Normal 7 22 3 4 2" xfId="38378"/>
    <cellStyle name="Normal 7 22 3 5" xfId="26073"/>
    <cellStyle name="Normal 7 22 4" xfId="7681"/>
    <cellStyle name="Normal 7 22 4 2" xfId="13875"/>
    <cellStyle name="Normal 7 22 4 2 2" xfId="33758"/>
    <cellStyle name="Normal 7 22 4 3" xfId="20027"/>
    <cellStyle name="Normal 7 22 4 3 2" xfId="39910"/>
    <cellStyle name="Normal 7 22 4 4" xfId="27605"/>
    <cellStyle name="Normal 7 22 5" xfId="10809"/>
    <cellStyle name="Normal 7 22 5 2" xfId="30692"/>
    <cellStyle name="Normal 7 22 6" xfId="16961"/>
    <cellStyle name="Normal 7 22 6 2" xfId="36844"/>
    <cellStyle name="Normal 7 22 7" xfId="24539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2 2" xfId="36044"/>
    <cellStyle name="Normal 7 25 2 2 2 3" xfId="22313"/>
    <cellStyle name="Normal 7 25 2 2 2 3 2" xfId="42196"/>
    <cellStyle name="Normal 7 25 2 2 2 4" xfId="29891"/>
    <cellStyle name="Normal 7 25 2 2 3" xfId="13095"/>
    <cellStyle name="Normal 7 25 2 2 3 2" xfId="32978"/>
    <cellStyle name="Normal 7 25 2 2 4" xfId="19247"/>
    <cellStyle name="Normal 7 25 2 2 4 2" xfId="39130"/>
    <cellStyle name="Normal 7 25 2 2 5" xfId="26825"/>
    <cellStyle name="Normal 7 25 2 3" xfId="8433"/>
    <cellStyle name="Normal 7 25 2 3 2" xfId="14627"/>
    <cellStyle name="Normal 7 25 2 3 2 2" xfId="34510"/>
    <cellStyle name="Normal 7 25 2 3 3" xfId="20779"/>
    <cellStyle name="Normal 7 25 2 3 3 2" xfId="40662"/>
    <cellStyle name="Normal 7 25 2 3 4" xfId="28357"/>
    <cellStyle name="Normal 7 25 2 4" xfId="11561"/>
    <cellStyle name="Normal 7 25 2 4 2" xfId="31444"/>
    <cellStyle name="Normal 7 25 2 5" xfId="17713"/>
    <cellStyle name="Normal 7 25 2 5 2" xfId="37596"/>
    <cellStyle name="Normal 7 25 2 6" xfId="25291"/>
    <cellStyle name="Normal 7 25 3" xfId="6099"/>
    <cellStyle name="Normal 7 25 3 2" xfId="9199"/>
    <cellStyle name="Normal 7 25 3 2 2" xfId="15392"/>
    <cellStyle name="Normal 7 25 3 2 2 2" xfId="35275"/>
    <cellStyle name="Normal 7 25 3 2 3" xfId="21544"/>
    <cellStyle name="Normal 7 25 3 2 3 2" xfId="41427"/>
    <cellStyle name="Normal 7 25 3 2 4" xfId="29122"/>
    <cellStyle name="Normal 7 25 3 3" xfId="12326"/>
    <cellStyle name="Normal 7 25 3 3 2" xfId="32209"/>
    <cellStyle name="Normal 7 25 3 4" xfId="18478"/>
    <cellStyle name="Normal 7 25 3 4 2" xfId="38361"/>
    <cellStyle name="Normal 7 25 3 5" xfId="26056"/>
    <cellStyle name="Normal 7 25 4" xfId="7664"/>
    <cellStyle name="Normal 7 25 4 2" xfId="13858"/>
    <cellStyle name="Normal 7 25 4 2 2" xfId="33741"/>
    <cellStyle name="Normal 7 25 4 3" xfId="20010"/>
    <cellStyle name="Normal 7 25 4 3 2" xfId="39893"/>
    <cellStyle name="Normal 7 25 4 4" xfId="27588"/>
    <cellStyle name="Normal 7 25 5" xfId="10792"/>
    <cellStyle name="Normal 7 25 5 2" xfId="30675"/>
    <cellStyle name="Normal 7 25 6" xfId="16944"/>
    <cellStyle name="Normal 7 25 6 2" xfId="36827"/>
    <cellStyle name="Normal 7 25 7" xfId="24522"/>
    <cellStyle name="Normal 7 26" xfId="10236"/>
    <cellStyle name="Normal 7 26 2" xfId="16412"/>
    <cellStyle name="Normal 7 26 2 2" xfId="36295"/>
    <cellStyle name="Normal 7 26 3" xfId="22564"/>
    <cellStyle name="Normal 7 26 3 2" xfId="42447"/>
    <cellStyle name="Normal 7 26 4" xfId="30142"/>
    <cellStyle name="Normal 7 27" xfId="1180"/>
    <cellStyle name="Normal 7 28" xfId="203"/>
    <cellStyle name="Normal 7 29" xfId="23333"/>
    <cellStyle name="Normal 7 3" xfId="95"/>
    <cellStyle name="Normal 7 3 10" xfId="16962"/>
    <cellStyle name="Normal 7 3 10 2" xfId="36845"/>
    <cellStyle name="Normal 7 3 11" xfId="4095"/>
    <cellStyle name="Normal 7 3 11 2" xfId="24540"/>
    <cellStyle name="Normal 7 3 12" xfId="23289"/>
    <cellStyle name="Normal 7 3 13" xfId="23346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2 2" xfId="36063"/>
    <cellStyle name="Normal 7 3 2 2 2 2 3" xfId="22332"/>
    <cellStyle name="Normal 7 3 2 2 2 2 3 2" xfId="42215"/>
    <cellStyle name="Normal 7 3 2 2 2 2 4" xfId="29910"/>
    <cellStyle name="Normal 7 3 2 2 2 3" xfId="13114"/>
    <cellStyle name="Normal 7 3 2 2 2 3 2" xfId="32997"/>
    <cellStyle name="Normal 7 3 2 2 2 4" xfId="19266"/>
    <cellStyle name="Normal 7 3 2 2 2 4 2" xfId="39149"/>
    <cellStyle name="Normal 7 3 2 2 2 5" xfId="26844"/>
    <cellStyle name="Normal 7 3 2 2 3" xfId="8452"/>
    <cellStyle name="Normal 7 3 2 2 3 2" xfId="14646"/>
    <cellStyle name="Normal 7 3 2 2 3 2 2" xfId="34529"/>
    <cellStyle name="Normal 7 3 2 2 3 3" xfId="20798"/>
    <cellStyle name="Normal 7 3 2 2 3 3 2" xfId="40681"/>
    <cellStyle name="Normal 7 3 2 2 3 4" xfId="28376"/>
    <cellStyle name="Normal 7 3 2 2 4" xfId="11580"/>
    <cellStyle name="Normal 7 3 2 2 4 2" xfId="31463"/>
    <cellStyle name="Normal 7 3 2 2 5" xfId="17732"/>
    <cellStyle name="Normal 7 3 2 2 5 2" xfId="37615"/>
    <cellStyle name="Normal 7 3 2 2 6" xfId="25310"/>
    <cellStyle name="Normal 7 3 2 3" xfId="6118"/>
    <cellStyle name="Normal 7 3 2 3 2" xfId="9218"/>
    <cellStyle name="Normal 7 3 2 3 2 2" xfId="15411"/>
    <cellStyle name="Normal 7 3 2 3 2 2 2" xfId="35294"/>
    <cellStyle name="Normal 7 3 2 3 2 3" xfId="21563"/>
    <cellStyle name="Normal 7 3 2 3 2 3 2" xfId="41446"/>
    <cellStyle name="Normal 7 3 2 3 2 4" xfId="29141"/>
    <cellStyle name="Normal 7 3 2 3 3" xfId="12345"/>
    <cellStyle name="Normal 7 3 2 3 3 2" xfId="32228"/>
    <cellStyle name="Normal 7 3 2 3 4" xfId="18497"/>
    <cellStyle name="Normal 7 3 2 3 4 2" xfId="38380"/>
    <cellStyle name="Normal 7 3 2 3 5" xfId="26075"/>
    <cellStyle name="Normal 7 3 2 4" xfId="7683"/>
    <cellStyle name="Normal 7 3 2 4 2" xfId="13877"/>
    <cellStyle name="Normal 7 3 2 4 2 2" xfId="33760"/>
    <cellStyle name="Normal 7 3 2 4 3" xfId="20029"/>
    <cellStyle name="Normal 7 3 2 4 3 2" xfId="39912"/>
    <cellStyle name="Normal 7 3 2 4 4" xfId="27607"/>
    <cellStyle name="Normal 7 3 2 5" xfId="10811"/>
    <cellStyle name="Normal 7 3 2 5 2" xfId="30694"/>
    <cellStyle name="Normal 7 3 2 6" xfId="16963"/>
    <cellStyle name="Normal 7 3 2 6 2" xfId="36846"/>
    <cellStyle name="Normal 7 3 2 7" xfId="4096"/>
    <cellStyle name="Normal 7 3 2 7 2" xfId="24541"/>
    <cellStyle name="Normal 7 3 2 8" xfId="23384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2 2" xfId="36064"/>
    <cellStyle name="Normal 7 3 3 2 2 2 3" xfId="22333"/>
    <cellStyle name="Normal 7 3 3 2 2 2 3 2" xfId="42216"/>
    <cellStyle name="Normal 7 3 3 2 2 2 4" xfId="29911"/>
    <cellStyle name="Normal 7 3 3 2 2 3" xfId="13115"/>
    <cellStyle name="Normal 7 3 3 2 2 3 2" xfId="32998"/>
    <cellStyle name="Normal 7 3 3 2 2 4" xfId="19267"/>
    <cellStyle name="Normal 7 3 3 2 2 4 2" xfId="39150"/>
    <cellStyle name="Normal 7 3 3 2 2 5" xfId="26845"/>
    <cellStyle name="Normal 7 3 3 2 3" xfId="8453"/>
    <cellStyle name="Normal 7 3 3 2 3 2" xfId="14647"/>
    <cellStyle name="Normal 7 3 3 2 3 2 2" xfId="34530"/>
    <cellStyle name="Normal 7 3 3 2 3 3" xfId="20799"/>
    <cellStyle name="Normal 7 3 3 2 3 3 2" xfId="40682"/>
    <cellStyle name="Normal 7 3 3 2 3 4" xfId="28377"/>
    <cellStyle name="Normal 7 3 3 2 4" xfId="11581"/>
    <cellStyle name="Normal 7 3 3 2 4 2" xfId="31464"/>
    <cellStyle name="Normal 7 3 3 2 5" xfId="17733"/>
    <cellStyle name="Normal 7 3 3 2 5 2" xfId="37616"/>
    <cellStyle name="Normal 7 3 3 2 6" xfId="25311"/>
    <cellStyle name="Normal 7 3 3 3" xfId="6119"/>
    <cellStyle name="Normal 7 3 3 3 2" xfId="9219"/>
    <cellStyle name="Normal 7 3 3 3 2 2" xfId="15412"/>
    <cellStyle name="Normal 7 3 3 3 2 2 2" xfId="35295"/>
    <cellStyle name="Normal 7 3 3 3 2 3" xfId="21564"/>
    <cellStyle name="Normal 7 3 3 3 2 3 2" xfId="41447"/>
    <cellStyle name="Normal 7 3 3 3 2 4" xfId="29142"/>
    <cellStyle name="Normal 7 3 3 3 3" xfId="12346"/>
    <cellStyle name="Normal 7 3 3 3 3 2" xfId="32229"/>
    <cellStyle name="Normal 7 3 3 3 4" xfId="18498"/>
    <cellStyle name="Normal 7 3 3 3 4 2" xfId="38381"/>
    <cellStyle name="Normal 7 3 3 3 5" xfId="26076"/>
    <cellStyle name="Normal 7 3 3 4" xfId="7684"/>
    <cellStyle name="Normal 7 3 3 4 2" xfId="13878"/>
    <cellStyle name="Normal 7 3 3 4 2 2" xfId="33761"/>
    <cellStyle name="Normal 7 3 3 4 3" xfId="20030"/>
    <cellStyle name="Normal 7 3 3 4 3 2" xfId="39913"/>
    <cellStyle name="Normal 7 3 3 4 4" xfId="27608"/>
    <cellStyle name="Normal 7 3 3 5" xfId="10812"/>
    <cellStyle name="Normal 7 3 3 5 2" xfId="30695"/>
    <cellStyle name="Normal 7 3 3 6" xfId="16964"/>
    <cellStyle name="Normal 7 3 3 6 2" xfId="36847"/>
    <cellStyle name="Normal 7 3 3 7" xfId="24542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2 2" xfId="36065"/>
    <cellStyle name="Normal 7 3 4 2 2 2 3" xfId="22334"/>
    <cellStyle name="Normal 7 3 4 2 2 2 3 2" xfId="42217"/>
    <cellStyle name="Normal 7 3 4 2 2 2 4" xfId="29912"/>
    <cellStyle name="Normal 7 3 4 2 2 3" xfId="13116"/>
    <cellStyle name="Normal 7 3 4 2 2 3 2" xfId="32999"/>
    <cellStyle name="Normal 7 3 4 2 2 4" xfId="19268"/>
    <cellStyle name="Normal 7 3 4 2 2 4 2" xfId="39151"/>
    <cellStyle name="Normal 7 3 4 2 2 5" xfId="26846"/>
    <cellStyle name="Normal 7 3 4 2 3" xfId="8454"/>
    <cellStyle name="Normal 7 3 4 2 3 2" xfId="14648"/>
    <cellStyle name="Normal 7 3 4 2 3 2 2" xfId="34531"/>
    <cellStyle name="Normal 7 3 4 2 3 3" xfId="20800"/>
    <cellStyle name="Normal 7 3 4 2 3 3 2" xfId="40683"/>
    <cellStyle name="Normal 7 3 4 2 3 4" xfId="28378"/>
    <cellStyle name="Normal 7 3 4 2 4" xfId="11582"/>
    <cellStyle name="Normal 7 3 4 2 4 2" xfId="31465"/>
    <cellStyle name="Normal 7 3 4 2 5" xfId="17734"/>
    <cellStyle name="Normal 7 3 4 2 5 2" xfId="37617"/>
    <cellStyle name="Normal 7 3 4 2 6" xfId="25312"/>
    <cellStyle name="Normal 7 3 4 3" xfId="6120"/>
    <cellStyle name="Normal 7 3 4 3 2" xfId="9220"/>
    <cellStyle name="Normal 7 3 4 3 2 2" xfId="15413"/>
    <cellStyle name="Normal 7 3 4 3 2 2 2" xfId="35296"/>
    <cellStyle name="Normal 7 3 4 3 2 3" xfId="21565"/>
    <cellStyle name="Normal 7 3 4 3 2 3 2" xfId="41448"/>
    <cellStyle name="Normal 7 3 4 3 2 4" xfId="29143"/>
    <cellStyle name="Normal 7 3 4 3 3" xfId="12347"/>
    <cellStyle name="Normal 7 3 4 3 3 2" xfId="32230"/>
    <cellStyle name="Normal 7 3 4 3 4" xfId="18499"/>
    <cellStyle name="Normal 7 3 4 3 4 2" xfId="38382"/>
    <cellStyle name="Normal 7 3 4 3 5" xfId="26077"/>
    <cellStyle name="Normal 7 3 4 4" xfId="7685"/>
    <cellStyle name="Normal 7 3 4 4 2" xfId="13879"/>
    <cellStyle name="Normal 7 3 4 4 2 2" xfId="33762"/>
    <cellStyle name="Normal 7 3 4 4 3" xfId="20031"/>
    <cellStyle name="Normal 7 3 4 4 3 2" xfId="39914"/>
    <cellStyle name="Normal 7 3 4 4 4" xfId="27609"/>
    <cellStyle name="Normal 7 3 4 5" xfId="10813"/>
    <cellStyle name="Normal 7 3 4 5 2" xfId="30696"/>
    <cellStyle name="Normal 7 3 4 6" xfId="16965"/>
    <cellStyle name="Normal 7 3 4 6 2" xfId="36848"/>
    <cellStyle name="Normal 7 3 4 7" xfId="24543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2 2" xfId="36066"/>
    <cellStyle name="Normal 7 3 5 2 2 2 3" xfId="22335"/>
    <cellStyle name="Normal 7 3 5 2 2 2 3 2" xfId="42218"/>
    <cellStyle name="Normal 7 3 5 2 2 2 4" xfId="29913"/>
    <cellStyle name="Normal 7 3 5 2 2 3" xfId="13117"/>
    <cellStyle name="Normal 7 3 5 2 2 3 2" xfId="33000"/>
    <cellStyle name="Normal 7 3 5 2 2 4" xfId="19269"/>
    <cellStyle name="Normal 7 3 5 2 2 4 2" xfId="39152"/>
    <cellStyle name="Normal 7 3 5 2 2 5" xfId="26847"/>
    <cellStyle name="Normal 7 3 5 2 3" xfId="8455"/>
    <cellStyle name="Normal 7 3 5 2 3 2" xfId="14649"/>
    <cellStyle name="Normal 7 3 5 2 3 2 2" xfId="34532"/>
    <cellStyle name="Normal 7 3 5 2 3 3" xfId="20801"/>
    <cellStyle name="Normal 7 3 5 2 3 3 2" xfId="40684"/>
    <cellStyle name="Normal 7 3 5 2 3 4" xfId="28379"/>
    <cellStyle name="Normal 7 3 5 2 4" xfId="11583"/>
    <cellStyle name="Normal 7 3 5 2 4 2" xfId="31466"/>
    <cellStyle name="Normal 7 3 5 2 5" xfId="17735"/>
    <cellStyle name="Normal 7 3 5 2 5 2" xfId="37618"/>
    <cellStyle name="Normal 7 3 5 2 6" xfId="25313"/>
    <cellStyle name="Normal 7 3 5 3" xfId="6121"/>
    <cellStyle name="Normal 7 3 5 3 2" xfId="9221"/>
    <cellStyle name="Normal 7 3 5 3 2 2" xfId="15414"/>
    <cellStyle name="Normal 7 3 5 3 2 2 2" xfId="35297"/>
    <cellStyle name="Normal 7 3 5 3 2 3" xfId="21566"/>
    <cellStyle name="Normal 7 3 5 3 2 3 2" xfId="41449"/>
    <cellStyle name="Normal 7 3 5 3 2 4" xfId="29144"/>
    <cellStyle name="Normal 7 3 5 3 3" xfId="12348"/>
    <cellStyle name="Normal 7 3 5 3 3 2" xfId="32231"/>
    <cellStyle name="Normal 7 3 5 3 4" xfId="18500"/>
    <cellStyle name="Normal 7 3 5 3 4 2" xfId="38383"/>
    <cellStyle name="Normal 7 3 5 3 5" xfId="26078"/>
    <cellStyle name="Normal 7 3 5 4" xfId="7686"/>
    <cellStyle name="Normal 7 3 5 4 2" xfId="13880"/>
    <cellStyle name="Normal 7 3 5 4 2 2" xfId="33763"/>
    <cellStyle name="Normal 7 3 5 4 3" xfId="20032"/>
    <cellStyle name="Normal 7 3 5 4 3 2" xfId="39915"/>
    <cellStyle name="Normal 7 3 5 4 4" xfId="27610"/>
    <cellStyle name="Normal 7 3 5 5" xfId="10814"/>
    <cellStyle name="Normal 7 3 5 5 2" xfId="30697"/>
    <cellStyle name="Normal 7 3 5 6" xfId="16966"/>
    <cellStyle name="Normal 7 3 5 6 2" xfId="36849"/>
    <cellStyle name="Normal 7 3 5 7" xfId="24544"/>
    <cellStyle name="Normal 7 3 6" xfId="5275"/>
    <cellStyle name="Normal 7 3 6 2" xfId="6900"/>
    <cellStyle name="Normal 7 3 6 2 2" xfId="9986"/>
    <cellStyle name="Normal 7 3 6 2 2 2" xfId="16179"/>
    <cellStyle name="Normal 7 3 6 2 2 2 2" xfId="36062"/>
    <cellStyle name="Normal 7 3 6 2 2 3" xfId="22331"/>
    <cellStyle name="Normal 7 3 6 2 2 3 2" xfId="42214"/>
    <cellStyle name="Normal 7 3 6 2 2 4" xfId="29909"/>
    <cellStyle name="Normal 7 3 6 2 3" xfId="13113"/>
    <cellStyle name="Normal 7 3 6 2 3 2" xfId="32996"/>
    <cellStyle name="Normal 7 3 6 2 4" xfId="19265"/>
    <cellStyle name="Normal 7 3 6 2 4 2" xfId="39148"/>
    <cellStyle name="Normal 7 3 6 2 5" xfId="26843"/>
    <cellStyle name="Normal 7 3 6 3" xfId="8451"/>
    <cellStyle name="Normal 7 3 6 3 2" xfId="14645"/>
    <cellStyle name="Normal 7 3 6 3 2 2" xfId="34528"/>
    <cellStyle name="Normal 7 3 6 3 3" xfId="20797"/>
    <cellStyle name="Normal 7 3 6 3 3 2" xfId="40680"/>
    <cellStyle name="Normal 7 3 6 3 4" xfId="28375"/>
    <cellStyle name="Normal 7 3 6 4" xfId="11579"/>
    <cellStyle name="Normal 7 3 6 4 2" xfId="31462"/>
    <cellStyle name="Normal 7 3 6 5" xfId="17731"/>
    <cellStyle name="Normal 7 3 6 5 2" xfId="37614"/>
    <cellStyle name="Normal 7 3 6 6" xfId="25309"/>
    <cellStyle name="Normal 7 3 7" xfId="6117"/>
    <cellStyle name="Normal 7 3 7 2" xfId="9217"/>
    <cellStyle name="Normal 7 3 7 2 2" xfId="15410"/>
    <cellStyle name="Normal 7 3 7 2 2 2" xfId="35293"/>
    <cellStyle name="Normal 7 3 7 2 3" xfId="21562"/>
    <cellStyle name="Normal 7 3 7 2 3 2" xfId="41445"/>
    <cellStyle name="Normal 7 3 7 2 4" xfId="29140"/>
    <cellStyle name="Normal 7 3 7 3" xfId="12344"/>
    <cellStyle name="Normal 7 3 7 3 2" xfId="32227"/>
    <cellStyle name="Normal 7 3 7 4" xfId="18496"/>
    <cellStyle name="Normal 7 3 7 4 2" xfId="38379"/>
    <cellStyle name="Normal 7 3 7 5" xfId="26074"/>
    <cellStyle name="Normal 7 3 8" xfId="7682"/>
    <cellStyle name="Normal 7 3 8 2" xfId="13876"/>
    <cellStyle name="Normal 7 3 8 2 2" xfId="33759"/>
    <cellStyle name="Normal 7 3 8 3" xfId="20028"/>
    <cellStyle name="Normal 7 3 8 3 2" xfId="39911"/>
    <cellStyle name="Normal 7 3 8 4" xfId="27606"/>
    <cellStyle name="Normal 7 3 9" xfId="10810"/>
    <cellStyle name="Normal 7 3 9 2" xfId="30693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2 2" xfId="36067"/>
    <cellStyle name="Normal 7 4 2 2 2 3" xfId="22336"/>
    <cellStyle name="Normal 7 4 2 2 2 3 2" xfId="42219"/>
    <cellStyle name="Normal 7 4 2 2 2 4" xfId="29914"/>
    <cellStyle name="Normal 7 4 2 2 3" xfId="13118"/>
    <cellStyle name="Normal 7 4 2 2 3 2" xfId="33001"/>
    <cellStyle name="Normal 7 4 2 2 4" xfId="19270"/>
    <cellStyle name="Normal 7 4 2 2 4 2" xfId="39153"/>
    <cellStyle name="Normal 7 4 2 2 5" xfId="26848"/>
    <cellStyle name="Normal 7 4 2 3" xfId="8456"/>
    <cellStyle name="Normal 7 4 2 3 2" xfId="14650"/>
    <cellStyle name="Normal 7 4 2 3 2 2" xfId="34533"/>
    <cellStyle name="Normal 7 4 2 3 3" xfId="20802"/>
    <cellStyle name="Normal 7 4 2 3 3 2" xfId="40685"/>
    <cellStyle name="Normal 7 4 2 3 4" xfId="28380"/>
    <cellStyle name="Normal 7 4 2 4" xfId="11584"/>
    <cellStyle name="Normal 7 4 2 4 2" xfId="31467"/>
    <cellStyle name="Normal 7 4 2 5" xfId="17736"/>
    <cellStyle name="Normal 7 4 2 5 2" xfId="37619"/>
    <cellStyle name="Normal 7 4 2 6" xfId="25314"/>
    <cellStyle name="Normal 7 4 3" xfId="6122"/>
    <cellStyle name="Normal 7 4 3 2" xfId="9222"/>
    <cellStyle name="Normal 7 4 3 2 2" xfId="15415"/>
    <cellStyle name="Normal 7 4 3 2 2 2" xfId="35298"/>
    <cellStyle name="Normal 7 4 3 2 3" xfId="21567"/>
    <cellStyle name="Normal 7 4 3 2 3 2" xfId="41450"/>
    <cellStyle name="Normal 7 4 3 2 4" xfId="29145"/>
    <cellStyle name="Normal 7 4 3 3" xfId="12349"/>
    <cellStyle name="Normal 7 4 3 3 2" xfId="32232"/>
    <cellStyle name="Normal 7 4 3 4" xfId="18501"/>
    <cellStyle name="Normal 7 4 3 4 2" xfId="38384"/>
    <cellStyle name="Normal 7 4 3 5" xfId="26079"/>
    <cellStyle name="Normal 7 4 4" xfId="7687"/>
    <cellStyle name="Normal 7 4 4 2" xfId="13881"/>
    <cellStyle name="Normal 7 4 4 2 2" xfId="33764"/>
    <cellStyle name="Normal 7 4 4 3" xfId="20033"/>
    <cellStyle name="Normal 7 4 4 3 2" xfId="39916"/>
    <cellStyle name="Normal 7 4 4 4" xfId="27611"/>
    <cellStyle name="Normal 7 4 5" xfId="10815"/>
    <cellStyle name="Normal 7 4 5 2" xfId="30698"/>
    <cellStyle name="Normal 7 4 6" xfId="16967"/>
    <cellStyle name="Normal 7 4 6 2" xfId="36850"/>
    <cellStyle name="Normal 7 4 7" xfId="4100"/>
    <cellStyle name="Normal 7 4 7 2" xfId="24545"/>
    <cellStyle name="Normal 7 4 8" xfId="23290"/>
    <cellStyle name="Normal 7 4 9" xfId="23371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2 2" xfId="36068"/>
    <cellStyle name="Normal 7 5 2 2 2 3" xfId="22337"/>
    <cellStyle name="Normal 7 5 2 2 2 3 2" xfId="42220"/>
    <cellStyle name="Normal 7 5 2 2 2 4" xfId="29915"/>
    <cellStyle name="Normal 7 5 2 2 3" xfId="13119"/>
    <cellStyle name="Normal 7 5 2 2 3 2" xfId="33002"/>
    <cellStyle name="Normal 7 5 2 2 4" xfId="19271"/>
    <cellStyle name="Normal 7 5 2 2 4 2" xfId="39154"/>
    <cellStyle name="Normal 7 5 2 2 5" xfId="26849"/>
    <cellStyle name="Normal 7 5 2 3" xfId="8457"/>
    <cellStyle name="Normal 7 5 2 3 2" xfId="14651"/>
    <cellStyle name="Normal 7 5 2 3 2 2" xfId="34534"/>
    <cellStyle name="Normal 7 5 2 3 3" xfId="20803"/>
    <cellStyle name="Normal 7 5 2 3 3 2" xfId="40686"/>
    <cellStyle name="Normal 7 5 2 3 4" xfId="28381"/>
    <cellStyle name="Normal 7 5 2 4" xfId="11585"/>
    <cellStyle name="Normal 7 5 2 4 2" xfId="31468"/>
    <cellStyle name="Normal 7 5 2 5" xfId="17737"/>
    <cellStyle name="Normal 7 5 2 5 2" xfId="37620"/>
    <cellStyle name="Normal 7 5 2 6" xfId="25315"/>
    <cellStyle name="Normal 7 5 3" xfId="6123"/>
    <cellStyle name="Normal 7 5 3 2" xfId="9223"/>
    <cellStyle name="Normal 7 5 3 2 2" xfId="15416"/>
    <cellStyle name="Normal 7 5 3 2 2 2" xfId="35299"/>
    <cellStyle name="Normal 7 5 3 2 3" xfId="21568"/>
    <cellStyle name="Normal 7 5 3 2 3 2" xfId="41451"/>
    <cellStyle name="Normal 7 5 3 2 4" xfId="29146"/>
    <cellStyle name="Normal 7 5 3 3" xfId="12350"/>
    <cellStyle name="Normal 7 5 3 3 2" xfId="32233"/>
    <cellStyle name="Normal 7 5 3 4" xfId="18502"/>
    <cellStyle name="Normal 7 5 3 4 2" xfId="38385"/>
    <cellStyle name="Normal 7 5 3 5" xfId="26080"/>
    <cellStyle name="Normal 7 5 4" xfId="7688"/>
    <cellStyle name="Normal 7 5 4 2" xfId="13882"/>
    <cellStyle name="Normal 7 5 4 2 2" xfId="33765"/>
    <cellStyle name="Normal 7 5 4 3" xfId="20034"/>
    <cellStyle name="Normal 7 5 4 3 2" xfId="39917"/>
    <cellStyle name="Normal 7 5 4 4" xfId="27612"/>
    <cellStyle name="Normal 7 5 5" xfId="10816"/>
    <cellStyle name="Normal 7 5 5 2" xfId="30699"/>
    <cellStyle name="Normal 7 5 6" xfId="16968"/>
    <cellStyle name="Normal 7 5 6 2" xfId="36851"/>
    <cellStyle name="Normal 7 5 7" xfId="4101"/>
    <cellStyle name="Normal 7 5 7 2" xfId="24546"/>
    <cellStyle name="Normal 7 5 8" xfId="23291"/>
    <cellStyle name="Normal 7 5 9" xfId="23359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2 2" xfId="36069"/>
    <cellStyle name="Normal 7 6 2 2 2 3" xfId="22338"/>
    <cellStyle name="Normal 7 6 2 2 2 3 2" xfId="42221"/>
    <cellStyle name="Normal 7 6 2 2 2 4" xfId="29916"/>
    <cellStyle name="Normal 7 6 2 2 3" xfId="13120"/>
    <cellStyle name="Normal 7 6 2 2 3 2" xfId="33003"/>
    <cellStyle name="Normal 7 6 2 2 4" xfId="19272"/>
    <cellStyle name="Normal 7 6 2 2 4 2" xfId="39155"/>
    <cellStyle name="Normal 7 6 2 2 5" xfId="26850"/>
    <cellStyle name="Normal 7 6 2 3" xfId="8458"/>
    <cellStyle name="Normal 7 6 2 3 2" xfId="14652"/>
    <cellStyle name="Normal 7 6 2 3 2 2" xfId="34535"/>
    <cellStyle name="Normal 7 6 2 3 3" xfId="20804"/>
    <cellStyle name="Normal 7 6 2 3 3 2" xfId="40687"/>
    <cellStyle name="Normal 7 6 2 3 4" xfId="28382"/>
    <cellStyle name="Normal 7 6 2 4" xfId="11586"/>
    <cellStyle name="Normal 7 6 2 4 2" xfId="31469"/>
    <cellStyle name="Normal 7 6 2 5" xfId="17738"/>
    <cellStyle name="Normal 7 6 2 5 2" xfId="37621"/>
    <cellStyle name="Normal 7 6 2 6" xfId="25316"/>
    <cellStyle name="Normal 7 6 3" xfId="6124"/>
    <cellStyle name="Normal 7 6 3 2" xfId="9224"/>
    <cellStyle name="Normal 7 6 3 2 2" xfId="15417"/>
    <cellStyle name="Normal 7 6 3 2 2 2" xfId="35300"/>
    <cellStyle name="Normal 7 6 3 2 3" xfId="21569"/>
    <cellStyle name="Normal 7 6 3 2 3 2" xfId="41452"/>
    <cellStyle name="Normal 7 6 3 2 4" xfId="29147"/>
    <cellStyle name="Normal 7 6 3 3" xfId="12351"/>
    <cellStyle name="Normal 7 6 3 3 2" xfId="32234"/>
    <cellStyle name="Normal 7 6 3 4" xfId="18503"/>
    <cellStyle name="Normal 7 6 3 4 2" xfId="38386"/>
    <cellStyle name="Normal 7 6 3 5" xfId="26081"/>
    <cellStyle name="Normal 7 6 4" xfId="7689"/>
    <cellStyle name="Normal 7 6 4 2" xfId="13883"/>
    <cellStyle name="Normal 7 6 4 2 2" xfId="33766"/>
    <cellStyle name="Normal 7 6 4 3" xfId="20035"/>
    <cellStyle name="Normal 7 6 4 3 2" xfId="39918"/>
    <cellStyle name="Normal 7 6 4 4" xfId="27613"/>
    <cellStyle name="Normal 7 6 5" xfId="10817"/>
    <cellStyle name="Normal 7 6 5 2" xfId="30700"/>
    <cellStyle name="Normal 7 6 6" xfId="16969"/>
    <cellStyle name="Normal 7 6 6 2" xfId="36852"/>
    <cellStyle name="Normal 7 6 7" xfId="24547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2 2" xfId="36070"/>
    <cellStyle name="Normal 7 7 2 2 2 3" xfId="22339"/>
    <cellStyle name="Normal 7 7 2 2 2 3 2" xfId="42222"/>
    <cellStyle name="Normal 7 7 2 2 2 4" xfId="29917"/>
    <cellStyle name="Normal 7 7 2 2 3" xfId="13121"/>
    <cellStyle name="Normal 7 7 2 2 3 2" xfId="33004"/>
    <cellStyle name="Normal 7 7 2 2 4" xfId="19273"/>
    <cellStyle name="Normal 7 7 2 2 4 2" xfId="39156"/>
    <cellStyle name="Normal 7 7 2 2 5" xfId="26851"/>
    <cellStyle name="Normal 7 7 2 3" xfId="8459"/>
    <cellStyle name="Normal 7 7 2 3 2" xfId="14653"/>
    <cellStyle name="Normal 7 7 2 3 2 2" xfId="34536"/>
    <cellStyle name="Normal 7 7 2 3 3" xfId="20805"/>
    <cellStyle name="Normal 7 7 2 3 3 2" xfId="40688"/>
    <cellStyle name="Normal 7 7 2 3 4" xfId="28383"/>
    <cellStyle name="Normal 7 7 2 4" xfId="11587"/>
    <cellStyle name="Normal 7 7 2 4 2" xfId="31470"/>
    <cellStyle name="Normal 7 7 2 5" xfId="17739"/>
    <cellStyle name="Normal 7 7 2 5 2" xfId="37622"/>
    <cellStyle name="Normal 7 7 2 6" xfId="25317"/>
    <cellStyle name="Normal 7 7 3" xfId="6125"/>
    <cellStyle name="Normal 7 7 3 2" xfId="9225"/>
    <cellStyle name="Normal 7 7 3 2 2" xfId="15418"/>
    <cellStyle name="Normal 7 7 3 2 2 2" xfId="35301"/>
    <cellStyle name="Normal 7 7 3 2 3" xfId="21570"/>
    <cellStyle name="Normal 7 7 3 2 3 2" xfId="41453"/>
    <cellStyle name="Normal 7 7 3 2 4" xfId="29148"/>
    <cellStyle name="Normal 7 7 3 3" xfId="12352"/>
    <cellStyle name="Normal 7 7 3 3 2" xfId="32235"/>
    <cellStyle name="Normal 7 7 3 4" xfId="18504"/>
    <cellStyle name="Normal 7 7 3 4 2" xfId="38387"/>
    <cellStyle name="Normal 7 7 3 5" xfId="26082"/>
    <cellStyle name="Normal 7 7 4" xfId="7690"/>
    <cellStyle name="Normal 7 7 4 2" xfId="13884"/>
    <cellStyle name="Normal 7 7 4 2 2" xfId="33767"/>
    <cellStyle name="Normal 7 7 4 3" xfId="20036"/>
    <cellStyle name="Normal 7 7 4 3 2" xfId="39919"/>
    <cellStyle name="Normal 7 7 4 4" xfId="27614"/>
    <cellStyle name="Normal 7 7 5" xfId="10818"/>
    <cellStyle name="Normal 7 7 5 2" xfId="30701"/>
    <cellStyle name="Normal 7 7 6" xfId="16970"/>
    <cellStyle name="Normal 7 7 6 2" xfId="36853"/>
    <cellStyle name="Normal 7 7 7" xfId="24548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2 2" xfId="36071"/>
    <cellStyle name="Normal 7 8 2 2 2 3" xfId="22340"/>
    <cellStyle name="Normal 7 8 2 2 2 3 2" xfId="42223"/>
    <cellStyle name="Normal 7 8 2 2 2 4" xfId="29918"/>
    <cellStyle name="Normal 7 8 2 2 3" xfId="13122"/>
    <cellStyle name="Normal 7 8 2 2 3 2" xfId="33005"/>
    <cellStyle name="Normal 7 8 2 2 4" xfId="19274"/>
    <cellStyle name="Normal 7 8 2 2 4 2" xfId="39157"/>
    <cellStyle name="Normal 7 8 2 2 5" xfId="26852"/>
    <cellStyle name="Normal 7 8 2 3" xfId="8460"/>
    <cellStyle name="Normal 7 8 2 3 2" xfId="14654"/>
    <cellStyle name="Normal 7 8 2 3 2 2" xfId="34537"/>
    <cellStyle name="Normal 7 8 2 3 3" xfId="20806"/>
    <cellStyle name="Normal 7 8 2 3 3 2" xfId="40689"/>
    <cellStyle name="Normal 7 8 2 3 4" xfId="28384"/>
    <cellStyle name="Normal 7 8 2 4" xfId="11588"/>
    <cellStyle name="Normal 7 8 2 4 2" xfId="31471"/>
    <cellStyle name="Normal 7 8 2 5" xfId="17740"/>
    <cellStyle name="Normal 7 8 2 5 2" xfId="37623"/>
    <cellStyle name="Normal 7 8 2 6" xfId="25318"/>
    <cellStyle name="Normal 7 8 3" xfId="6126"/>
    <cellStyle name="Normal 7 8 3 2" xfId="9226"/>
    <cellStyle name="Normal 7 8 3 2 2" xfId="15419"/>
    <cellStyle name="Normal 7 8 3 2 2 2" xfId="35302"/>
    <cellStyle name="Normal 7 8 3 2 3" xfId="21571"/>
    <cellStyle name="Normal 7 8 3 2 3 2" xfId="41454"/>
    <cellStyle name="Normal 7 8 3 2 4" xfId="29149"/>
    <cellStyle name="Normal 7 8 3 3" xfId="12353"/>
    <cellStyle name="Normal 7 8 3 3 2" xfId="32236"/>
    <cellStyle name="Normal 7 8 3 4" xfId="18505"/>
    <cellStyle name="Normal 7 8 3 4 2" xfId="38388"/>
    <cellStyle name="Normal 7 8 3 5" xfId="26083"/>
    <cellStyle name="Normal 7 8 4" xfId="7691"/>
    <cellStyle name="Normal 7 8 4 2" xfId="13885"/>
    <cellStyle name="Normal 7 8 4 2 2" xfId="33768"/>
    <cellStyle name="Normal 7 8 4 3" xfId="20037"/>
    <cellStyle name="Normal 7 8 4 3 2" xfId="39920"/>
    <cellStyle name="Normal 7 8 4 4" xfId="27615"/>
    <cellStyle name="Normal 7 8 5" xfId="10819"/>
    <cellStyle name="Normal 7 8 5 2" xfId="30702"/>
    <cellStyle name="Normal 7 8 6" xfId="16971"/>
    <cellStyle name="Normal 7 8 6 2" xfId="36854"/>
    <cellStyle name="Normal 7 8 7" xfId="24549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2 2" xfId="36072"/>
    <cellStyle name="Normal 7 9 2 2 2 3" xfId="22341"/>
    <cellStyle name="Normal 7 9 2 2 2 3 2" xfId="42224"/>
    <cellStyle name="Normal 7 9 2 2 2 4" xfId="29919"/>
    <cellStyle name="Normal 7 9 2 2 3" xfId="13123"/>
    <cellStyle name="Normal 7 9 2 2 3 2" xfId="33006"/>
    <cellStyle name="Normal 7 9 2 2 4" xfId="19275"/>
    <cellStyle name="Normal 7 9 2 2 4 2" xfId="39158"/>
    <cellStyle name="Normal 7 9 2 2 5" xfId="26853"/>
    <cellStyle name="Normal 7 9 2 3" xfId="8461"/>
    <cellStyle name="Normal 7 9 2 3 2" xfId="14655"/>
    <cellStyle name="Normal 7 9 2 3 2 2" xfId="34538"/>
    <cellStyle name="Normal 7 9 2 3 3" xfId="20807"/>
    <cellStyle name="Normal 7 9 2 3 3 2" xfId="40690"/>
    <cellStyle name="Normal 7 9 2 3 4" xfId="28385"/>
    <cellStyle name="Normal 7 9 2 4" xfId="11589"/>
    <cellStyle name="Normal 7 9 2 4 2" xfId="31472"/>
    <cellStyle name="Normal 7 9 2 5" xfId="17741"/>
    <cellStyle name="Normal 7 9 2 5 2" xfId="37624"/>
    <cellStyle name="Normal 7 9 2 6" xfId="25319"/>
    <cellStyle name="Normal 7 9 3" xfId="6127"/>
    <cellStyle name="Normal 7 9 3 2" xfId="9227"/>
    <cellStyle name="Normal 7 9 3 2 2" xfId="15420"/>
    <cellStyle name="Normal 7 9 3 2 2 2" xfId="35303"/>
    <cellStyle name="Normal 7 9 3 2 3" xfId="21572"/>
    <cellStyle name="Normal 7 9 3 2 3 2" xfId="41455"/>
    <cellStyle name="Normal 7 9 3 2 4" xfId="29150"/>
    <cellStyle name="Normal 7 9 3 3" xfId="12354"/>
    <cellStyle name="Normal 7 9 3 3 2" xfId="32237"/>
    <cellStyle name="Normal 7 9 3 4" xfId="18506"/>
    <cellStyle name="Normal 7 9 3 4 2" xfId="38389"/>
    <cellStyle name="Normal 7 9 3 5" xfId="26084"/>
    <cellStyle name="Normal 7 9 4" xfId="7692"/>
    <cellStyle name="Normal 7 9 4 2" xfId="13886"/>
    <cellStyle name="Normal 7 9 4 2 2" xfId="33769"/>
    <cellStyle name="Normal 7 9 4 3" xfId="20038"/>
    <cellStyle name="Normal 7 9 4 3 2" xfId="39921"/>
    <cellStyle name="Normal 7 9 4 4" xfId="27616"/>
    <cellStyle name="Normal 7 9 5" xfId="10820"/>
    <cellStyle name="Normal 7 9 5 2" xfId="30703"/>
    <cellStyle name="Normal 7 9 6" xfId="16972"/>
    <cellStyle name="Normal 7 9 6 2" xfId="36855"/>
    <cellStyle name="Normal 7 9 7" xfId="24550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2 2" xfId="36074"/>
    <cellStyle name="Normal 8 10 2 2 2 3" xfId="22343"/>
    <cellStyle name="Normal 8 10 2 2 2 3 2" xfId="42226"/>
    <cellStyle name="Normal 8 10 2 2 2 4" xfId="29921"/>
    <cellStyle name="Normal 8 10 2 2 3" xfId="13125"/>
    <cellStyle name="Normal 8 10 2 2 3 2" xfId="33008"/>
    <cellStyle name="Normal 8 10 2 2 4" xfId="19277"/>
    <cellStyle name="Normal 8 10 2 2 4 2" xfId="39160"/>
    <cellStyle name="Normal 8 10 2 2 5" xfId="26855"/>
    <cellStyle name="Normal 8 10 2 3" xfId="8463"/>
    <cellStyle name="Normal 8 10 2 3 2" xfId="14657"/>
    <cellStyle name="Normal 8 10 2 3 2 2" xfId="34540"/>
    <cellStyle name="Normal 8 10 2 3 3" xfId="20809"/>
    <cellStyle name="Normal 8 10 2 3 3 2" xfId="40692"/>
    <cellStyle name="Normal 8 10 2 3 4" xfId="28387"/>
    <cellStyle name="Normal 8 10 2 4" xfId="11591"/>
    <cellStyle name="Normal 8 10 2 4 2" xfId="31474"/>
    <cellStyle name="Normal 8 10 2 5" xfId="17743"/>
    <cellStyle name="Normal 8 10 2 5 2" xfId="37626"/>
    <cellStyle name="Normal 8 10 2 6" xfId="25321"/>
    <cellStyle name="Normal 8 10 3" xfId="6129"/>
    <cellStyle name="Normal 8 10 3 2" xfId="9229"/>
    <cellStyle name="Normal 8 10 3 2 2" xfId="15422"/>
    <cellStyle name="Normal 8 10 3 2 2 2" xfId="35305"/>
    <cellStyle name="Normal 8 10 3 2 3" xfId="21574"/>
    <cellStyle name="Normal 8 10 3 2 3 2" xfId="41457"/>
    <cellStyle name="Normal 8 10 3 2 4" xfId="29152"/>
    <cellStyle name="Normal 8 10 3 3" xfId="12356"/>
    <cellStyle name="Normal 8 10 3 3 2" xfId="32239"/>
    <cellStyle name="Normal 8 10 3 4" xfId="18508"/>
    <cellStyle name="Normal 8 10 3 4 2" xfId="38391"/>
    <cellStyle name="Normal 8 10 3 5" xfId="26086"/>
    <cellStyle name="Normal 8 10 4" xfId="7694"/>
    <cellStyle name="Normal 8 10 4 2" xfId="13888"/>
    <cellStyle name="Normal 8 10 4 2 2" xfId="33771"/>
    <cellStyle name="Normal 8 10 4 3" xfId="20040"/>
    <cellStyle name="Normal 8 10 4 3 2" xfId="39923"/>
    <cellStyle name="Normal 8 10 4 4" xfId="27618"/>
    <cellStyle name="Normal 8 10 5" xfId="10822"/>
    <cellStyle name="Normal 8 10 5 2" xfId="30705"/>
    <cellStyle name="Normal 8 10 6" xfId="16974"/>
    <cellStyle name="Normal 8 10 6 2" xfId="36857"/>
    <cellStyle name="Normal 8 10 7" xfId="24552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2 2" xfId="36075"/>
    <cellStyle name="Normal 8 11 2 2 2 3" xfId="22344"/>
    <cellStyle name="Normal 8 11 2 2 2 3 2" xfId="42227"/>
    <cellStyle name="Normal 8 11 2 2 2 4" xfId="29922"/>
    <cellStyle name="Normal 8 11 2 2 3" xfId="13126"/>
    <cellStyle name="Normal 8 11 2 2 3 2" xfId="33009"/>
    <cellStyle name="Normal 8 11 2 2 4" xfId="19278"/>
    <cellStyle name="Normal 8 11 2 2 4 2" xfId="39161"/>
    <cellStyle name="Normal 8 11 2 2 5" xfId="26856"/>
    <cellStyle name="Normal 8 11 2 3" xfId="8464"/>
    <cellStyle name="Normal 8 11 2 3 2" xfId="14658"/>
    <cellStyle name="Normal 8 11 2 3 2 2" xfId="34541"/>
    <cellStyle name="Normal 8 11 2 3 3" xfId="20810"/>
    <cellStyle name="Normal 8 11 2 3 3 2" xfId="40693"/>
    <cellStyle name="Normal 8 11 2 3 4" xfId="28388"/>
    <cellStyle name="Normal 8 11 2 4" xfId="11592"/>
    <cellStyle name="Normal 8 11 2 4 2" xfId="31475"/>
    <cellStyle name="Normal 8 11 2 5" xfId="17744"/>
    <cellStyle name="Normal 8 11 2 5 2" xfId="37627"/>
    <cellStyle name="Normal 8 11 2 6" xfId="25322"/>
    <cellStyle name="Normal 8 11 3" xfId="6130"/>
    <cellStyle name="Normal 8 11 3 2" xfId="9230"/>
    <cellStyle name="Normal 8 11 3 2 2" xfId="15423"/>
    <cellStyle name="Normal 8 11 3 2 2 2" xfId="35306"/>
    <cellStyle name="Normal 8 11 3 2 3" xfId="21575"/>
    <cellStyle name="Normal 8 11 3 2 3 2" xfId="41458"/>
    <cellStyle name="Normal 8 11 3 2 4" xfId="29153"/>
    <cellStyle name="Normal 8 11 3 3" xfId="12357"/>
    <cellStyle name="Normal 8 11 3 3 2" xfId="32240"/>
    <cellStyle name="Normal 8 11 3 4" xfId="18509"/>
    <cellStyle name="Normal 8 11 3 4 2" xfId="38392"/>
    <cellStyle name="Normal 8 11 3 5" xfId="26087"/>
    <cellStyle name="Normal 8 11 4" xfId="7695"/>
    <cellStyle name="Normal 8 11 4 2" xfId="13889"/>
    <cellStyle name="Normal 8 11 4 2 2" xfId="33772"/>
    <cellStyle name="Normal 8 11 4 3" xfId="20041"/>
    <cellStyle name="Normal 8 11 4 3 2" xfId="39924"/>
    <cellStyle name="Normal 8 11 4 4" xfId="27619"/>
    <cellStyle name="Normal 8 11 5" xfId="10823"/>
    <cellStyle name="Normal 8 11 5 2" xfId="30706"/>
    <cellStyle name="Normal 8 11 6" xfId="16975"/>
    <cellStyle name="Normal 8 11 6 2" xfId="36858"/>
    <cellStyle name="Normal 8 11 7" xfId="24553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2 2" xfId="36076"/>
    <cellStyle name="Normal 8 12 2 2 2 3" xfId="22345"/>
    <cellStyle name="Normal 8 12 2 2 2 3 2" xfId="42228"/>
    <cellStyle name="Normal 8 12 2 2 2 4" xfId="29923"/>
    <cellStyle name="Normal 8 12 2 2 3" xfId="13127"/>
    <cellStyle name="Normal 8 12 2 2 3 2" xfId="33010"/>
    <cellStyle name="Normal 8 12 2 2 4" xfId="19279"/>
    <cellStyle name="Normal 8 12 2 2 4 2" xfId="39162"/>
    <cellStyle name="Normal 8 12 2 2 5" xfId="26857"/>
    <cellStyle name="Normal 8 12 2 3" xfId="8465"/>
    <cellStyle name="Normal 8 12 2 3 2" xfId="14659"/>
    <cellStyle name="Normal 8 12 2 3 2 2" xfId="34542"/>
    <cellStyle name="Normal 8 12 2 3 3" xfId="20811"/>
    <cellStyle name="Normal 8 12 2 3 3 2" xfId="40694"/>
    <cellStyle name="Normal 8 12 2 3 4" xfId="28389"/>
    <cellStyle name="Normal 8 12 2 4" xfId="11593"/>
    <cellStyle name="Normal 8 12 2 4 2" xfId="31476"/>
    <cellStyle name="Normal 8 12 2 5" xfId="17745"/>
    <cellStyle name="Normal 8 12 2 5 2" xfId="37628"/>
    <cellStyle name="Normal 8 12 2 6" xfId="25323"/>
    <cellStyle name="Normal 8 12 3" xfId="6131"/>
    <cellStyle name="Normal 8 12 3 2" xfId="9231"/>
    <cellStyle name="Normal 8 12 3 2 2" xfId="15424"/>
    <cellStyle name="Normal 8 12 3 2 2 2" xfId="35307"/>
    <cellStyle name="Normal 8 12 3 2 3" xfId="21576"/>
    <cellStyle name="Normal 8 12 3 2 3 2" xfId="41459"/>
    <cellStyle name="Normal 8 12 3 2 4" xfId="29154"/>
    <cellStyle name="Normal 8 12 3 3" xfId="12358"/>
    <cellStyle name="Normal 8 12 3 3 2" xfId="32241"/>
    <cellStyle name="Normal 8 12 3 4" xfId="18510"/>
    <cellStyle name="Normal 8 12 3 4 2" xfId="38393"/>
    <cellStyle name="Normal 8 12 3 5" xfId="26088"/>
    <cellStyle name="Normal 8 12 4" xfId="7696"/>
    <cellStyle name="Normal 8 12 4 2" xfId="13890"/>
    <cellStyle name="Normal 8 12 4 2 2" xfId="33773"/>
    <cellStyle name="Normal 8 12 4 3" xfId="20042"/>
    <cellStyle name="Normal 8 12 4 3 2" xfId="39925"/>
    <cellStyle name="Normal 8 12 4 4" xfId="27620"/>
    <cellStyle name="Normal 8 12 5" xfId="10824"/>
    <cellStyle name="Normal 8 12 5 2" xfId="30707"/>
    <cellStyle name="Normal 8 12 6" xfId="16976"/>
    <cellStyle name="Normal 8 12 6 2" xfId="36859"/>
    <cellStyle name="Normal 8 12 7" xfId="24554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2 2" xfId="36077"/>
    <cellStyle name="Normal 8 13 2 2 2 3" xfId="22346"/>
    <cellStyle name="Normal 8 13 2 2 2 3 2" xfId="42229"/>
    <cellStyle name="Normal 8 13 2 2 2 4" xfId="29924"/>
    <cellStyle name="Normal 8 13 2 2 3" xfId="13128"/>
    <cellStyle name="Normal 8 13 2 2 3 2" xfId="33011"/>
    <cellStyle name="Normal 8 13 2 2 4" xfId="19280"/>
    <cellStyle name="Normal 8 13 2 2 4 2" xfId="39163"/>
    <cellStyle name="Normal 8 13 2 2 5" xfId="26858"/>
    <cellStyle name="Normal 8 13 2 3" xfId="8466"/>
    <cellStyle name="Normal 8 13 2 3 2" xfId="14660"/>
    <cellStyle name="Normal 8 13 2 3 2 2" xfId="34543"/>
    <cellStyle name="Normal 8 13 2 3 3" xfId="20812"/>
    <cellStyle name="Normal 8 13 2 3 3 2" xfId="40695"/>
    <cellStyle name="Normal 8 13 2 3 4" xfId="28390"/>
    <cellStyle name="Normal 8 13 2 4" xfId="11594"/>
    <cellStyle name="Normal 8 13 2 4 2" xfId="31477"/>
    <cellStyle name="Normal 8 13 2 5" xfId="17746"/>
    <cellStyle name="Normal 8 13 2 5 2" xfId="37629"/>
    <cellStyle name="Normal 8 13 2 6" xfId="25324"/>
    <cellStyle name="Normal 8 13 3" xfId="6132"/>
    <cellStyle name="Normal 8 13 3 2" xfId="9232"/>
    <cellStyle name="Normal 8 13 3 2 2" xfId="15425"/>
    <cellStyle name="Normal 8 13 3 2 2 2" xfId="35308"/>
    <cellStyle name="Normal 8 13 3 2 3" xfId="21577"/>
    <cellStyle name="Normal 8 13 3 2 3 2" xfId="41460"/>
    <cellStyle name="Normal 8 13 3 2 4" xfId="29155"/>
    <cellStyle name="Normal 8 13 3 3" xfId="12359"/>
    <cellStyle name="Normal 8 13 3 3 2" xfId="32242"/>
    <cellStyle name="Normal 8 13 3 4" xfId="18511"/>
    <cellStyle name="Normal 8 13 3 4 2" xfId="38394"/>
    <cellStyle name="Normal 8 13 3 5" xfId="26089"/>
    <cellStyle name="Normal 8 13 4" xfId="7697"/>
    <cellStyle name="Normal 8 13 4 2" xfId="13891"/>
    <cellStyle name="Normal 8 13 4 2 2" xfId="33774"/>
    <cellStyle name="Normal 8 13 4 3" xfId="20043"/>
    <cellStyle name="Normal 8 13 4 3 2" xfId="39926"/>
    <cellStyle name="Normal 8 13 4 4" xfId="27621"/>
    <cellStyle name="Normal 8 13 5" xfId="10825"/>
    <cellStyle name="Normal 8 13 5 2" xfId="30708"/>
    <cellStyle name="Normal 8 13 6" xfId="16977"/>
    <cellStyle name="Normal 8 13 6 2" xfId="36860"/>
    <cellStyle name="Normal 8 13 7" xfId="24555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2 2" xfId="36078"/>
    <cellStyle name="Normal 8 14 2 2 2 3" xfId="22347"/>
    <cellStyle name="Normal 8 14 2 2 2 3 2" xfId="42230"/>
    <cellStyle name="Normal 8 14 2 2 2 4" xfId="29925"/>
    <cellStyle name="Normal 8 14 2 2 3" xfId="13129"/>
    <cellStyle name="Normal 8 14 2 2 3 2" xfId="33012"/>
    <cellStyle name="Normal 8 14 2 2 4" xfId="19281"/>
    <cellStyle name="Normal 8 14 2 2 4 2" xfId="39164"/>
    <cellStyle name="Normal 8 14 2 2 5" xfId="26859"/>
    <cellStyle name="Normal 8 14 2 3" xfId="8467"/>
    <cellStyle name="Normal 8 14 2 3 2" xfId="14661"/>
    <cellStyle name="Normal 8 14 2 3 2 2" xfId="34544"/>
    <cellStyle name="Normal 8 14 2 3 3" xfId="20813"/>
    <cellStyle name="Normal 8 14 2 3 3 2" xfId="40696"/>
    <cellStyle name="Normal 8 14 2 3 4" xfId="28391"/>
    <cellStyle name="Normal 8 14 2 4" xfId="11595"/>
    <cellStyle name="Normal 8 14 2 4 2" xfId="31478"/>
    <cellStyle name="Normal 8 14 2 5" xfId="17747"/>
    <cellStyle name="Normal 8 14 2 5 2" xfId="37630"/>
    <cellStyle name="Normal 8 14 2 6" xfId="25325"/>
    <cellStyle name="Normal 8 14 3" xfId="6133"/>
    <cellStyle name="Normal 8 14 3 2" xfId="9233"/>
    <cellStyle name="Normal 8 14 3 2 2" xfId="15426"/>
    <cellStyle name="Normal 8 14 3 2 2 2" xfId="35309"/>
    <cellStyle name="Normal 8 14 3 2 3" xfId="21578"/>
    <cellStyle name="Normal 8 14 3 2 3 2" xfId="41461"/>
    <cellStyle name="Normal 8 14 3 2 4" xfId="29156"/>
    <cellStyle name="Normal 8 14 3 3" xfId="12360"/>
    <cellStyle name="Normal 8 14 3 3 2" xfId="32243"/>
    <cellStyle name="Normal 8 14 3 4" xfId="18512"/>
    <cellStyle name="Normal 8 14 3 4 2" xfId="38395"/>
    <cellStyle name="Normal 8 14 3 5" xfId="26090"/>
    <cellStyle name="Normal 8 14 4" xfId="7698"/>
    <cellStyle name="Normal 8 14 4 2" xfId="13892"/>
    <cellStyle name="Normal 8 14 4 2 2" xfId="33775"/>
    <cellStyle name="Normal 8 14 4 3" xfId="20044"/>
    <cellStyle name="Normal 8 14 4 3 2" xfId="39927"/>
    <cellStyle name="Normal 8 14 4 4" xfId="27622"/>
    <cellStyle name="Normal 8 14 5" xfId="10826"/>
    <cellStyle name="Normal 8 14 5 2" xfId="30709"/>
    <cellStyle name="Normal 8 14 6" xfId="16978"/>
    <cellStyle name="Normal 8 14 6 2" xfId="36861"/>
    <cellStyle name="Normal 8 14 7" xfId="24556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2 2" xfId="36079"/>
    <cellStyle name="Normal 8 15 2 2 2 3" xfId="22348"/>
    <cellStyle name="Normal 8 15 2 2 2 3 2" xfId="42231"/>
    <cellStyle name="Normal 8 15 2 2 2 4" xfId="29926"/>
    <cellStyle name="Normal 8 15 2 2 3" xfId="13130"/>
    <cellStyle name="Normal 8 15 2 2 3 2" xfId="33013"/>
    <cellStyle name="Normal 8 15 2 2 4" xfId="19282"/>
    <cellStyle name="Normal 8 15 2 2 4 2" xfId="39165"/>
    <cellStyle name="Normal 8 15 2 2 5" xfId="26860"/>
    <cellStyle name="Normal 8 15 2 3" xfId="8468"/>
    <cellStyle name="Normal 8 15 2 3 2" xfId="14662"/>
    <cellStyle name="Normal 8 15 2 3 2 2" xfId="34545"/>
    <cellStyle name="Normal 8 15 2 3 3" xfId="20814"/>
    <cellStyle name="Normal 8 15 2 3 3 2" xfId="40697"/>
    <cellStyle name="Normal 8 15 2 3 4" xfId="28392"/>
    <cellStyle name="Normal 8 15 2 4" xfId="11596"/>
    <cellStyle name="Normal 8 15 2 4 2" xfId="31479"/>
    <cellStyle name="Normal 8 15 2 5" xfId="17748"/>
    <cellStyle name="Normal 8 15 2 5 2" xfId="37631"/>
    <cellStyle name="Normal 8 15 2 6" xfId="25326"/>
    <cellStyle name="Normal 8 15 3" xfId="6134"/>
    <cellStyle name="Normal 8 15 3 2" xfId="9234"/>
    <cellStyle name="Normal 8 15 3 2 2" xfId="15427"/>
    <cellStyle name="Normal 8 15 3 2 2 2" xfId="35310"/>
    <cellStyle name="Normal 8 15 3 2 3" xfId="21579"/>
    <cellStyle name="Normal 8 15 3 2 3 2" xfId="41462"/>
    <cellStyle name="Normal 8 15 3 2 4" xfId="29157"/>
    <cellStyle name="Normal 8 15 3 3" xfId="12361"/>
    <cellStyle name="Normal 8 15 3 3 2" xfId="32244"/>
    <cellStyle name="Normal 8 15 3 4" xfId="18513"/>
    <cellStyle name="Normal 8 15 3 4 2" xfId="38396"/>
    <cellStyle name="Normal 8 15 3 5" xfId="26091"/>
    <cellStyle name="Normal 8 15 4" xfId="7699"/>
    <cellStyle name="Normal 8 15 4 2" xfId="13893"/>
    <cellStyle name="Normal 8 15 4 2 2" xfId="33776"/>
    <cellStyle name="Normal 8 15 4 3" xfId="20045"/>
    <cellStyle name="Normal 8 15 4 3 2" xfId="39928"/>
    <cellStyle name="Normal 8 15 4 4" xfId="27623"/>
    <cellStyle name="Normal 8 15 5" xfId="10827"/>
    <cellStyle name="Normal 8 15 5 2" xfId="30710"/>
    <cellStyle name="Normal 8 15 6" xfId="16979"/>
    <cellStyle name="Normal 8 15 6 2" xfId="36862"/>
    <cellStyle name="Normal 8 15 7" xfId="24557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2 2" xfId="36080"/>
    <cellStyle name="Normal 8 16 2 2 2 3" xfId="22349"/>
    <cellStyle name="Normal 8 16 2 2 2 3 2" xfId="42232"/>
    <cellStyle name="Normal 8 16 2 2 2 4" xfId="29927"/>
    <cellStyle name="Normal 8 16 2 2 3" xfId="13131"/>
    <cellStyle name="Normal 8 16 2 2 3 2" xfId="33014"/>
    <cellStyle name="Normal 8 16 2 2 4" xfId="19283"/>
    <cellStyle name="Normal 8 16 2 2 4 2" xfId="39166"/>
    <cellStyle name="Normal 8 16 2 2 5" xfId="26861"/>
    <cellStyle name="Normal 8 16 2 3" xfId="8469"/>
    <cellStyle name="Normal 8 16 2 3 2" xfId="14663"/>
    <cellStyle name="Normal 8 16 2 3 2 2" xfId="34546"/>
    <cellStyle name="Normal 8 16 2 3 3" xfId="20815"/>
    <cellStyle name="Normal 8 16 2 3 3 2" xfId="40698"/>
    <cellStyle name="Normal 8 16 2 3 4" xfId="28393"/>
    <cellStyle name="Normal 8 16 2 4" xfId="11597"/>
    <cellStyle name="Normal 8 16 2 4 2" xfId="31480"/>
    <cellStyle name="Normal 8 16 2 5" xfId="17749"/>
    <cellStyle name="Normal 8 16 2 5 2" xfId="37632"/>
    <cellStyle name="Normal 8 16 2 6" xfId="25327"/>
    <cellStyle name="Normal 8 16 3" xfId="6135"/>
    <cellStyle name="Normal 8 16 3 2" xfId="9235"/>
    <cellStyle name="Normal 8 16 3 2 2" xfId="15428"/>
    <cellStyle name="Normal 8 16 3 2 2 2" xfId="35311"/>
    <cellStyle name="Normal 8 16 3 2 3" xfId="21580"/>
    <cellStyle name="Normal 8 16 3 2 3 2" xfId="41463"/>
    <cellStyle name="Normal 8 16 3 2 4" xfId="29158"/>
    <cellStyle name="Normal 8 16 3 3" xfId="12362"/>
    <cellStyle name="Normal 8 16 3 3 2" xfId="32245"/>
    <cellStyle name="Normal 8 16 3 4" xfId="18514"/>
    <cellStyle name="Normal 8 16 3 4 2" xfId="38397"/>
    <cellStyle name="Normal 8 16 3 5" xfId="26092"/>
    <cellStyle name="Normal 8 16 4" xfId="7700"/>
    <cellStyle name="Normal 8 16 4 2" xfId="13894"/>
    <cellStyle name="Normal 8 16 4 2 2" xfId="33777"/>
    <cellStyle name="Normal 8 16 4 3" xfId="20046"/>
    <cellStyle name="Normal 8 16 4 3 2" xfId="39929"/>
    <cellStyle name="Normal 8 16 4 4" xfId="27624"/>
    <cellStyle name="Normal 8 16 5" xfId="10828"/>
    <cellStyle name="Normal 8 16 5 2" xfId="30711"/>
    <cellStyle name="Normal 8 16 6" xfId="16980"/>
    <cellStyle name="Normal 8 16 6 2" xfId="36863"/>
    <cellStyle name="Normal 8 16 7" xfId="24558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2 2" xfId="36081"/>
    <cellStyle name="Normal 8 17 2 2 2 3" xfId="22350"/>
    <cellStyle name="Normal 8 17 2 2 2 3 2" xfId="42233"/>
    <cellStyle name="Normal 8 17 2 2 2 4" xfId="29928"/>
    <cellStyle name="Normal 8 17 2 2 3" xfId="13132"/>
    <cellStyle name="Normal 8 17 2 2 3 2" xfId="33015"/>
    <cellStyle name="Normal 8 17 2 2 4" xfId="19284"/>
    <cellStyle name="Normal 8 17 2 2 4 2" xfId="39167"/>
    <cellStyle name="Normal 8 17 2 2 5" xfId="26862"/>
    <cellStyle name="Normal 8 17 2 3" xfId="8470"/>
    <cellStyle name="Normal 8 17 2 3 2" xfId="14664"/>
    <cellStyle name="Normal 8 17 2 3 2 2" xfId="34547"/>
    <cellStyle name="Normal 8 17 2 3 3" xfId="20816"/>
    <cellStyle name="Normal 8 17 2 3 3 2" xfId="40699"/>
    <cellStyle name="Normal 8 17 2 3 4" xfId="28394"/>
    <cellStyle name="Normal 8 17 2 4" xfId="11598"/>
    <cellStyle name="Normal 8 17 2 4 2" xfId="31481"/>
    <cellStyle name="Normal 8 17 2 5" xfId="17750"/>
    <cellStyle name="Normal 8 17 2 5 2" xfId="37633"/>
    <cellStyle name="Normal 8 17 2 6" xfId="25328"/>
    <cellStyle name="Normal 8 17 3" xfId="6136"/>
    <cellStyle name="Normal 8 17 3 2" xfId="9236"/>
    <cellStyle name="Normal 8 17 3 2 2" xfId="15429"/>
    <cellStyle name="Normal 8 17 3 2 2 2" xfId="35312"/>
    <cellStyle name="Normal 8 17 3 2 3" xfId="21581"/>
    <cellStyle name="Normal 8 17 3 2 3 2" xfId="41464"/>
    <cellStyle name="Normal 8 17 3 2 4" xfId="29159"/>
    <cellStyle name="Normal 8 17 3 3" xfId="12363"/>
    <cellStyle name="Normal 8 17 3 3 2" xfId="32246"/>
    <cellStyle name="Normal 8 17 3 4" xfId="18515"/>
    <cellStyle name="Normal 8 17 3 4 2" xfId="38398"/>
    <cellStyle name="Normal 8 17 3 5" xfId="26093"/>
    <cellStyle name="Normal 8 17 4" xfId="7701"/>
    <cellStyle name="Normal 8 17 4 2" xfId="13895"/>
    <cellStyle name="Normal 8 17 4 2 2" xfId="33778"/>
    <cellStyle name="Normal 8 17 4 3" xfId="20047"/>
    <cellStyle name="Normal 8 17 4 3 2" xfId="39930"/>
    <cellStyle name="Normal 8 17 4 4" xfId="27625"/>
    <cellStyle name="Normal 8 17 5" xfId="10829"/>
    <cellStyle name="Normal 8 17 5 2" xfId="30712"/>
    <cellStyle name="Normal 8 17 6" xfId="16981"/>
    <cellStyle name="Normal 8 17 6 2" xfId="36864"/>
    <cellStyle name="Normal 8 17 7" xfId="24559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2 2" xfId="36082"/>
    <cellStyle name="Normal 8 18 2 2 2 3" xfId="22351"/>
    <cellStyle name="Normal 8 18 2 2 2 3 2" xfId="42234"/>
    <cellStyle name="Normal 8 18 2 2 2 4" xfId="29929"/>
    <cellStyle name="Normal 8 18 2 2 3" xfId="13133"/>
    <cellStyle name="Normal 8 18 2 2 3 2" xfId="33016"/>
    <cellStyle name="Normal 8 18 2 2 4" xfId="19285"/>
    <cellStyle name="Normal 8 18 2 2 4 2" xfId="39168"/>
    <cellStyle name="Normal 8 18 2 2 5" xfId="26863"/>
    <cellStyle name="Normal 8 18 2 3" xfId="8471"/>
    <cellStyle name="Normal 8 18 2 3 2" xfId="14665"/>
    <cellStyle name="Normal 8 18 2 3 2 2" xfId="34548"/>
    <cellStyle name="Normal 8 18 2 3 3" xfId="20817"/>
    <cellStyle name="Normal 8 18 2 3 3 2" xfId="40700"/>
    <cellStyle name="Normal 8 18 2 3 4" xfId="28395"/>
    <cellStyle name="Normal 8 18 2 4" xfId="11599"/>
    <cellStyle name="Normal 8 18 2 4 2" xfId="31482"/>
    <cellStyle name="Normal 8 18 2 5" xfId="17751"/>
    <cellStyle name="Normal 8 18 2 5 2" xfId="37634"/>
    <cellStyle name="Normal 8 18 2 6" xfId="25329"/>
    <cellStyle name="Normal 8 18 3" xfId="6137"/>
    <cellStyle name="Normal 8 18 3 2" xfId="9237"/>
    <cellStyle name="Normal 8 18 3 2 2" xfId="15430"/>
    <cellStyle name="Normal 8 18 3 2 2 2" xfId="35313"/>
    <cellStyle name="Normal 8 18 3 2 3" xfId="21582"/>
    <cellStyle name="Normal 8 18 3 2 3 2" xfId="41465"/>
    <cellStyle name="Normal 8 18 3 2 4" xfId="29160"/>
    <cellStyle name="Normal 8 18 3 3" xfId="12364"/>
    <cellStyle name="Normal 8 18 3 3 2" xfId="32247"/>
    <cellStyle name="Normal 8 18 3 4" xfId="18516"/>
    <cellStyle name="Normal 8 18 3 4 2" xfId="38399"/>
    <cellStyle name="Normal 8 18 3 5" xfId="26094"/>
    <cellStyle name="Normal 8 18 4" xfId="7702"/>
    <cellStyle name="Normal 8 18 4 2" xfId="13896"/>
    <cellStyle name="Normal 8 18 4 2 2" xfId="33779"/>
    <cellStyle name="Normal 8 18 4 3" xfId="20048"/>
    <cellStyle name="Normal 8 18 4 3 2" xfId="39931"/>
    <cellStyle name="Normal 8 18 4 4" xfId="27626"/>
    <cellStyle name="Normal 8 18 5" xfId="10830"/>
    <cellStyle name="Normal 8 18 5 2" xfId="30713"/>
    <cellStyle name="Normal 8 18 6" xfId="16982"/>
    <cellStyle name="Normal 8 18 6 2" xfId="36865"/>
    <cellStyle name="Normal 8 18 7" xfId="24560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2 2" xfId="36083"/>
    <cellStyle name="Normal 8 19 2 2 2 3" xfId="22352"/>
    <cellStyle name="Normal 8 19 2 2 2 3 2" xfId="42235"/>
    <cellStyle name="Normal 8 19 2 2 2 4" xfId="29930"/>
    <cellStyle name="Normal 8 19 2 2 3" xfId="13134"/>
    <cellStyle name="Normal 8 19 2 2 3 2" xfId="33017"/>
    <cellStyle name="Normal 8 19 2 2 4" xfId="19286"/>
    <cellStyle name="Normal 8 19 2 2 4 2" xfId="39169"/>
    <cellStyle name="Normal 8 19 2 2 5" xfId="26864"/>
    <cellStyle name="Normal 8 19 2 3" xfId="8472"/>
    <cellStyle name="Normal 8 19 2 3 2" xfId="14666"/>
    <cellStyle name="Normal 8 19 2 3 2 2" xfId="34549"/>
    <cellStyle name="Normal 8 19 2 3 3" xfId="20818"/>
    <cellStyle name="Normal 8 19 2 3 3 2" xfId="40701"/>
    <cellStyle name="Normal 8 19 2 3 4" xfId="28396"/>
    <cellStyle name="Normal 8 19 2 4" xfId="11600"/>
    <cellStyle name="Normal 8 19 2 4 2" xfId="31483"/>
    <cellStyle name="Normal 8 19 2 5" xfId="17752"/>
    <cellStyle name="Normal 8 19 2 5 2" xfId="37635"/>
    <cellStyle name="Normal 8 19 2 6" xfId="25330"/>
    <cellStyle name="Normal 8 19 3" xfId="6138"/>
    <cellStyle name="Normal 8 19 3 2" xfId="9238"/>
    <cellStyle name="Normal 8 19 3 2 2" xfId="15431"/>
    <cellStyle name="Normal 8 19 3 2 2 2" xfId="35314"/>
    <cellStyle name="Normal 8 19 3 2 3" xfId="21583"/>
    <cellStyle name="Normal 8 19 3 2 3 2" xfId="41466"/>
    <cellStyle name="Normal 8 19 3 2 4" xfId="29161"/>
    <cellStyle name="Normal 8 19 3 3" xfId="12365"/>
    <cellStyle name="Normal 8 19 3 3 2" xfId="32248"/>
    <cellStyle name="Normal 8 19 3 4" xfId="18517"/>
    <cellStyle name="Normal 8 19 3 4 2" xfId="38400"/>
    <cellStyle name="Normal 8 19 3 5" xfId="26095"/>
    <cellStyle name="Normal 8 19 4" xfId="7703"/>
    <cellStyle name="Normal 8 19 4 2" xfId="13897"/>
    <cellStyle name="Normal 8 19 4 2 2" xfId="33780"/>
    <cellStyle name="Normal 8 19 4 3" xfId="20049"/>
    <cellStyle name="Normal 8 19 4 3 2" xfId="39932"/>
    <cellStyle name="Normal 8 19 4 4" xfId="27627"/>
    <cellStyle name="Normal 8 19 5" xfId="10831"/>
    <cellStyle name="Normal 8 19 5 2" xfId="30714"/>
    <cellStyle name="Normal 8 19 6" xfId="16983"/>
    <cellStyle name="Normal 8 19 6 2" xfId="36866"/>
    <cellStyle name="Normal 8 19 7" xfId="24561"/>
    <cellStyle name="Normal 8 2" xfId="1294"/>
    <cellStyle name="Normal 8 2 10" xfId="10284"/>
    <cellStyle name="Normal 8 2 10 2" xfId="30167"/>
    <cellStyle name="Normal 8 2 11" xfId="16436"/>
    <cellStyle name="Normal 8 2 11 2" xfId="36319"/>
    <cellStyle name="Normal 8 2 12" xfId="23294"/>
    <cellStyle name="Normal 8 2 13" xfId="2401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2 2" xfId="36085"/>
    <cellStyle name="Normal 8 2 2 2 2 2 2 3" xfId="22354"/>
    <cellStyle name="Normal 8 2 2 2 2 2 2 3 2" xfId="42237"/>
    <cellStyle name="Normal 8 2 2 2 2 2 2 4" xfId="29932"/>
    <cellStyle name="Normal 8 2 2 2 2 2 3" xfId="13136"/>
    <cellStyle name="Normal 8 2 2 2 2 2 3 2" xfId="33019"/>
    <cellStyle name="Normal 8 2 2 2 2 2 4" xfId="19288"/>
    <cellStyle name="Normal 8 2 2 2 2 2 4 2" xfId="39171"/>
    <cellStyle name="Normal 8 2 2 2 2 2 5" xfId="26866"/>
    <cellStyle name="Normal 8 2 2 2 2 3" xfId="8474"/>
    <cellStyle name="Normal 8 2 2 2 2 3 2" xfId="14668"/>
    <cellStyle name="Normal 8 2 2 2 2 3 2 2" xfId="34551"/>
    <cellStyle name="Normal 8 2 2 2 2 3 3" xfId="20820"/>
    <cellStyle name="Normal 8 2 2 2 2 3 3 2" xfId="40703"/>
    <cellStyle name="Normal 8 2 2 2 2 3 4" xfId="28398"/>
    <cellStyle name="Normal 8 2 2 2 2 4" xfId="11602"/>
    <cellStyle name="Normal 8 2 2 2 2 4 2" xfId="31485"/>
    <cellStyle name="Normal 8 2 2 2 2 5" xfId="17754"/>
    <cellStyle name="Normal 8 2 2 2 2 5 2" xfId="37637"/>
    <cellStyle name="Normal 8 2 2 2 2 6" xfId="25332"/>
    <cellStyle name="Normal 8 2 2 2 3" xfId="6140"/>
    <cellStyle name="Normal 8 2 2 2 3 2" xfId="9240"/>
    <cellStyle name="Normal 8 2 2 2 3 2 2" xfId="15433"/>
    <cellStyle name="Normal 8 2 2 2 3 2 2 2" xfId="35316"/>
    <cellStyle name="Normal 8 2 2 2 3 2 3" xfId="21585"/>
    <cellStyle name="Normal 8 2 2 2 3 2 3 2" xfId="41468"/>
    <cellStyle name="Normal 8 2 2 2 3 2 4" xfId="29163"/>
    <cellStyle name="Normal 8 2 2 2 3 3" xfId="12367"/>
    <cellStyle name="Normal 8 2 2 2 3 3 2" xfId="32250"/>
    <cellStyle name="Normal 8 2 2 2 3 4" xfId="18519"/>
    <cellStyle name="Normal 8 2 2 2 3 4 2" xfId="38402"/>
    <cellStyle name="Normal 8 2 2 2 3 5" xfId="26097"/>
    <cellStyle name="Normal 8 2 2 2 4" xfId="7705"/>
    <cellStyle name="Normal 8 2 2 2 4 2" xfId="13899"/>
    <cellStyle name="Normal 8 2 2 2 4 2 2" xfId="33782"/>
    <cellStyle name="Normal 8 2 2 2 4 3" xfId="20051"/>
    <cellStyle name="Normal 8 2 2 2 4 3 2" xfId="39934"/>
    <cellStyle name="Normal 8 2 2 2 4 4" xfId="27629"/>
    <cellStyle name="Normal 8 2 2 2 5" xfId="10833"/>
    <cellStyle name="Normal 8 2 2 2 5 2" xfId="30716"/>
    <cellStyle name="Normal 8 2 2 2 6" xfId="16985"/>
    <cellStyle name="Normal 8 2 2 2 6 2" xfId="36868"/>
    <cellStyle name="Normal 8 2 2 2 7" xfId="24563"/>
    <cellStyle name="Normal 8 2 2 3" xfId="4760"/>
    <cellStyle name="Normal 8 2 2 3 2" xfId="6385"/>
    <cellStyle name="Normal 8 2 2 3 2 2" xfId="9471"/>
    <cellStyle name="Normal 8 2 2 3 2 2 2" xfId="15664"/>
    <cellStyle name="Normal 8 2 2 3 2 2 2 2" xfId="35547"/>
    <cellStyle name="Normal 8 2 2 3 2 2 3" xfId="21816"/>
    <cellStyle name="Normal 8 2 2 3 2 2 3 2" xfId="41699"/>
    <cellStyle name="Normal 8 2 2 3 2 2 4" xfId="29394"/>
    <cellStyle name="Normal 8 2 2 3 2 3" xfId="12598"/>
    <cellStyle name="Normal 8 2 2 3 2 3 2" xfId="32481"/>
    <cellStyle name="Normal 8 2 2 3 2 4" xfId="18750"/>
    <cellStyle name="Normal 8 2 2 3 2 4 2" xfId="38633"/>
    <cellStyle name="Normal 8 2 2 3 2 5" xfId="26328"/>
    <cellStyle name="Normal 8 2 2 3 3" xfId="7936"/>
    <cellStyle name="Normal 8 2 2 3 3 2" xfId="14130"/>
    <cellStyle name="Normal 8 2 2 3 3 2 2" xfId="34013"/>
    <cellStyle name="Normal 8 2 2 3 3 3" xfId="20282"/>
    <cellStyle name="Normal 8 2 2 3 3 3 2" xfId="40165"/>
    <cellStyle name="Normal 8 2 2 3 3 4" xfId="27860"/>
    <cellStyle name="Normal 8 2 2 3 4" xfId="11064"/>
    <cellStyle name="Normal 8 2 2 3 4 2" xfId="30947"/>
    <cellStyle name="Normal 8 2 2 3 5" xfId="17216"/>
    <cellStyle name="Normal 8 2 2 3 5 2" xfId="37099"/>
    <cellStyle name="Normal 8 2 2 3 6" xfId="24794"/>
    <cellStyle name="Normal 8 2 2 4" xfId="5599"/>
    <cellStyle name="Normal 8 2 2 4 2" xfId="8702"/>
    <cellStyle name="Normal 8 2 2 4 2 2" xfId="14895"/>
    <cellStyle name="Normal 8 2 2 4 2 2 2" xfId="34778"/>
    <cellStyle name="Normal 8 2 2 4 2 3" xfId="21047"/>
    <cellStyle name="Normal 8 2 2 4 2 3 2" xfId="40930"/>
    <cellStyle name="Normal 8 2 2 4 2 4" xfId="28625"/>
    <cellStyle name="Normal 8 2 2 4 3" xfId="11829"/>
    <cellStyle name="Normal 8 2 2 4 3 2" xfId="31712"/>
    <cellStyle name="Normal 8 2 2 4 4" xfId="17981"/>
    <cellStyle name="Normal 8 2 2 4 4 2" xfId="37864"/>
    <cellStyle name="Normal 8 2 2 4 5" xfId="25559"/>
    <cellStyle name="Normal 8 2 2 5" xfId="7167"/>
    <cellStyle name="Normal 8 2 2 5 2" xfId="13361"/>
    <cellStyle name="Normal 8 2 2 5 2 2" xfId="33244"/>
    <cellStyle name="Normal 8 2 2 5 3" xfId="19513"/>
    <cellStyle name="Normal 8 2 2 5 3 2" xfId="39396"/>
    <cellStyle name="Normal 8 2 2 5 4" xfId="27091"/>
    <cellStyle name="Normal 8 2 2 6" xfId="10295"/>
    <cellStyle name="Normal 8 2 2 6 2" xfId="30178"/>
    <cellStyle name="Normal 8 2 2 7" xfId="16447"/>
    <cellStyle name="Normal 8 2 2 7 2" xfId="36330"/>
    <cellStyle name="Normal 8 2 2 8" xfId="24025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2 2" xfId="36086"/>
    <cellStyle name="Normal 8 2 3 2 2 2 3" xfId="22355"/>
    <cellStyle name="Normal 8 2 3 2 2 2 3 2" xfId="42238"/>
    <cellStyle name="Normal 8 2 3 2 2 2 4" xfId="29933"/>
    <cellStyle name="Normal 8 2 3 2 2 3" xfId="13137"/>
    <cellStyle name="Normal 8 2 3 2 2 3 2" xfId="33020"/>
    <cellStyle name="Normal 8 2 3 2 2 4" xfId="19289"/>
    <cellStyle name="Normal 8 2 3 2 2 4 2" xfId="39172"/>
    <cellStyle name="Normal 8 2 3 2 2 5" xfId="26867"/>
    <cellStyle name="Normal 8 2 3 2 3" xfId="8475"/>
    <cellStyle name="Normal 8 2 3 2 3 2" xfId="14669"/>
    <cellStyle name="Normal 8 2 3 2 3 2 2" xfId="34552"/>
    <cellStyle name="Normal 8 2 3 2 3 3" xfId="20821"/>
    <cellStyle name="Normal 8 2 3 2 3 3 2" xfId="40704"/>
    <cellStyle name="Normal 8 2 3 2 3 4" xfId="28399"/>
    <cellStyle name="Normal 8 2 3 2 4" xfId="11603"/>
    <cellStyle name="Normal 8 2 3 2 4 2" xfId="31486"/>
    <cellStyle name="Normal 8 2 3 2 5" xfId="17755"/>
    <cellStyle name="Normal 8 2 3 2 5 2" xfId="37638"/>
    <cellStyle name="Normal 8 2 3 2 6" xfId="25333"/>
    <cellStyle name="Normal 8 2 3 3" xfId="6141"/>
    <cellStyle name="Normal 8 2 3 3 2" xfId="9241"/>
    <cellStyle name="Normal 8 2 3 3 2 2" xfId="15434"/>
    <cellStyle name="Normal 8 2 3 3 2 2 2" xfId="35317"/>
    <cellStyle name="Normal 8 2 3 3 2 3" xfId="21586"/>
    <cellStyle name="Normal 8 2 3 3 2 3 2" xfId="41469"/>
    <cellStyle name="Normal 8 2 3 3 2 4" xfId="29164"/>
    <cellStyle name="Normal 8 2 3 3 3" xfId="12368"/>
    <cellStyle name="Normal 8 2 3 3 3 2" xfId="32251"/>
    <cellStyle name="Normal 8 2 3 3 4" xfId="18520"/>
    <cellStyle name="Normal 8 2 3 3 4 2" xfId="38403"/>
    <cellStyle name="Normal 8 2 3 3 5" xfId="26098"/>
    <cellStyle name="Normal 8 2 3 4" xfId="7706"/>
    <cellStyle name="Normal 8 2 3 4 2" xfId="13900"/>
    <cellStyle name="Normal 8 2 3 4 2 2" xfId="33783"/>
    <cellStyle name="Normal 8 2 3 4 3" xfId="20052"/>
    <cellStyle name="Normal 8 2 3 4 3 2" xfId="39935"/>
    <cellStyle name="Normal 8 2 3 4 4" xfId="27630"/>
    <cellStyle name="Normal 8 2 3 5" xfId="10834"/>
    <cellStyle name="Normal 8 2 3 5 2" xfId="30717"/>
    <cellStyle name="Normal 8 2 3 6" xfId="16986"/>
    <cellStyle name="Normal 8 2 3 6 2" xfId="36869"/>
    <cellStyle name="Normal 8 2 3 7" xfId="24564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2 2" xfId="36087"/>
    <cellStyle name="Normal 8 2 4 2 2 2 3" xfId="22356"/>
    <cellStyle name="Normal 8 2 4 2 2 2 3 2" xfId="42239"/>
    <cellStyle name="Normal 8 2 4 2 2 2 4" xfId="29934"/>
    <cellStyle name="Normal 8 2 4 2 2 3" xfId="13138"/>
    <cellStyle name="Normal 8 2 4 2 2 3 2" xfId="33021"/>
    <cellStyle name="Normal 8 2 4 2 2 4" xfId="19290"/>
    <cellStyle name="Normal 8 2 4 2 2 4 2" xfId="39173"/>
    <cellStyle name="Normal 8 2 4 2 2 5" xfId="26868"/>
    <cellStyle name="Normal 8 2 4 2 3" xfId="8476"/>
    <cellStyle name="Normal 8 2 4 2 3 2" xfId="14670"/>
    <cellStyle name="Normal 8 2 4 2 3 2 2" xfId="34553"/>
    <cellStyle name="Normal 8 2 4 2 3 3" xfId="20822"/>
    <cellStyle name="Normal 8 2 4 2 3 3 2" xfId="40705"/>
    <cellStyle name="Normal 8 2 4 2 3 4" xfId="28400"/>
    <cellStyle name="Normal 8 2 4 2 4" xfId="11604"/>
    <cellStyle name="Normal 8 2 4 2 4 2" xfId="31487"/>
    <cellStyle name="Normal 8 2 4 2 5" xfId="17756"/>
    <cellStyle name="Normal 8 2 4 2 5 2" xfId="37639"/>
    <cellStyle name="Normal 8 2 4 2 6" xfId="25334"/>
    <cellStyle name="Normal 8 2 4 3" xfId="6142"/>
    <cellStyle name="Normal 8 2 4 3 2" xfId="9242"/>
    <cellStyle name="Normal 8 2 4 3 2 2" xfId="15435"/>
    <cellStyle name="Normal 8 2 4 3 2 2 2" xfId="35318"/>
    <cellStyle name="Normal 8 2 4 3 2 3" xfId="21587"/>
    <cellStyle name="Normal 8 2 4 3 2 3 2" xfId="41470"/>
    <cellStyle name="Normal 8 2 4 3 2 4" xfId="29165"/>
    <cellStyle name="Normal 8 2 4 3 3" xfId="12369"/>
    <cellStyle name="Normal 8 2 4 3 3 2" xfId="32252"/>
    <cellStyle name="Normal 8 2 4 3 4" xfId="18521"/>
    <cellStyle name="Normal 8 2 4 3 4 2" xfId="38404"/>
    <cellStyle name="Normal 8 2 4 3 5" xfId="26099"/>
    <cellStyle name="Normal 8 2 4 4" xfId="7707"/>
    <cellStyle name="Normal 8 2 4 4 2" xfId="13901"/>
    <cellStyle name="Normal 8 2 4 4 2 2" xfId="33784"/>
    <cellStyle name="Normal 8 2 4 4 3" xfId="20053"/>
    <cellStyle name="Normal 8 2 4 4 3 2" xfId="39936"/>
    <cellStyle name="Normal 8 2 4 4 4" xfId="27631"/>
    <cellStyle name="Normal 8 2 4 5" xfId="10835"/>
    <cellStyle name="Normal 8 2 4 5 2" xfId="30718"/>
    <cellStyle name="Normal 8 2 4 6" xfId="16987"/>
    <cellStyle name="Normal 8 2 4 6 2" xfId="36870"/>
    <cellStyle name="Normal 8 2 4 7" xfId="24565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2 2" xfId="36088"/>
    <cellStyle name="Normal 8 2 5 2 2 2 3" xfId="22357"/>
    <cellStyle name="Normal 8 2 5 2 2 2 3 2" xfId="42240"/>
    <cellStyle name="Normal 8 2 5 2 2 2 4" xfId="29935"/>
    <cellStyle name="Normal 8 2 5 2 2 3" xfId="13139"/>
    <cellStyle name="Normal 8 2 5 2 2 3 2" xfId="33022"/>
    <cellStyle name="Normal 8 2 5 2 2 4" xfId="19291"/>
    <cellStyle name="Normal 8 2 5 2 2 4 2" xfId="39174"/>
    <cellStyle name="Normal 8 2 5 2 2 5" xfId="26869"/>
    <cellStyle name="Normal 8 2 5 2 3" xfId="8477"/>
    <cellStyle name="Normal 8 2 5 2 3 2" xfId="14671"/>
    <cellStyle name="Normal 8 2 5 2 3 2 2" xfId="34554"/>
    <cellStyle name="Normal 8 2 5 2 3 3" xfId="20823"/>
    <cellStyle name="Normal 8 2 5 2 3 3 2" xfId="40706"/>
    <cellStyle name="Normal 8 2 5 2 3 4" xfId="28401"/>
    <cellStyle name="Normal 8 2 5 2 4" xfId="11605"/>
    <cellStyle name="Normal 8 2 5 2 4 2" xfId="31488"/>
    <cellStyle name="Normal 8 2 5 2 5" xfId="17757"/>
    <cellStyle name="Normal 8 2 5 2 5 2" xfId="37640"/>
    <cellStyle name="Normal 8 2 5 2 6" xfId="25335"/>
    <cellStyle name="Normal 8 2 5 3" xfId="6143"/>
    <cellStyle name="Normal 8 2 5 3 2" xfId="9243"/>
    <cellStyle name="Normal 8 2 5 3 2 2" xfId="15436"/>
    <cellStyle name="Normal 8 2 5 3 2 2 2" xfId="35319"/>
    <cellStyle name="Normal 8 2 5 3 2 3" xfId="21588"/>
    <cellStyle name="Normal 8 2 5 3 2 3 2" xfId="41471"/>
    <cellStyle name="Normal 8 2 5 3 2 4" xfId="29166"/>
    <cellStyle name="Normal 8 2 5 3 3" xfId="12370"/>
    <cellStyle name="Normal 8 2 5 3 3 2" xfId="32253"/>
    <cellStyle name="Normal 8 2 5 3 4" xfId="18522"/>
    <cellStyle name="Normal 8 2 5 3 4 2" xfId="38405"/>
    <cellStyle name="Normal 8 2 5 3 5" xfId="26100"/>
    <cellStyle name="Normal 8 2 5 4" xfId="7708"/>
    <cellStyle name="Normal 8 2 5 4 2" xfId="13902"/>
    <cellStyle name="Normal 8 2 5 4 2 2" xfId="33785"/>
    <cellStyle name="Normal 8 2 5 4 3" xfId="20054"/>
    <cellStyle name="Normal 8 2 5 4 3 2" xfId="39937"/>
    <cellStyle name="Normal 8 2 5 4 4" xfId="27632"/>
    <cellStyle name="Normal 8 2 5 5" xfId="10836"/>
    <cellStyle name="Normal 8 2 5 5 2" xfId="30719"/>
    <cellStyle name="Normal 8 2 5 6" xfId="16988"/>
    <cellStyle name="Normal 8 2 5 6 2" xfId="36871"/>
    <cellStyle name="Normal 8 2 5 7" xfId="24566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2 2" xfId="36084"/>
    <cellStyle name="Normal 8 2 6 2 2 2 3" xfId="22353"/>
    <cellStyle name="Normal 8 2 6 2 2 2 3 2" xfId="42236"/>
    <cellStyle name="Normal 8 2 6 2 2 2 4" xfId="29931"/>
    <cellStyle name="Normal 8 2 6 2 2 3" xfId="13135"/>
    <cellStyle name="Normal 8 2 6 2 2 3 2" xfId="33018"/>
    <cellStyle name="Normal 8 2 6 2 2 4" xfId="19287"/>
    <cellStyle name="Normal 8 2 6 2 2 4 2" xfId="39170"/>
    <cellStyle name="Normal 8 2 6 2 2 5" xfId="26865"/>
    <cellStyle name="Normal 8 2 6 2 3" xfId="8473"/>
    <cellStyle name="Normal 8 2 6 2 3 2" xfId="14667"/>
    <cellStyle name="Normal 8 2 6 2 3 2 2" xfId="34550"/>
    <cellStyle name="Normal 8 2 6 2 3 3" xfId="20819"/>
    <cellStyle name="Normal 8 2 6 2 3 3 2" xfId="40702"/>
    <cellStyle name="Normal 8 2 6 2 3 4" xfId="28397"/>
    <cellStyle name="Normal 8 2 6 2 4" xfId="11601"/>
    <cellStyle name="Normal 8 2 6 2 4 2" xfId="31484"/>
    <cellStyle name="Normal 8 2 6 2 5" xfId="17753"/>
    <cellStyle name="Normal 8 2 6 2 5 2" xfId="37636"/>
    <cellStyle name="Normal 8 2 6 2 6" xfId="25331"/>
    <cellStyle name="Normal 8 2 6 3" xfId="6139"/>
    <cellStyle name="Normal 8 2 6 3 2" xfId="9239"/>
    <cellStyle name="Normal 8 2 6 3 2 2" xfId="15432"/>
    <cellStyle name="Normal 8 2 6 3 2 2 2" xfId="35315"/>
    <cellStyle name="Normal 8 2 6 3 2 3" xfId="21584"/>
    <cellStyle name="Normal 8 2 6 3 2 3 2" xfId="41467"/>
    <cellStyle name="Normal 8 2 6 3 2 4" xfId="29162"/>
    <cellStyle name="Normal 8 2 6 3 3" xfId="12366"/>
    <cellStyle name="Normal 8 2 6 3 3 2" xfId="32249"/>
    <cellStyle name="Normal 8 2 6 3 4" xfId="18518"/>
    <cellStyle name="Normal 8 2 6 3 4 2" xfId="38401"/>
    <cellStyle name="Normal 8 2 6 3 5" xfId="26096"/>
    <cellStyle name="Normal 8 2 6 4" xfId="7704"/>
    <cellStyle name="Normal 8 2 6 4 2" xfId="13898"/>
    <cellStyle name="Normal 8 2 6 4 2 2" xfId="33781"/>
    <cellStyle name="Normal 8 2 6 4 3" xfId="20050"/>
    <cellStyle name="Normal 8 2 6 4 3 2" xfId="39933"/>
    <cellStyle name="Normal 8 2 6 4 4" xfId="27628"/>
    <cellStyle name="Normal 8 2 6 5" xfId="10832"/>
    <cellStyle name="Normal 8 2 6 5 2" xfId="30715"/>
    <cellStyle name="Normal 8 2 6 6" xfId="16984"/>
    <cellStyle name="Normal 8 2 6 6 2" xfId="36867"/>
    <cellStyle name="Normal 8 2 6 7" xfId="24562"/>
    <cellStyle name="Normal 8 2 7" xfId="4749"/>
    <cellStyle name="Normal 8 2 7 2" xfId="6374"/>
    <cellStyle name="Normal 8 2 7 2 2" xfId="9460"/>
    <cellStyle name="Normal 8 2 7 2 2 2" xfId="15653"/>
    <cellStyle name="Normal 8 2 7 2 2 2 2" xfId="35536"/>
    <cellStyle name="Normal 8 2 7 2 2 3" xfId="21805"/>
    <cellStyle name="Normal 8 2 7 2 2 3 2" xfId="41688"/>
    <cellStyle name="Normal 8 2 7 2 2 4" xfId="29383"/>
    <cellStyle name="Normal 8 2 7 2 3" xfId="12587"/>
    <cellStyle name="Normal 8 2 7 2 3 2" xfId="32470"/>
    <cellStyle name="Normal 8 2 7 2 4" xfId="18739"/>
    <cellStyle name="Normal 8 2 7 2 4 2" xfId="38622"/>
    <cellStyle name="Normal 8 2 7 2 5" xfId="26317"/>
    <cellStyle name="Normal 8 2 7 3" xfId="7925"/>
    <cellStyle name="Normal 8 2 7 3 2" xfId="14119"/>
    <cellStyle name="Normal 8 2 7 3 2 2" xfId="34002"/>
    <cellStyle name="Normal 8 2 7 3 3" xfId="20271"/>
    <cellStyle name="Normal 8 2 7 3 3 2" xfId="40154"/>
    <cellStyle name="Normal 8 2 7 3 4" xfId="27849"/>
    <cellStyle name="Normal 8 2 7 4" xfId="11053"/>
    <cellStyle name="Normal 8 2 7 4 2" xfId="30936"/>
    <cellStyle name="Normal 8 2 7 5" xfId="17205"/>
    <cellStyle name="Normal 8 2 7 5 2" xfId="37088"/>
    <cellStyle name="Normal 8 2 7 6" xfId="24783"/>
    <cellStyle name="Normal 8 2 8" xfId="5587"/>
    <cellStyle name="Normal 8 2 8 2" xfId="8691"/>
    <cellStyle name="Normal 8 2 8 2 2" xfId="14884"/>
    <cellStyle name="Normal 8 2 8 2 2 2" xfId="34767"/>
    <cellStyle name="Normal 8 2 8 2 3" xfId="21036"/>
    <cellStyle name="Normal 8 2 8 2 3 2" xfId="40919"/>
    <cellStyle name="Normal 8 2 8 2 4" xfId="28614"/>
    <cellStyle name="Normal 8 2 8 3" xfId="11818"/>
    <cellStyle name="Normal 8 2 8 3 2" xfId="31701"/>
    <cellStyle name="Normal 8 2 8 4" xfId="17970"/>
    <cellStyle name="Normal 8 2 8 4 2" xfId="37853"/>
    <cellStyle name="Normal 8 2 8 5" xfId="25548"/>
    <cellStyle name="Normal 8 2 9" xfId="7156"/>
    <cellStyle name="Normal 8 2 9 2" xfId="13350"/>
    <cellStyle name="Normal 8 2 9 2 2" xfId="33233"/>
    <cellStyle name="Normal 8 2 9 3" xfId="19502"/>
    <cellStyle name="Normal 8 2 9 3 2" xfId="39385"/>
    <cellStyle name="Normal 8 2 9 4" xfId="27080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2 2" xfId="36089"/>
    <cellStyle name="Normal 8 20 2 2 2 3" xfId="22358"/>
    <cellStyle name="Normal 8 20 2 2 2 3 2" xfId="42241"/>
    <cellStyle name="Normal 8 20 2 2 2 4" xfId="29936"/>
    <cellStyle name="Normal 8 20 2 2 3" xfId="13140"/>
    <cellStyle name="Normal 8 20 2 2 3 2" xfId="33023"/>
    <cellStyle name="Normal 8 20 2 2 4" xfId="19292"/>
    <cellStyle name="Normal 8 20 2 2 4 2" xfId="39175"/>
    <cellStyle name="Normal 8 20 2 2 5" xfId="26870"/>
    <cellStyle name="Normal 8 20 2 3" xfId="8478"/>
    <cellStyle name="Normal 8 20 2 3 2" xfId="14672"/>
    <cellStyle name="Normal 8 20 2 3 2 2" xfId="34555"/>
    <cellStyle name="Normal 8 20 2 3 3" xfId="20824"/>
    <cellStyle name="Normal 8 20 2 3 3 2" xfId="40707"/>
    <cellStyle name="Normal 8 20 2 3 4" xfId="28402"/>
    <cellStyle name="Normal 8 20 2 4" xfId="11606"/>
    <cellStyle name="Normal 8 20 2 4 2" xfId="31489"/>
    <cellStyle name="Normal 8 20 2 5" xfId="17758"/>
    <cellStyle name="Normal 8 20 2 5 2" xfId="37641"/>
    <cellStyle name="Normal 8 20 2 6" xfId="25336"/>
    <cellStyle name="Normal 8 20 3" xfId="6144"/>
    <cellStyle name="Normal 8 20 3 2" xfId="9244"/>
    <cellStyle name="Normal 8 20 3 2 2" xfId="15437"/>
    <cellStyle name="Normal 8 20 3 2 2 2" xfId="35320"/>
    <cellStyle name="Normal 8 20 3 2 3" xfId="21589"/>
    <cellStyle name="Normal 8 20 3 2 3 2" xfId="41472"/>
    <cellStyle name="Normal 8 20 3 2 4" xfId="29167"/>
    <cellStyle name="Normal 8 20 3 3" xfId="12371"/>
    <cellStyle name="Normal 8 20 3 3 2" xfId="32254"/>
    <cellStyle name="Normal 8 20 3 4" xfId="18523"/>
    <cellStyle name="Normal 8 20 3 4 2" xfId="38406"/>
    <cellStyle name="Normal 8 20 3 5" xfId="26101"/>
    <cellStyle name="Normal 8 20 4" xfId="7709"/>
    <cellStyle name="Normal 8 20 4 2" xfId="13903"/>
    <cellStyle name="Normal 8 20 4 2 2" xfId="33786"/>
    <cellStyle name="Normal 8 20 4 3" xfId="20055"/>
    <cellStyle name="Normal 8 20 4 3 2" xfId="39938"/>
    <cellStyle name="Normal 8 20 4 4" xfId="27633"/>
    <cellStyle name="Normal 8 20 5" xfId="10837"/>
    <cellStyle name="Normal 8 20 5 2" xfId="30720"/>
    <cellStyle name="Normal 8 20 6" xfId="16989"/>
    <cellStyle name="Normal 8 20 6 2" xfId="36872"/>
    <cellStyle name="Normal 8 20 7" xfId="24567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2 2" xfId="36090"/>
    <cellStyle name="Normal 8 22 2 2 2 3" xfId="22359"/>
    <cellStyle name="Normal 8 22 2 2 2 3 2" xfId="42242"/>
    <cellStyle name="Normal 8 22 2 2 2 4" xfId="29937"/>
    <cellStyle name="Normal 8 22 2 2 3" xfId="13141"/>
    <cellStyle name="Normal 8 22 2 2 3 2" xfId="33024"/>
    <cellStyle name="Normal 8 22 2 2 4" xfId="19293"/>
    <cellStyle name="Normal 8 22 2 2 4 2" xfId="39176"/>
    <cellStyle name="Normal 8 22 2 2 5" xfId="26871"/>
    <cellStyle name="Normal 8 22 2 3" xfId="8479"/>
    <cellStyle name="Normal 8 22 2 3 2" xfId="14673"/>
    <cellStyle name="Normal 8 22 2 3 2 2" xfId="34556"/>
    <cellStyle name="Normal 8 22 2 3 3" xfId="20825"/>
    <cellStyle name="Normal 8 22 2 3 3 2" xfId="40708"/>
    <cellStyle name="Normal 8 22 2 3 4" xfId="28403"/>
    <cellStyle name="Normal 8 22 2 4" xfId="11607"/>
    <cellStyle name="Normal 8 22 2 4 2" xfId="31490"/>
    <cellStyle name="Normal 8 22 2 5" xfId="17759"/>
    <cellStyle name="Normal 8 22 2 5 2" xfId="37642"/>
    <cellStyle name="Normal 8 22 2 6" xfId="25337"/>
    <cellStyle name="Normal 8 22 3" xfId="6145"/>
    <cellStyle name="Normal 8 22 3 2" xfId="9245"/>
    <cellStyle name="Normal 8 22 3 2 2" xfId="15438"/>
    <cellStyle name="Normal 8 22 3 2 2 2" xfId="35321"/>
    <cellStyle name="Normal 8 22 3 2 3" xfId="21590"/>
    <cellStyle name="Normal 8 22 3 2 3 2" xfId="41473"/>
    <cellStyle name="Normal 8 22 3 2 4" xfId="29168"/>
    <cellStyle name="Normal 8 22 3 3" xfId="12372"/>
    <cellStyle name="Normal 8 22 3 3 2" xfId="32255"/>
    <cellStyle name="Normal 8 22 3 4" xfId="18524"/>
    <cellStyle name="Normal 8 22 3 4 2" xfId="38407"/>
    <cellStyle name="Normal 8 22 3 5" xfId="26102"/>
    <cellStyle name="Normal 8 22 4" xfId="7710"/>
    <cellStyle name="Normal 8 22 4 2" xfId="13904"/>
    <cellStyle name="Normal 8 22 4 2 2" xfId="33787"/>
    <cellStyle name="Normal 8 22 4 3" xfId="20056"/>
    <cellStyle name="Normal 8 22 4 3 2" xfId="39939"/>
    <cellStyle name="Normal 8 22 4 4" xfId="27634"/>
    <cellStyle name="Normal 8 22 5" xfId="10838"/>
    <cellStyle name="Normal 8 22 5 2" xfId="30721"/>
    <cellStyle name="Normal 8 22 6" xfId="16990"/>
    <cellStyle name="Normal 8 22 6 2" xfId="36873"/>
    <cellStyle name="Normal 8 22 7" xfId="24568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2 2" xfId="36073"/>
    <cellStyle name="Normal 8 25 2 2 2 3" xfId="22342"/>
    <cellStyle name="Normal 8 25 2 2 2 3 2" xfId="42225"/>
    <cellStyle name="Normal 8 25 2 2 2 4" xfId="29920"/>
    <cellStyle name="Normal 8 25 2 2 3" xfId="13124"/>
    <cellStyle name="Normal 8 25 2 2 3 2" xfId="33007"/>
    <cellStyle name="Normal 8 25 2 2 4" xfId="19276"/>
    <cellStyle name="Normal 8 25 2 2 4 2" xfId="39159"/>
    <cellStyle name="Normal 8 25 2 2 5" xfId="26854"/>
    <cellStyle name="Normal 8 25 2 3" xfId="8462"/>
    <cellStyle name="Normal 8 25 2 3 2" xfId="14656"/>
    <cellStyle name="Normal 8 25 2 3 2 2" xfId="34539"/>
    <cellStyle name="Normal 8 25 2 3 3" xfId="20808"/>
    <cellStyle name="Normal 8 25 2 3 3 2" xfId="40691"/>
    <cellStyle name="Normal 8 25 2 3 4" xfId="28386"/>
    <cellStyle name="Normal 8 25 2 4" xfId="11590"/>
    <cellStyle name="Normal 8 25 2 4 2" xfId="31473"/>
    <cellStyle name="Normal 8 25 2 5" xfId="17742"/>
    <cellStyle name="Normal 8 25 2 5 2" xfId="37625"/>
    <cellStyle name="Normal 8 25 2 6" xfId="25320"/>
    <cellStyle name="Normal 8 25 3" xfId="6128"/>
    <cellStyle name="Normal 8 25 3 2" xfId="9228"/>
    <cellStyle name="Normal 8 25 3 2 2" xfId="15421"/>
    <cellStyle name="Normal 8 25 3 2 2 2" xfId="35304"/>
    <cellStyle name="Normal 8 25 3 2 3" xfId="21573"/>
    <cellStyle name="Normal 8 25 3 2 3 2" xfId="41456"/>
    <cellStyle name="Normal 8 25 3 2 4" xfId="29151"/>
    <cellStyle name="Normal 8 25 3 3" xfId="12355"/>
    <cellStyle name="Normal 8 25 3 3 2" xfId="32238"/>
    <cellStyle name="Normal 8 25 3 4" xfId="18507"/>
    <cellStyle name="Normal 8 25 3 4 2" xfId="38390"/>
    <cellStyle name="Normal 8 25 3 5" xfId="26085"/>
    <cellStyle name="Normal 8 25 4" xfId="7693"/>
    <cellStyle name="Normal 8 25 4 2" xfId="13887"/>
    <cellStyle name="Normal 8 25 4 2 2" xfId="33770"/>
    <cellStyle name="Normal 8 25 4 3" xfId="20039"/>
    <cellStyle name="Normal 8 25 4 3 2" xfId="39922"/>
    <cellStyle name="Normal 8 25 4 4" xfId="27617"/>
    <cellStyle name="Normal 8 25 5" xfId="10821"/>
    <cellStyle name="Normal 8 25 5 2" xfId="30704"/>
    <cellStyle name="Normal 8 25 6" xfId="16973"/>
    <cellStyle name="Normal 8 25 6 2" xfId="36856"/>
    <cellStyle name="Normal 8 25 7" xfId="24551"/>
    <cellStyle name="Normal 8 26" xfId="4743"/>
    <cellStyle name="Normal 8 26 2" xfId="6368"/>
    <cellStyle name="Normal 8 26 2 2" xfId="9454"/>
    <cellStyle name="Normal 8 26 2 2 2" xfId="15647"/>
    <cellStyle name="Normal 8 26 2 2 2 2" xfId="35530"/>
    <cellStyle name="Normal 8 26 2 2 3" xfId="21799"/>
    <cellStyle name="Normal 8 26 2 2 3 2" xfId="41682"/>
    <cellStyle name="Normal 8 26 2 2 4" xfId="29377"/>
    <cellStyle name="Normal 8 26 2 3" xfId="12581"/>
    <cellStyle name="Normal 8 26 2 3 2" xfId="32464"/>
    <cellStyle name="Normal 8 26 2 4" xfId="18733"/>
    <cellStyle name="Normal 8 26 2 4 2" xfId="38616"/>
    <cellStyle name="Normal 8 26 2 5" xfId="26311"/>
    <cellStyle name="Normal 8 26 3" xfId="7919"/>
    <cellStyle name="Normal 8 26 3 2" xfId="14113"/>
    <cellStyle name="Normal 8 26 3 2 2" xfId="33996"/>
    <cellStyle name="Normal 8 26 3 3" xfId="20265"/>
    <cellStyle name="Normal 8 26 3 3 2" xfId="40148"/>
    <cellStyle name="Normal 8 26 3 4" xfId="27843"/>
    <cellStyle name="Normal 8 26 4" xfId="11047"/>
    <cellStyle name="Normal 8 26 4 2" xfId="30930"/>
    <cellStyle name="Normal 8 26 5" xfId="17199"/>
    <cellStyle name="Normal 8 26 5 2" xfId="37082"/>
    <cellStyle name="Normal 8 26 6" xfId="24777"/>
    <cellStyle name="Normal 8 27" xfId="5581"/>
    <cellStyle name="Normal 8 27 2" xfId="8685"/>
    <cellStyle name="Normal 8 27 2 2" xfId="14878"/>
    <cellStyle name="Normal 8 27 2 2 2" xfId="34761"/>
    <cellStyle name="Normal 8 27 2 3" xfId="21030"/>
    <cellStyle name="Normal 8 27 2 3 2" xfId="40913"/>
    <cellStyle name="Normal 8 27 2 4" xfId="28608"/>
    <cellStyle name="Normal 8 27 3" xfId="11812"/>
    <cellStyle name="Normal 8 27 3 2" xfId="31695"/>
    <cellStyle name="Normal 8 27 4" xfId="17964"/>
    <cellStyle name="Normal 8 27 4 2" xfId="37847"/>
    <cellStyle name="Normal 8 27 5" xfId="25542"/>
    <cellStyle name="Normal 8 28" xfId="7150"/>
    <cellStyle name="Normal 8 28 2" xfId="13344"/>
    <cellStyle name="Normal 8 28 2 2" xfId="33227"/>
    <cellStyle name="Normal 8 28 3" xfId="19496"/>
    <cellStyle name="Normal 8 28 3 2" xfId="39379"/>
    <cellStyle name="Normal 8 28 4" xfId="27074"/>
    <cellStyle name="Normal 8 29" xfId="10278"/>
    <cellStyle name="Normal 8 29 2" xfId="30161"/>
    <cellStyle name="Normal 8 3" xfId="1307"/>
    <cellStyle name="Normal 8 3 10" xfId="10289"/>
    <cellStyle name="Normal 8 3 10 2" xfId="30172"/>
    <cellStyle name="Normal 8 3 11" xfId="16441"/>
    <cellStyle name="Normal 8 3 11 2" xfId="36324"/>
    <cellStyle name="Normal 8 3 12" xfId="23295"/>
    <cellStyle name="Normal 8 3 13" xfId="24019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2 2" xfId="36092"/>
    <cellStyle name="Normal 8 3 2 2 2 2 3" xfId="22361"/>
    <cellStyle name="Normal 8 3 2 2 2 2 3 2" xfId="42244"/>
    <cellStyle name="Normal 8 3 2 2 2 2 4" xfId="29939"/>
    <cellStyle name="Normal 8 3 2 2 2 3" xfId="13143"/>
    <cellStyle name="Normal 8 3 2 2 2 3 2" xfId="33026"/>
    <cellStyle name="Normal 8 3 2 2 2 4" xfId="19295"/>
    <cellStyle name="Normal 8 3 2 2 2 4 2" xfId="39178"/>
    <cellStyle name="Normal 8 3 2 2 2 5" xfId="26873"/>
    <cellStyle name="Normal 8 3 2 2 3" xfId="8481"/>
    <cellStyle name="Normal 8 3 2 2 3 2" xfId="14675"/>
    <cellStyle name="Normal 8 3 2 2 3 2 2" xfId="34558"/>
    <cellStyle name="Normal 8 3 2 2 3 3" xfId="20827"/>
    <cellStyle name="Normal 8 3 2 2 3 3 2" xfId="40710"/>
    <cellStyle name="Normal 8 3 2 2 3 4" xfId="28405"/>
    <cellStyle name="Normal 8 3 2 2 4" xfId="11609"/>
    <cellStyle name="Normal 8 3 2 2 4 2" xfId="31492"/>
    <cellStyle name="Normal 8 3 2 2 5" xfId="17761"/>
    <cellStyle name="Normal 8 3 2 2 5 2" xfId="37644"/>
    <cellStyle name="Normal 8 3 2 2 6" xfId="25339"/>
    <cellStyle name="Normal 8 3 2 3" xfId="6147"/>
    <cellStyle name="Normal 8 3 2 3 2" xfId="9247"/>
    <cellStyle name="Normal 8 3 2 3 2 2" xfId="15440"/>
    <cellStyle name="Normal 8 3 2 3 2 2 2" xfId="35323"/>
    <cellStyle name="Normal 8 3 2 3 2 3" xfId="21592"/>
    <cellStyle name="Normal 8 3 2 3 2 3 2" xfId="41475"/>
    <cellStyle name="Normal 8 3 2 3 2 4" xfId="29170"/>
    <cellStyle name="Normal 8 3 2 3 3" xfId="12374"/>
    <cellStyle name="Normal 8 3 2 3 3 2" xfId="32257"/>
    <cellStyle name="Normal 8 3 2 3 4" xfId="18526"/>
    <cellStyle name="Normal 8 3 2 3 4 2" xfId="38409"/>
    <cellStyle name="Normal 8 3 2 3 5" xfId="26104"/>
    <cellStyle name="Normal 8 3 2 4" xfId="7712"/>
    <cellStyle name="Normal 8 3 2 4 2" xfId="13906"/>
    <cellStyle name="Normal 8 3 2 4 2 2" xfId="33789"/>
    <cellStyle name="Normal 8 3 2 4 3" xfId="20058"/>
    <cellStyle name="Normal 8 3 2 4 3 2" xfId="39941"/>
    <cellStyle name="Normal 8 3 2 4 4" xfId="27636"/>
    <cellStyle name="Normal 8 3 2 5" xfId="10840"/>
    <cellStyle name="Normal 8 3 2 5 2" xfId="30723"/>
    <cellStyle name="Normal 8 3 2 6" xfId="16992"/>
    <cellStyle name="Normal 8 3 2 6 2" xfId="36875"/>
    <cellStyle name="Normal 8 3 2 7" xfId="24570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2 2" xfId="36093"/>
    <cellStyle name="Normal 8 3 3 2 2 2 3" xfId="22362"/>
    <cellStyle name="Normal 8 3 3 2 2 2 3 2" xfId="42245"/>
    <cellStyle name="Normal 8 3 3 2 2 2 4" xfId="29940"/>
    <cellStyle name="Normal 8 3 3 2 2 3" xfId="13144"/>
    <cellStyle name="Normal 8 3 3 2 2 3 2" xfId="33027"/>
    <cellStyle name="Normal 8 3 3 2 2 4" xfId="19296"/>
    <cellStyle name="Normal 8 3 3 2 2 4 2" xfId="39179"/>
    <cellStyle name="Normal 8 3 3 2 2 5" xfId="26874"/>
    <cellStyle name="Normal 8 3 3 2 3" xfId="8482"/>
    <cellStyle name="Normal 8 3 3 2 3 2" xfId="14676"/>
    <cellStyle name="Normal 8 3 3 2 3 2 2" xfId="34559"/>
    <cellStyle name="Normal 8 3 3 2 3 3" xfId="20828"/>
    <cellStyle name="Normal 8 3 3 2 3 3 2" xfId="40711"/>
    <cellStyle name="Normal 8 3 3 2 3 4" xfId="28406"/>
    <cellStyle name="Normal 8 3 3 2 4" xfId="11610"/>
    <cellStyle name="Normal 8 3 3 2 4 2" xfId="31493"/>
    <cellStyle name="Normal 8 3 3 2 5" xfId="17762"/>
    <cellStyle name="Normal 8 3 3 2 5 2" xfId="37645"/>
    <cellStyle name="Normal 8 3 3 2 6" xfId="25340"/>
    <cellStyle name="Normal 8 3 3 3" xfId="6148"/>
    <cellStyle name="Normal 8 3 3 3 2" xfId="9248"/>
    <cellStyle name="Normal 8 3 3 3 2 2" xfId="15441"/>
    <cellStyle name="Normal 8 3 3 3 2 2 2" xfId="35324"/>
    <cellStyle name="Normal 8 3 3 3 2 3" xfId="21593"/>
    <cellStyle name="Normal 8 3 3 3 2 3 2" xfId="41476"/>
    <cellStyle name="Normal 8 3 3 3 2 4" xfId="29171"/>
    <cellStyle name="Normal 8 3 3 3 3" xfId="12375"/>
    <cellStyle name="Normal 8 3 3 3 3 2" xfId="32258"/>
    <cellStyle name="Normal 8 3 3 3 4" xfId="18527"/>
    <cellStyle name="Normal 8 3 3 3 4 2" xfId="38410"/>
    <cellStyle name="Normal 8 3 3 3 5" xfId="26105"/>
    <cellStyle name="Normal 8 3 3 4" xfId="7713"/>
    <cellStyle name="Normal 8 3 3 4 2" xfId="13907"/>
    <cellStyle name="Normal 8 3 3 4 2 2" xfId="33790"/>
    <cellStyle name="Normal 8 3 3 4 3" xfId="20059"/>
    <cellStyle name="Normal 8 3 3 4 3 2" xfId="39942"/>
    <cellStyle name="Normal 8 3 3 4 4" xfId="27637"/>
    <cellStyle name="Normal 8 3 3 5" xfId="10841"/>
    <cellStyle name="Normal 8 3 3 5 2" xfId="30724"/>
    <cellStyle name="Normal 8 3 3 6" xfId="16993"/>
    <cellStyle name="Normal 8 3 3 6 2" xfId="36876"/>
    <cellStyle name="Normal 8 3 3 7" xfId="24571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2 2" xfId="36094"/>
    <cellStyle name="Normal 8 3 4 2 2 2 3" xfId="22363"/>
    <cellStyle name="Normal 8 3 4 2 2 2 3 2" xfId="42246"/>
    <cellStyle name="Normal 8 3 4 2 2 2 4" xfId="29941"/>
    <cellStyle name="Normal 8 3 4 2 2 3" xfId="13145"/>
    <cellStyle name="Normal 8 3 4 2 2 3 2" xfId="33028"/>
    <cellStyle name="Normal 8 3 4 2 2 4" xfId="19297"/>
    <cellStyle name="Normal 8 3 4 2 2 4 2" xfId="39180"/>
    <cellStyle name="Normal 8 3 4 2 2 5" xfId="26875"/>
    <cellStyle name="Normal 8 3 4 2 3" xfId="8483"/>
    <cellStyle name="Normal 8 3 4 2 3 2" xfId="14677"/>
    <cellStyle name="Normal 8 3 4 2 3 2 2" xfId="34560"/>
    <cellStyle name="Normal 8 3 4 2 3 3" xfId="20829"/>
    <cellStyle name="Normal 8 3 4 2 3 3 2" xfId="40712"/>
    <cellStyle name="Normal 8 3 4 2 3 4" xfId="28407"/>
    <cellStyle name="Normal 8 3 4 2 4" xfId="11611"/>
    <cellStyle name="Normal 8 3 4 2 4 2" xfId="31494"/>
    <cellStyle name="Normal 8 3 4 2 5" xfId="17763"/>
    <cellStyle name="Normal 8 3 4 2 5 2" xfId="37646"/>
    <cellStyle name="Normal 8 3 4 2 6" xfId="25341"/>
    <cellStyle name="Normal 8 3 4 3" xfId="6149"/>
    <cellStyle name="Normal 8 3 4 3 2" xfId="9249"/>
    <cellStyle name="Normal 8 3 4 3 2 2" xfId="15442"/>
    <cellStyle name="Normal 8 3 4 3 2 2 2" xfId="35325"/>
    <cellStyle name="Normal 8 3 4 3 2 3" xfId="21594"/>
    <cellStyle name="Normal 8 3 4 3 2 3 2" xfId="41477"/>
    <cellStyle name="Normal 8 3 4 3 2 4" xfId="29172"/>
    <cellStyle name="Normal 8 3 4 3 3" xfId="12376"/>
    <cellStyle name="Normal 8 3 4 3 3 2" xfId="32259"/>
    <cellStyle name="Normal 8 3 4 3 4" xfId="18528"/>
    <cellStyle name="Normal 8 3 4 3 4 2" xfId="38411"/>
    <cellStyle name="Normal 8 3 4 3 5" xfId="26106"/>
    <cellStyle name="Normal 8 3 4 4" xfId="7714"/>
    <cellStyle name="Normal 8 3 4 4 2" xfId="13908"/>
    <cellStyle name="Normal 8 3 4 4 2 2" xfId="33791"/>
    <cellStyle name="Normal 8 3 4 4 3" xfId="20060"/>
    <cellStyle name="Normal 8 3 4 4 3 2" xfId="39943"/>
    <cellStyle name="Normal 8 3 4 4 4" xfId="27638"/>
    <cellStyle name="Normal 8 3 4 5" xfId="10842"/>
    <cellStyle name="Normal 8 3 4 5 2" xfId="30725"/>
    <cellStyle name="Normal 8 3 4 6" xfId="16994"/>
    <cellStyle name="Normal 8 3 4 6 2" xfId="36877"/>
    <cellStyle name="Normal 8 3 4 7" xfId="24572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2 2" xfId="36095"/>
    <cellStyle name="Normal 8 3 5 2 2 2 3" xfId="22364"/>
    <cellStyle name="Normal 8 3 5 2 2 2 3 2" xfId="42247"/>
    <cellStyle name="Normal 8 3 5 2 2 2 4" xfId="29942"/>
    <cellStyle name="Normal 8 3 5 2 2 3" xfId="13146"/>
    <cellStyle name="Normal 8 3 5 2 2 3 2" xfId="33029"/>
    <cellStyle name="Normal 8 3 5 2 2 4" xfId="19298"/>
    <cellStyle name="Normal 8 3 5 2 2 4 2" xfId="39181"/>
    <cellStyle name="Normal 8 3 5 2 2 5" xfId="26876"/>
    <cellStyle name="Normal 8 3 5 2 3" xfId="8484"/>
    <cellStyle name="Normal 8 3 5 2 3 2" xfId="14678"/>
    <cellStyle name="Normal 8 3 5 2 3 2 2" xfId="34561"/>
    <cellStyle name="Normal 8 3 5 2 3 3" xfId="20830"/>
    <cellStyle name="Normal 8 3 5 2 3 3 2" xfId="40713"/>
    <cellStyle name="Normal 8 3 5 2 3 4" xfId="28408"/>
    <cellStyle name="Normal 8 3 5 2 4" xfId="11612"/>
    <cellStyle name="Normal 8 3 5 2 4 2" xfId="31495"/>
    <cellStyle name="Normal 8 3 5 2 5" xfId="17764"/>
    <cellStyle name="Normal 8 3 5 2 5 2" xfId="37647"/>
    <cellStyle name="Normal 8 3 5 2 6" xfId="25342"/>
    <cellStyle name="Normal 8 3 5 3" xfId="6150"/>
    <cellStyle name="Normal 8 3 5 3 2" xfId="9250"/>
    <cellStyle name="Normal 8 3 5 3 2 2" xfId="15443"/>
    <cellStyle name="Normal 8 3 5 3 2 2 2" xfId="35326"/>
    <cellStyle name="Normal 8 3 5 3 2 3" xfId="21595"/>
    <cellStyle name="Normal 8 3 5 3 2 3 2" xfId="41478"/>
    <cellStyle name="Normal 8 3 5 3 2 4" xfId="29173"/>
    <cellStyle name="Normal 8 3 5 3 3" xfId="12377"/>
    <cellStyle name="Normal 8 3 5 3 3 2" xfId="32260"/>
    <cellStyle name="Normal 8 3 5 3 4" xfId="18529"/>
    <cellStyle name="Normal 8 3 5 3 4 2" xfId="38412"/>
    <cellStyle name="Normal 8 3 5 3 5" xfId="26107"/>
    <cellStyle name="Normal 8 3 5 4" xfId="7715"/>
    <cellStyle name="Normal 8 3 5 4 2" xfId="13909"/>
    <cellStyle name="Normal 8 3 5 4 2 2" xfId="33792"/>
    <cellStyle name="Normal 8 3 5 4 3" xfId="20061"/>
    <cellStyle name="Normal 8 3 5 4 3 2" xfId="39944"/>
    <cellStyle name="Normal 8 3 5 4 4" xfId="27639"/>
    <cellStyle name="Normal 8 3 5 5" xfId="10843"/>
    <cellStyle name="Normal 8 3 5 5 2" xfId="30726"/>
    <cellStyle name="Normal 8 3 5 6" xfId="16995"/>
    <cellStyle name="Normal 8 3 5 6 2" xfId="36878"/>
    <cellStyle name="Normal 8 3 5 7" xfId="24573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2 2" xfId="36091"/>
    <cellStyle name="Normal 8 3 6 2 2 2 3" xfId="22360"/>
    <cellStyle name="Normal 8 3 6 2 2 2 3 2" xfId="42243"/>
    <cellStyle name="Normal 8 3 6 2 2 2 4" xfId="29938"/>
    <cellStyle name="Normal 8 3 6 2 2 3" xfId="13142"/>
    <cellStyle name="Normal 8 3 6 2 2 3 2" xfId="33025"/>
    <cellStyle name="Normal 8 3 6 2 2 4" xfId="19294"/>
    <cellStyle name="Normal 8 3 6 2 2 4 2" xfId="39177"/>
    <cellStyle name="Normal 8 3 6 2 2 5" xfId="26872"/>
    <cellStyle name="Normal 8 3 6 2 3" xfId="8480"/>
    <cellStyle name="Normal 8 3 6 2 3 2" xfId="14674"/>
    <cellStyle name="Normal 8 3 6 2 3 2 2" xfId="34557"/>
    <cellStyle name="Normal 8 3 6 2 3 3" xfId="20826"/>
    <cellStyle name="Normal 8 3 6 2 3 3 2" xfId="40709"/>
    <cellStyle name="Normal 8 3 6 2 3 4" xfId="28404"/>
    <cellStyle name="Normal 8 3 6 2 4" xfId="11608"/>
    <cellStyle name="Normal 8 3 6 2 4 2" xfId="31491"/>
    <cellStyle name="Normal 8 3 6 2 5" xfId="17760"/>
    <cellStyle name="Normal 8 3 6 2 5 2" xfId="37643"/>
    <cellStyle name="Normal 8 3 6 2 6" xfId="25338"/>
    <cellStyle name="Normal 8 3 6 3" xfId="6146"/>
    <cellStyle name="Normal 8 3 6 3 2" xfId="9246"/>
    <cellStyle name="Normal 8 3 6 3 2 2" xfId="15439"/>
    <cellStyle name="Normal 8 3 6 3 2 2 2" xfId="35322"/>
    <cellStyle name="Normal 8 3 6 3 2 3" xfId="21591"/>
    <cellStyle name="Normal 8 3 6 3 2 3 2" xfId="41474"/>
    <cellStyle name="Normal 8 3 6 3 2 4" xfId="29169"/>
    <cellStyle name="Normal 8 3 6 3 3" xfId="12373"/>
    <cellStyle name="Normal 8 3 6 3 3 2" xfId="32256"/>
    <cellStyle name="Normal 8 3 6 3 4" xfId="18525"/>
    <cellStyle name="Normal 8 3 6 3 4 2" xfId="38408"/>
    <cellStyle name="Normal 8 3 6 3 5" xfId="26103"/>
    <cellStyle name="Normal 8 3 6 4" xfId="7711"/>
    <cellStyle name="Normal 8 3 6 4 2" xfId="13905"/>
    <cellStyle name="Normal 8 3 6 4 2 2" xfId="33788"/>
    <cellStyle name="Normal 8 3 6 4 3" xfId="20057"/>
    <cellStyle name="Normal 8 3 6 4 3 2" xfId="39940"/>
    <cellStyle name="Normal 8 3 6 4 4" xfId="27635"/>
    <cellStyle name="Normal 8 3 6 5" xfId="10839"/>
    <cellStyle name="Normal 8 3 6 5 2" xfId="30722"/>
    <cellStyle name="Normal 8 3 6 6" xfId="16991"/>
    <cellStyle name="Normal 8 3 6 6 2" xfId="36874"/>
    <cellStyle name="Normal 8 3 6 7" xfId="24569"/>
    <cellStyle name="Normal 8 3 7" xfId="4754"/>
    <cellStyle name="Normal 8 3 7 2" xfId="6379"/>
    <cellStyle name="Normal 8 3 7 2 2" xfId="9465"/>
    <cellStyle name="Normal 8 3 7 2 2 2" xfId="15658"/>
    <cellStyle name="Normal 8 3 7 2 2 2 2" xfId="35541"/>
    <cellStyle name="Normal 8 3 7 2 2 3" xfId="21810"/>
    <cellStyle name="Normal 8 3 7 2 2 3 2" xfId="41693"/>
    <cellStyle name="Normal 8 3 7 2 2 4" xfId="29388"/>
    <cellStyle name="Normal 8 3 7 2 3" xfId="12592"/>
    <cellStyle name="Normal 8 3 7 2 3 2" xfId="32475"/>
    <cellStyle name="Normal 8 3 7 2 4" xfId="18744"/>
    <cellStyle name="Normal 8 3 7 2 4 2" xfId="38627"/>
    <cellStyle name="Normal 8 3 7 2 5" xfId="26322"/>
    <cellStyle name="Normal 8 3 7 3" xfId="7930"/>
    <cellStyle name="Normal 8 3 7 3 2" xfId="14124"/>
    <cellStyle name="Normal 8 3 7 3 2 2" xfId="34007"/>
    <cellStyle name="Normal 8 3 7 3 3" xfId="20276"/>
    <cellStyle name="Normal 8 3 7 3 3 2" xfId="40159"/>
    <cellStyle name="Normal 8 3 7 3 4" xfId="27854"/>
    <cellStyle name="Normal 8 3 7 4" xfId="11058"/>
    <cellStyle name="Normal 8 3 7 4 2" xfId="30941"/>
    <cellStyle name="Normal 8 3 7 5" xfId="17210"/>
    <cellStyle name="Normal 8 3 7 5 2" xfId="37093"/>
    <cellStyle name="Normal 8 3 7 6" xfId="24788"/>
    <cellStyle name="Normal 8 3 8" xfId="5593"/>
    <cellStyle name="Normal 8 3 8 2" xfId="8696"/>
    <cellStyle name="Normal 8 3 8 2 2" xfId="14889"/>
    <cellStyle name="Normal 8 3 8 2 2 2" xfId="34772"/>
    <cellStyle name="Normal 8 3 8 2 3" xfId="21041"/>
    <cellStyle name="Normal 8 3 8 2 3 2" xfId="40924"/>
    <cellStyle name="Normal 8 3 8 2 4" xfId="28619"/>
    <cellStyle name="Normal 8 3 8 3" xfId="11823"/>
    <cellStyle name="Normal 8 3 8 3 2" xfId="31706"/>
    <cellStyle name="Normal 8 3 8 4" xfId="17975"/>
    <cellStyle name="Normal 8 3 8 4 2" xfId="37858"/>
    <cellStyle name="Normal 8 3 8 5" xfId="25553"/>
    <cellStyle name="Normal 8 3 9" xfId="7161"/>
    <cellStyle name="Normal 8 3 9 2" xfId="13355"/>
    <cellStyle name="Normal 8 3 9 2 2" xfId="33238"/>
    <cellStyle name="Normal 8 3 9 3" xfId="19507"/>
    <cellStyle name="Normal 8 3 9 3 2" xfId="39390"/>
    <cellStyle name="Normal 8 3 9 4" xfId="27085"/>
    <cellStyle name="Normal 8 30" xfId="16430"/>
    <cellStyle name="Normal 8 30 2" xfId="36313"/>
    <cellStyle name="Normal 8 31" xfId="1279"/>
    <cellStyle name="Normal 8 31 2" xfId="24008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2 2" xfId="36096"/>
    <cellStyle name="Normal 8 4 2 2 2 3" xfId="22365"/>
    <cellStyle name="Normal 8 4 2 2 2 3 2" xfId="42248"/>
    <cellStyle name="Normal 8 4 2 2 2 4" xfId="29943"/>
    <cellStyle name="Normal 8 4 2 2 3" xfId="13147"/>
    <cellStyle name="Normal 8 4 2 2 3 2" xfId="33030"/>
    <cellStyle name="Normal 8 4 2 2 4" xfId="19299"/>
    <cellStyle name="Normal 8 4 2 2 4 2" xfId="39182"/>
    <cellStyle name="Normal 8 4 2 2 5" xfId="26877"/>
    <cellStyle name="Normal 8 4 2 3" xfId="8485"/>
    <cellStyle name="Normal 8 4 2 3 2" xfId="14679"/>
    <cellStyle name="Normal 8 4 2 3 2 2" xfId="34562"/>
    <cellStyle name="Normal 8 4 2 3 3" xfId="20831"/>
    <cellStyle name="Normal 8 4 2 3 3 2" xfId="40714"/>
    <cellStyle name="Normal 8 4 2 3 4" xfId="28409"/>
    <cellStyle name="Normal 8 4 2 4" xfId="11613"/>
    <cellStyle name="Normal 8 4 2 4 2" xfId="31496"/>
    <cellStyle name="Normal 8 4 2 5" xfId="17765"/>
    <cellStyle name="Normal 8 4 2 5 2" xfId="37648"/>
    <cellStyle name="Normal 8 4 2 6" xfId="25343"/>
    <cellStyle name="Normal 8 4 3" xfId="6151"/>
    <cellStyle name="Normal 8 4 3 2" xfId="9251"/>
    <cellStyle name="Normal 8 4 3 2 2" xfId="15444"/>
    <cellStyle name="Normal 8 4 3 2 2 2" xfId="35327"/>
    <cellStyle name="Normal 8 4 3 2 3" xfId="21596"/>
    <cellStyle name="Normal 8 4 3 2 3 2" xfId="41479"/>
    <cellStyle name="Normal 8 4 3 2 4" xfId="29174"/>
    <cellStyle name="Normal 8 4 3 3" xfId="12378"/>
    <cellStyle name="Normal 8 4 3 3 2" xfId="32261"/>
    <cellStyle name="Normal 8 4 3 4" xfId="18530"/>
    <cellStyle name="Normal 8 4 3 4 2" xfId="38413"/>
    <cellStyle name="Normal 8 4 3 5" xfId="26108"/>
    <cellStyle name="Normal 8 4 4" xfId="7716"/>
    <cellStyle name="Normal 8 4 4 2" xfId="13910"/>
    <cellStyle name="Normal 8 4 4 2 2" xfId="33793"/>
    <cellStyle name="Normal 8 4 4 3" xfId="20062"/>
    <cellStyle name="Normal 8 4 4 3 2" xfId="39945"/>
    <cellStyle name="Normal 8 4 4 4" xfId="27640"/>
    <cellStyle name="Normal 8 4 5" xfId="10844"/>
    <cellStyle name="Normal 8 4 5 2" xfId="30727"/>
    <cellStyle name="Normal 8 4 6" xfId="16996"/>
    <cellStyle name="Normal 8 4 6 2" xfId="36879"/>
    <cellStyle name="Normal 8 4 7" xfId="23296"/>
    <cellStyle name="Normal 8 4 8" xfId="24574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2 2" xfId="36097"/>
    <cellStyle name="Normal 8 5 2 2 2 3" xfId="22366"/>
    <cellStyle name="Normal 8 5 2 2 2 3 2" xfId="42249"/>
    <cellStyle name="Normal 8 5 2 2 2 4" xfId="29944"/>
    <cellStyle name="Normal 8 5 2 2 3" xfId="13148"/>
    <cellStyle name="Normal 8 5 2 2 3 2" xfId="33031"/>
    <cellStyle name="Normal 8 5 2 2 4" xfId="19300"/>
    <cellStyle name="Normal 8 5 2 2 4 2" xfId="39183"/>
    <cellStyle name="Normal 8 5 2 2 5" xfId="26878"/>
    <cellStyle name="Normal 8 5 2 3" xfId="8486"/>
    <cellStyle name="Normal 8 5 2 3 2" xfId="14680"/>
    <cellStyle name="Normal 8 5 2 3 2 2" xfId="34563"/>
    <cellStyle name="Normal 8 5 2 3 3" xfId="20832"/>
    <cellStyle name="Normal 8 5 2 3 3 2" xfId="40715"/>
    <cellStyle name="Normal 8 5 2 3 4" xfId="28410"/>
    <cellStyle name="Normal 8 5 2 4" xfId="11614"/>
    <cellStyle name="Normal 8 5 2 4 2" xfId="31497"/>
    <cellStyle name="Normal 8 5 2 5" xfId="17766"/>
    <cellStyle name="Normal 8 5 2 5 2" xfId="37649"/>
    <cellStyle name="Normal 8 5 2 6" xfId="25344"/>
    <cellStyle name="Normal 8 5 3" xfId="6152"/>
    <cellStyle name="Normal 8 5 3 2" xfId="9252"/>
    <cellStyle name="Normal 8 5 3 2 2" xfId="15445"/>
    <cellStyle name="Normal 8 5 3 2 2 2" xfId="35328"/>
    <cellStyle name="Normal 8 5 3 2 3" xfId="21597"/>
    <cellStyle name="Normal 8 5 3 2 3 2" xfId="41480"/>
    <cellStyle name="Normal 8 5 3 2 4" xfId="29175"/>
    <cellStyle name="Normal 8 5 3 3" xfId="12379"/>
    <cellStyle name="Normal 8 5 3 3 2" xfId="32262"/>
    <cellStyle name="Normal 8 5 3 4" xfId="18531"/>
    <cellStyle name="Normal 8 5 3 4 2" xfId="38414"/>
    <cellStyle name="Normal 8 5 3 5" xfId="26109"/>
    <cellStyle name="Normal 8 5 4" xfId="7717"/>
    <cellStyle name="Normal 8 5 4 2" xfId="13911"/>
    <cellStyle name="Normal 8 5 4 2 2" xfId="33794"/>
    <cellStyle name="Normal 8 5 4 3" xfId="20063"/>
    <cellStyle name="Normal 8 5 4 3 2" xfId="39946"/>
    <cellStyle name="Normal 8 5 4 4" xfId="27641"/>
    <cellStyle name="Normal 8 5 5" xfId="10845"/>
    <cellStyle name="Normal 8 5 5 2" xfId="30728"/>
    <cellStyle name="Normal 8 5 6" xfId="16997"/>
    <cellStyle name="Normal 8 5 6 2" xfId="36880"/>
    <cellStyle name="Normal 8 5 7" xfId="23297"/>
    <cellStyle name="Normal 8 5 8" xfId="24575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2 2" xfId="36098"/>
    <cellStyle name="Normal 8 6 2 2 2 3" xfId="22367"/>
    <cellStyle name="Normal 8 6 2 2 2 3 2" xfId="42250"/>
    <cellStyle name="Normal 8 6 2 2 2 4" xfId="29945"/>
    <cellStyle name="Normal 8 6 2 2 3" xfId="13149"/>
    <cellStyle name="Normal 8 6 2 2 3 2" xfId="33032"/>
    <cellStyle name="Normal 8 6 2 2 4" xfId="19301"/>
    <cellStyle name="Normal 8 6 2 2 4 2" xfId="39184"/>
    <cellStyle name="Normal 8 6 2 2 5" xfId="26879"/>
    <cellStyle name="Normal 8 6 2 3" xfId="8487"/>
    <cellStyle name="Normal 8 6 2 3 2" xfId="14681"/>
    <cellStyle name="Normal 8 6 2 3 2 2" xfId="34564"/>
    <cellStyle name="Normal 8 6 2 3 3" xfId="20833"/>
    <cellStyle name="Normal 8 6 2 3 3 2" xfId="40716"/>
    <cellStyle name="Normal 8 6 2 3 4" xfId="28411"/>
    <cellStyle name="Normal 8 6 2 4" xfId="11615"/>
    <cellStyle name="Normal 8 6 2 4 2" xfId="31498"/>
    <cellStyle name="Normal 8 6 2 5" xfId="17767"/>
    <cellStyle name="Normal 8 6 2 5 2" xfId="37650"/>
    <cellStyle name="Normal 8 6 2 6" xfId="25345"/>
    <cellStyle name="Normal 8 6 3" xfId="6153"/>
    <cellStyle name="Normal 8 6 3 2" xfId="9253"/>
    <cellStyle name="Normal 8 6 3 2 2" xfId="15446"/>
    <cellStyle name="Normal 8 6 3 2 2 2" xfId="35329"/>
    <cellStyle name="Normal 8 6 3 2 3" xfId="21598"/>
    <cellStyle name="Normal 8 6 3 2 3 2" xfId="41481"/>
    <cellStyle name="Normal 8 6 3 2 4" xfId="29176"/>
    <cellStyle name="Normal 8 6 3 3" xfId="12380"/>
    <cellStyle name="Normal 8 6 3 3 2" xfId="32263"/>
    <cellStyle name="Normal 8 6 3 4" xfId="18532"/>
    <cellStyle name="Normal 8 6 3 4 2" xfId="38415"/>
    <cellStyle name="Normal 8 6 3 5" xfId="26110"/>
    <cellStyle name="Normal 8 6 4" xfId="7718"/>
    <cellStyle name="Normal 8 6 4 2" xfId="13912"/>
    <cellStyle name="Normal 8 6 4 2 2" xfId="33795"/>
    <cellStyle name="Normal 8 6 4 3" xfId="20064"/>
    <cellStyle name="Normal 8 6 4 3 2" xfId="39947"/>
    <cellStyle name="Normal 8 6 4 4" xfId="27642"/>
    <cellStyle name="Normal 8 6 5" xfId="10846"/>
    <cellStyle name="Normal 8 6 5 2" xfId="30729"/>
    <cellStyle name="Normal 8 6 6" xfId="16998"/>
    <cellStyle name="Normal 8 6 6 2" xfId="36881"/>
    <cellStyle name="Normal 8 6 7" xfId="24576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2 2" xfId="36099"/>
    <cellStyle name="Normal 8 7 2 2 2 3" xfId="22368"/>
    <cellStyle name="Normal 8 7 2 2 2 3 2" xfId="42251"/>
    <cellStyle name="Normal 8 7 2 2 2 4" xfId="29946"/>
    <cellStyle name="Normal 8 7 2 2 3" xfId="13150"/>
    <cellStyle name="Normal 8 7 2 2 3 2" xfId="33033"/>
    <cellStyle name="Normal 8 7 2 2 4" xfId="19302"/>
    <cellStyle name="Normal 8 7 2 2 4 2" xfId="39185"/>
    <cellStyle name="Normal 8 7 2 2 5" xfId="26880"/>
    <cellStyle name="Normal 8 7 2 3" xfId="8488"/>
    <cellStyle name="Normal 8 7 2 3 2" xfId="14682"/>
    <cellStyle name="Normal 8 7 2 3 2 2" xfId="34565"/>
    <cellStyle name="Normal 8 7 2 3 3" xfId="20834"/>
    <cellStyle name="Normal 8 7 2 3 3 2" xfId="40717"/>
    <cellStyle name="Normal 8 7 2 3 4" xfId="28412"/>
    <cellStyle name="Normal 8 7 2 4" xfId="11616"/>
    <cellStyle name="Normal 8 7 2 4 2" xfId="31499"/>
    <cellStyle name="Normal 8 7 2 5" xfId="17768"/>
    <cellStyle name="Normal 8 7 2 5 2" xfId="37651"/>
    <cellStyle name="Normal 8 7 2 6" xfId="25346"/>
    <cellStyle name="Normal 8 7 3" xfId="6154"/>
    <cellStyle name="Normal 8 7 3 2" xfId="9254"/>
    <cellStyle name="Normal 8 7 3 2 2" xfId="15447"/>
    <cellStyle name="Normal 8 7 3 2 2 2" xfId="35330"/>
    <cellStyle name="Normal 8 7 3 2 3" xfId="21599"/>
    <cellStyle name="Normal 8 7 3 2 3 2" xfId="41482"/>
    <cellStyle name="Normal 8 7 3 2 4" xfId="29177"/>
    <cellStyle name="Normal 8 7 3 3" xfId="12381"/>
    <cellStyle name="Normal 8 7 3 3 2" xfId="32264"/>
    <cellStyle name="Normal 8 7 3 4" xfId="18533"/>
    <cellStyle name="Normal 8 7 3 4 2" xfId="38416"/>
    <cellStyle name="Normal 8 7 3 5" xfId="26111"/>
    <cellStyle name="Normal 8 7 4" xfId="7719"/>
    <cellStyle name="Normal 8 7 4 2" xfId="13913"/>
    <cellStyle name="Normal 8 7 4 2 2" xfId="33796"/>
    <cellStyle name="Normal 8 7 4 3" xfId="20065"/>
    <cellStyle name="Normal 8 7 4 3 2" xfId="39948"/>
    <cellStyle name="Normal 8 7 4 4" xfId="27643"/>
    <cellStyle name="Normal 8 7 5" xfId="10847"/>
    <cellStyle name="Normal 8 7 5 2" xfId="30730"/>
    <cellStyle name="Normal 8 7 6" xfId="16999"/>
    <cellStyle name="Normal 8 7 6 2" xfId="36882"/>
    <cellStyle name="Normal 8 7 7" xfId="24577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2 2" xfId="36100"/>
    <cellStyle name="Normal 8 8 2 2 2 3" xfId="22369"/>
    <cellStyle name="Normal 8 8 2 2 2 3 2" xfId="42252"/>
    <cellStyle name="Normal 8 8 2 2 2 4" xfId="29947"/>
    <cellStyle name="Normal 8 8 2 2 3" xfId="13151"/>
    <cellStyle name="Normal 8 8 2 2 3 2" xfId="33034"/>
    <cellStyle name="Normal 8 8 2 2 4" xfId="19303"/>
    <cellStyle name="Normal 8 8 2 2 4 2" xfId="39186"/>
    <cellStyle name="Normal 8 8 2 2 5" xfId="26881"/>
    <cellStyle name="Normal 8 8 2 3" xfId="8489"/>
    <cellStyle name="Normal 8 8 2 3 2" xfId="14683"/>
    <cellStyle name="Normal 8 8 2 3 2 2" xfId="34566"/>
    <cellStyle name="Normal 8 8 2 3 3" xfId="20835"/>
    <cellStyle name="Normal 8 8 2 3 3 2" xfId="40718"/>
    <cellStyle name="Normal 8 8 2 3 4" xfId="28413"/>
    <cellStyle name="Normal 8 8 2 4" xfId="11617"/>
    <cellStyle name="Normal 8 8 2 4 2" xfId="31500"/>
    <cellStyle name="Normal 8 8 2 5" xfId="17769"/>
    <cellStyle name="Normal 8 8 2 5 2" xfId="37652"/>
    <cellStyle name="Normal 8 8 2 6" xfId="25347"/>
    <cellStyle name="Normal 8 8 3" xfId="6155"/>
    <cellStyle name="Normal 8 8 3 2" xfId="9255"/>
    <cellStyle name="Normal 8 8 3 2 2" xfId="15448"/>
    <cellStyle name="Normal 8 8 3 2 2 2" xfId="35331"/>
    <cellStyle name="Normal 8 8 3 2 3" xfId="21600"/>
    <cellStyle name="Normal 8 8 3 2 3 2" xfId="41483"/>
    <cellStyle name="Normal 8 8 3 2 4" xfId="29178"/>
    <cellStyle name="Normal 8 8 3 3" xfId="12382"/>
    <cellStyle name="Normal 8 8 3 3 2" xfId="32265"/>
    <cellStyle name="Normal 8 8 3 4" xfId="18534"/>
    <cellStyle name="Normal 8 8 3 4 2" xfId="38417"/>
    <cellStyle name="Normal 8 8 3 5" xfId="26112"/>
    <cellStyle name="Normal 8 8 4" xfId="7720"/>
    <cellStyle name="Normal 8 8 4 2" xfId="13914"/>
    <cellStyle name="Normal 8 8 4 2 2" xfId="33797"/>
    <cellStyle name="Normal 8 8 4 3" xfId="20066"/>
    <cellStyle name="Normal 8 8 4 3 2" xfId="39949"/>
    <cellStyle name="Normal 8 8 4 4" xfId="27644"/>
    <cellStyle name="Normal 8 8 5" xfId="10848"/>
    <cellStyle name="Normal 8 8 5 2" xfId="30731"/>
    <cellStyle name="Normal 8 8 6" xfId="17000"/>
    <cellStyle name="Normal 8 8 6 2" xfId="36883"/>
    <cellStyle name="Normal 8 8 7" xfId="24578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2 2" xfId="36101"/>
    <cellStyle name="Normal 8 9 2 2 2 3" xfId="22370"/>
    <cellStyle name="Normal 8 9 2 2 2 3 2" xfId="42253"/>
    <cellStyle name="Normal 8 9 2 2 2 4" xfId="29948"/>
    <cellStyle name="Normal 8 9 2 2 3" xfId="13152"/>
    <cellStyle name="Normal 8 9 2 2 3 2" xfId="33035"/>
    <cellStyle name="Normal 8 9 2 2 4" xfId="19304"/>
    <cellStyle name="Normal 8 9 2 2 4 2" xfId="39187"/>
    <cellStyle name="Normal 8 9 2 2 5" xfId="26882"/>
    <cellStyle name="Normal 8 9 2 3" xfId="8490"/>
    <cellStyle name="Normal 8 9 2 3 2" xfId="14684"/>
    <cellStyle name="Normal 8 9 2 3 2 2" xfId="34567"/>
    <cellStyle name="Normal 8 9 2 3 3" xfId="20836"/>
    <cellStyle name="Normal 8 9 2 3 3 2" xfId="40719"/>
    <cellStyle name="Normal 8 9 2 3 4" xfId="28414"/>
    <cellStyle name="Normal 8 9 2 4" xfId="11618"/>
    <cellStyle name="Normal 8 9 2 4 2" xfId="31501"/>
    <cellStyle name="Normal 8 9 2 5" xfId="17770"/>
    <cellStyle name="Normal 8 9 2 5 2" xfId="37653"/>
    <cellStyle name="Normal 8 9 2 6" xfId="25348"/>
    <cellStyle name="Normal 8 9 3" xfId="6156"/>
    <cellStyle name="Normal 8 9 3 2" xfId="9256"/>
    <cellStyle name="Normal 8 9 3 2 2" xfId="15449"/>
    <cellStyle name="Normal 8 9 3 2 2 2" xfId="35332"/>
    <cellStyle name="Normal 8 9 3 2 3" xfId="21601"/>
    <cellStyle name="Normal 8 9 3 2 3 2" xfId="41484"/>
    <cellStyle name="Normal 8 9 3 2 4" xfId="29179"/>
    <cellStyle name="Normal 8 9 3 3" xfId="12383"/>
    <cellStyle name="Normal 8 9 3 3 2" xfId="32266"/>
    <cellStyle name="Normal 8 9 3 4" xfId="18535"/>
    <cellStyle name="Normal 8 9 3 4 2" xfId="38418"/>
    <cellStyle name="Normal 8 9 3 5" xfId="26113"/>
    <cellStyle name="Normal 8 9 4" xfId="7721"/>
    <cellStyle name="Normal 8 9 4 2" xfId="13915"/>
    <cellStyle name="Normal 8 9 4 2 2" xfId="33798"/>
    <cellStyle name="Normal 8 9 4 3" xfId="20067"/>
    <cellStyle name="Normal 8 9 4 3 2" xfId="39950"/>
    <cellStyle name="Normal 8 9 4 4" xfId="27645"/>
    <cellStyle name="Normal 8 9 5" xfId="10849"/>
    <cellStyle name="Normal 8 9 5 2" xfId="30732"/>
    <cellStyle name="Normal 8 9 6" xfId="17001"/>
    <cellStyle name="Normal 8 9 6 2" xfId="36884"/>
    <cellStyle name="Normal 8 9 7" xfId="24579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2 2" xfId="36103"/>
    <cellStyle name="Normal 9 10 2 2 2 3" xfId="22372"/>
    <cellStyle name="Normal 9 10 2 2 2 3 2" xfId="42255"/>
    <cellStyle name="Normal 9 10 2 2 2 4" xfId="29950"/>
    <cellStyle name="Normal 9 10 2 2 3" xfId="13154"/>
    <cellStyle name="Normal 9 10 2 2 3 2" xfId="33037"/>
    <cellStyle name="Normal 9 10 2 2 4" xfId="19306"/>
    <cellStyle name="Normal 9 10 2 2 4 2" xfId="39189"/>
    <cellStyle name="Normal 9 10 2 2 5" xfId="26884"/>
    <cellStyle name="Normal 9 10 2 3" xfId="8492"/>
    <cellStyle name="Normal 9 10 2 3 2" xfId="14686"/>
    <cellStyle name="Normal 9 10 2 3 2 2" xfId="34569"/>
    <cellStyle name="Normal 9 10 2 3 3" xfId="20838"/>
    <cellStyle name="Normal 9 10 2 3 3 2" xfId="40721"/>
    <cellStyle name="Normal 9 10 2 3 4" xfId="28416"/>
    <cellStyle name="Normal 9 10 2 4" xfId="11620"/>
    <cellStyle name="Normal 9 10 2 4 2" xfId="31503"/>
    <cellStyle name="Normal 9 10 2 5" xfId="17772"/>
    <cellStyle name="Normal 9 10 2 5 2" xfId="37655"/>
    <cellStyle name="Normal 9 10 2 6" xfId="25350"/>
    <cellStyle name="Normal 9 10 3" xfId="6158"/>
    <cellStyle name="Normal 9 10 3 2" xfId="9258"/>
    <cellStyle name="Normal 9 10 3 2 2" xfId="15451"/>
    <cellStyle name="Normal 9 10 3 2 2 2" xfId="35334"/>
    <cellStyle name="Normal 9 10 3 2 3" xfId="21603"/>
    <cellStyle name="Normal 9 10 3 2 3 2" xfId="41486"/>
    <cellStyle name="Normal 9 10 3 2 4" xfId="29181"/>
    <cellStyle name="Normal 9 10 3 3" xfId="12385"/>
    <cellStyle name="Normal 9 10 3 3 2" xfId="32268"/>
    <cellStyle name="Normal 9 10 3 4" xfId="18537"/>
    <cellStyle name="Normal 9 10 3 4 2" xfId="38420"/>
    <cellStyle name="Normal 9 10 3 5" xfId="26115"/>
    <cellStyle name="Normal 9 10 4" xfId="7723"/>
    <cellStyle name="Normal 9 10 4 2" xfId="13917"/>
    <cellStyle name="Normal 9 10 4 2 2" xfId="33800"/>
    <cellStyle name="Normal 9 10 4 3" xfId="20069"/>
    <cellStyle name="Normal 9 10 4 3 2" xfId="39952"/>
    <cellStyle name="Normal 9 10 4 4" xfId="27647"/>
    <cellStyle name="Normal 9 10 5" xfId="10851"/>
    <cellStyle name="Normal 9 10 5 2" xfId="30734"/>
    <cellStyle name="Normal 9 10 6" xfId="17003"/>
    <cellStyle name="Normal 9 10 6 2" xfId="36886"/>
    <cellStyle name="Normal 9 10 7" xfId="24581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2 2" xfId="36104"/>
    <cellStyle name="Normal 9 11 2 2 2 3" xfId="22373"/>
    <cellStyle name="Normal 9 11 2 2 2 3 2" xfId="42256"/>
    <cellStyle name="Normal 9 11 2 2 2 4" xfId="29951"/>
    <cellStyle name="Normal 9 11 2 2 3" xfId="13155"/>
    <cellStyle name="Normal 9 11 2 2 3 2" xfId="33038"/>
    <cellStyle name="Normal 9 11 2 2 4" xfId="19307"/>
    <cellStyle name="Normal 9 11 2 2 4 2" xfId="39190"/>
    <cellStyle name="Normal 9 11 2 2 5" xfId="26885"/>
    <cellStyle name="Normal 9 11 2 3" xfId="8493"/>
    <cellStyle name="Normal 9 11 2 3 2" xfId="14687"/>
    <cellStyle name="Normal 9 11 2 3 2 2" xfId="34570"/>
    <cellStyle name="Normal 9 11 2 3 3" xfId="20839"/>
    <cellStyle name="Normal 9 11 2 3 3 2" xfId="40722"/>
    <cellStyle name="Normal 9 11 2 3 4" xfId="28417"/>
    <cellStyle name="Normal 9 11 2 4" xfId="11621"/>
    <cellStyle name="Normal 9 11 2 4 2" xfId="31504"/>
    <cellStyle name="Normal 9 11 2 5" xfId="17773"/>
    <cellStyle name="Normal 9 11 2 5 2" xfId="37656"/>
    <cellStyle name="Normal 9 11 2 6" xfId="25351"/>
    <cellStyle name="Normal 9 11 3" xfId="6159"/>
    <cellStyle name="Normal 9 11 3 2" xfId="9259"/>
    <cellStyle name="Normal 9 11 3 2 2" xfId="15452"/>
    <cellStyle name="Normal 9 11 3 2 2 2" xfId="35335"/>
    <cellStyle name="Normal 9 11 3 2 3" xfId="21604"/>
    <cellStyle name="Normal 9 11 3 2 3 2" xfId="41487"/>
    <cellStyle name="Normal 9 11 3 2 4" xfId="29182"/>
    <cellStyle name="Normal 9 11 3 3" xfId="12386"/>
    <cellStyle name="Normal 9 11 3 3 2" xfId="32269"/>
    <cellStyle name="Normal 9 11 3 4" xfId="18538"/>
    <cellStyle name="Normal 9 11 3 4 2" xfId="38421"/>
    <cellStyle name="Normal 9 11 3 5" xfId="26116"/>
    <cellStyle name="Normal 9 11 4" xfId="7724"/>
    <cellStyle name="Normal 9 11 4 2" xfId="13918"/>
    <cellStyle name="Normal 9 11 4 2 2" xfId="33801"/>
    <cellStyle name="Normal 9 11 4 3" xfId="20070"/>
    <cellStyle name="Normal 9 11 4 3 2" xfId="39953"/>
    <cellStyle name="Normal 9 11 4 4" xfId="27648"/>
    <cellStyle name="Normal 9 11 5" xfId="10852"/>
    <cellStyle name="Normal 9 11 5 2" xfId="30735"/>
    <cellStyle name="Normal 9 11 6" xfId="17004"/>
    <cellStyle name="Normal 9 11 6 2" xfId="36887"/>
    <cellStyle name="Normal 9 11 7" xfId="24582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2 2" xfId="36105"/>
    <cellStyle name="Normal 9 12 2 2 2 3" xfId="22374"/>
    <cellStyle name="Normal 9 12 2 2 2 3 2" xfId="42257"/>
    <cellStyle name="Normal 9 12 2 2 2 4" xfId="29952"/>
    <cellStyle name="Normal 9 12 2 2 3" xfId="13156"/>
    <cellStyle name="Normal 9 12 2 2 3 2" xfId="33039"/>
    <cellStyle name="Normal 9 12 2 2 4" xfId="19308"/>
    <cellStyle name="Normal 9 12 2 2 4 2" xfId="39191"/>
    <cellStyle name="Normal 9 12 2 2 5" xfId="26886"/>
    <cellStyle name="Normal 9 12 2 3" xfId="8494"/>
    <cellStyle name="Normal 9 12 2 3 2" xfId="14688"/>
    <cellStyle name="Normal 9 12 2 3 2 2" xfId="34571"/>
    <cellStyle name="Normal 9 12 2 3 3" xfId="20840"/>
    <cellStyle name="Normal 9 12 2 3 3 2" xfId="40723"/>
    <cellStyle name="Normal 9 12 2 3 4" xfId="28418"/>
    <cellStyle name="Normal 9 12 2 4" xfId="11622"/>
    <cellStyle name="Normal 9 12 2 4 2" xfId="31505"/>
    <cellStyle name="Normal 9 12 2 5" xfId="17774"/>
    <cellStyle name="Normal 9 12 2 5 2" xfId="37657"/>
    <cellStyle name="Normal 9 12 2 6" xfId="25352"/>
    <cellStyle name="Normal 9 12 3" xfId="6160"/>
    <cellStyle name="Normal 9 12 3 2" xfId="9260"/>
    <cellStyle name="Normal 9 12 3 2 2" xfId="15453"/>
    <cellStyle name="Normal 9 12 3 2 2 2" xfId="35336"/>
    <cellStyle name="Normal 9 12 3 2 3" xfId="21605"/>
    <cellStyle name="Normal 9 12 3 2 3 2" xfId="41488"/>
    <cellStyle name="Normal 9 12 3 2 4" xfId="29183"/>
    <cellStyle name="Normal 9 12 3 3" xfId="12387"/>
    <cellStyle name="Normal 9 12 3 3 2" xfId="32270"/>
    <cellStyle name="Normal 9 12 3 4" xfId="18539"/>
    <cellStyle name="Normal 9 12 3 4 2" xfId="38422"/>
    <cellStyle name="Normal 9 12 3 5" xfId="26117"/>
    <cellStyle name="Normal 9 12 4" xfId="7725"/>
    <cellStyle name="Normal 9 12 4 2" xfId="13919"/>
    <cellStyle name="Normal 9 12 4 2 2" xfId="33802"/>
    <cellStyle name="Normal 9 12 4 3" xfId="20071"/>
    <cellStyle name="Normal 9 12 4 3 2" xfId="39954"/>
    <cellStyle name="Normal 9 12 4 4" xfId="27649"/>
    <cellStyle name="Normal 9 12 5" xfId="10853"/>
    <cellStyle name="Normal 9 12 5 2" xfId="30736"/>
    <cellStyle name="Normal 9 12 6" xfId="17005"/>
    <cellStyle name="Normal 9 12 6 2" xfId="36888"/>
    <cellStyle name="Normal 9 12 7" xfId="24583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2 2" xfId="36106"/>
    <cellStyle name="Normal 9 13 2 2 2 3" xfId="22375"/>
    <cellStyle name="Normal 9 13 2 2 2 3 2" xfId="42258"/>
    <cellStyle name="Normal 9 13 2 2 2 4" xfId="29953"/>
    <cellStyle name="Normal 9 13 2 2 3" xfId="13157"/>
    <cellStyle name="Normal 9 13 2 2 3 2" xfId="33040"/>
    <cellStyle name="Normal 9 13 2 2 4" xfId="19309"/>
    <cellStyle name="Normal 9 13 2 2 4 2" xfId="39192"/>
    <cellStyle name="Normal 9 13 2 2 5" xfId="26887"/>
    <cellStyle name="Normal 9 13 2 3" xfId="8495"/>
    <cellStyle name="Normal 9 13 2 3 2" xfId="14689"/>
    <cellStyle name="Normal 9 13 2 3 2 2" xfId="34572"/>
    <cellStyle name="Normal 9 13 2 3 3" xfId="20841"/>
    <cellStyle name="Normal 9 13 2 3 3 2" xfId="40724"/>
    <cellStyle name="Normal 9 13 2 3 4" xfId="28419"/>
    <cellStyle name="Normal 9 13 2 4" xfId="11623"/>
    <cellStyle name="Normal 9 13 2 4 2" xfId="31506"/>
    <cellStyle name="Normal 9 13 2 5" xfId="17775"/>
    <cellStyle name="Normal 9 13 2 5 2" xfId="37658"/>
    <cellStyle name="Normal 9 13 2 6" xfId="25353"/>
    <cellStyle name="Normal 9 13 3" xfId="6161"/>
    <cellStyle name="Normal 9 13 3 2" xfId="9261"/>
    <cellStyle name="Normal 9 13 3 2 2" xfId="15454"/>
    <cellStyle name="Normal 9 13 3 2 2 2" xfId="35337"/>
    <cellStyle name="Normal 9 13 3 2 3" xfId="21606"/>
    <cellStyle name="Normal 9 13 3 2 3 2" xfId="41489"/>
    <cellStyle name="Normal 9 13 3 2 4" xfId="29184"/>
    <cellStyle name="Normal 9 13 3 3" xfId="12388"/>
    <cellStyle name="Normal 9 13 3 3 2" xfId="32271"/>
    <cellStyle name="Normal 9 13 3 4" xfId="18540"/>
    <cellStyle name="Normal 9 13 3 4 2" xfId="38423"/>
    <cellStyle name="Normal 9 13 3 5" xfId="26118"/>
    <cellStyle name="Normal 9 13 4" xfId="7726"/>
    <cellStyle name="Normal 9 13 4 2" xfId="13920"/>
    <cellStyle name="Normal 9 13 4 2 2" xfId="33803"/>
    <cellStyle name="Normal 9 13 4 3" xfId="20072"/>
    <cellStyle name="Normal 9 13 4 3 2" xfId="39955"/>
    <cellStyle name="Normal 9 13 4 4" xfId="27650"/>
    <cellStyle name="Normal 9 13 5" xfId="10854"/>
    <cellStyle name="Normal 9 13 5 2" xfId="30737"/>
    <cellStyle name="Normal 9 13 6" xfId="17006"/>
    <cellStyle name="Normal 9 13 6 2" xfId="36889"/>
    <cellStyle name="Normal 9 13 7" xfId="24584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2 2" xfId="36107"/>
    <cellStyle name="Normal 9 14 2 2 2 3" xfId="22376"/>
    <cellStyle name="Normal 9 14 2 2 2 3 2" xfId="42259"/>
    <cellStyle name="Normal 9 14 2 2 2 4" xfId="29954"/>
    <cellStyle name="Normal 9 14 2 2 3" xfId="13158"/>
    <cellStyle name="Normal 9 14 2 2 3 2" xfId="33041"/>
    <cellStyle name="Normal 9 14 2 2 4" xfId="19310"/>
    <cellStyle name="Normal 9 14 2 2 4 2" xfId="39193"/>
    <cellStyle name="Normal 9 14 2 2 5" xfId="26888"/>
    <cellStyle name="Normal 9 14 2 3" xfId="8496"/>
    <cellStyle name="Normal 9 14 2 3 2" xfId="14690"/>
    <cellStyle name="Normal 9 14 2 3 2 2" xfId="34573"/>
    <cellStyle name="Normal 9 14 2 3 3" xfId="20842"/>
    <cellStyle name="Normal 9 14 2 3 3 2" xfId="40725"/>
    <cellStyle name="Normal 9 14 2 3 4" xfId="28420"/>
    <cellStyle name="Normal 9 14 2 4" xfId="11624"/>
    <cellStyle name="Normal 9 14 2 4 2" xfId="31507"/>
    <cellStyle name="Normal 9 14 2 5" xfId="17776"/>
    <cellStyle name="Normal 9 14 2 5 2" xfId="37659"/>
    <cellStyle name="Normal 9 14 2 6" xfId="25354"/>
    <cellStyle name="Normal 9 14 3" xfId="6162"/>
    <cellStyle name="Normal 9 14 3 2" xfId="9262"/>
    <cellStyle name="Normal 9 14 3 2 2" xfId="15455"/>
    <cellStyle name="Normal 9 14 3 2 2 2" xfId="35338"/>
    <cellStyle name="Normal 9 14 3 2 3" xfId="21607"/>
    <cellStyle name="Normal 9 14 3 2 3 2" xfId="41490"/>
    <cellStyle name="Normal 9 14 3 2 4" xfId="29185"/>
    <cellStyle name="Normal 9 14 3 3" xfId="12389"/>
    <cellStyle name="Normal 9 14 3 3 2" xfId="32272"/>
    <cellStyle name="Normal 9 14 3 4" xfId="18541"/>
    <cellStyle name="Normal 9 14 3 4 2" xfId="38424"/>
    <cellStyle name="Normal 9 14 3 5" xfId="26119"/>
    <cellStyle name="Normal 9 14 4" xfId="7727"/>
    <cellStyle name="Normal 9 14 4 2" xfId="13921"/>
    <cellStyle name="Normal 9 14 4 2 2" xfId="33804"/>
    <cellStyle name="Normal 9 14 4 3" xfId="20073"/>
    <cellStyle name="Normal 9 14 4 3 2" xfId="39956"/>
    <cellStyle name="Normal 9 14 4 4" xfId="27651"/>
    <cellStyle name="Normal 9 14 5" xfId="10855"/>
    <cellStyle name="Normal 9 14 5 2" xfId="30738"/>
    <cellStyle name="Normal 9 14 6" xfId="17007"/>
    <cellStyle name="Normal 9 14 6 2" xfId="36890"/>
    <cellStyle name="Normal 9 14 7" xfId="24585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2 2" xfId="36108"/>
    <cellStyle name="Normal 9 15 2 2 2 3" xfId="22377"/>
    <cellStyle name="Normal 9 15 2 2 2 3 2" xfId="42260"/>
    <cellStyle name="Normal 9 15 2 2 2 4" xfId="29955"/>
    <cellStyle name="Normal 9 15 2 2 3" xfId="13159"/>
    <cellStyle name="Normal 9 15 2 2 3 2" xfId="33042"/>
    <cellStyle name="Normal 9 15 2 2 4" xfId="19311"/>
    <cellStyle name="Normal 9 15 2 2 4 2" xfId="39194"/>
    <cellStyle name="Normal 9 15 2 2 5" xfId="26889"/>
    <cellStyle name="Normal 9 15 2 3" xfId="8497"/>
    <cellStyle name="Normal 9 15 2 3 2" xfId="14691"/>
    <cellStyle name="Normal 9 15 2 3 2 2" xfId="34574"/>
    <cellStyle name="Normal 9 15 2 3 3" xfId="20843"/>
    <cellStyle name="Normal 9 15 2 3 3 2" xfId="40726"/>
    <cellStyle name="Normal 9 15 2 3 4" xfId="28421"/>
    <cellStyle name="Normal 9 15 2 4" xfId="11625"/>
    <cellStyle name="Normal 9 15 2 4 2" xfId="31508"/>
    <cellStyle name="Normal 9 15 2 5" xfId="17777"/>
    <cellStyle name="Normal 9 15 2 5 2" xfId="37660"/>
    <cellStyle name="Normal 9 15 2 6" xfId="25355"/>
    <cellStyle name="Normal 9 15 3" xfId="6163"/>
    <cellStyle name="Normal 9 15 3 2" xfId="9263"/>
    <cellStyle name="Normal 9 15 3 2 2" xfId="15456"/>
    <cellStyle name="Normal 9 15 3 2 2 2" xfId="35339"/>
    <cellStyle name="Normal 9 15 3 2 3" xfId="21608"/>
    <cellStyle name="Normal 9 15 3 2 3 2" xfId="41491"/>
    <cellStyle name="Normal 9 15 3 2 4" xfId="29186"/>
    <cellStyle name="Normal 9 15 3 3" xfId="12390"/>
    <cellStyle name="Normal 9 15 3 3 2" xfId="32273"/>
    <cellStyle name="Normal 9 15 3 4" xfId="18542"/>
    <cellStyle name="Normal 9 15 3 4 2" xfId="38425"/>
    <cellStyle name="Normal 9 15 3 5" xfId="26120"/>
    <cellStyle name="Normal 9 15 4" xfId="7728"/>
    <cellStyle name="Normal 9 15 4 2" xfId="13922"/>
    <cellStyle name="Normal 9 15 4 2 2" xfId="33805"/>
    <cellStyle name="Normal 9 15 4 3" xfId="20074"/>
    <cellStyle name="Normal 9 15 4 3 2" xfId="39957"/>
    <cellStyle name="Normal 9 15 4 4" xfId="27652"/>
    <cellStyle name="Normal 9 15 5" xfId="10856"/>
    <cellStyle name="Normal 9 15 5 2" xfId="30739"/>
    <cellStyle name="Normal 9 15 6" xfId="17008"/>
    <cellStyle name="Normal 9 15 6 2" xfId="36891"/>
    <cellStyle name="Normal 9 15 7" xfId="24586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2 2" xfId="36109"/>
    <cellStyle name="Normal 9 16 2 2 2 3" xfId="22378"/>
    <cellStyle name="Normal 9 16 2 2 2 3 2" xfId="42261"/>
    <cellStyle name="Normal 9 16 2 2 2 4" xfId="29956"/>
    <cellStyle name="Normal 9 16 2 2 3" xfId="13160"/>
    <cellStyle name="Normal 9 16 2 2 3 2" xfId="33043"/>
    <cellStyle name="Normal 9 16 2 2 4" xfId="19312"/>
    <cellStyle name="Normal 9 16 2 2 4 2" xfId="39195"/>
    <cellStyle name="Normal 9 16 2 2 5" xfId="26890"/>
    <cellStyle name="Normal 9 16 2 3" xfId="8498"/>
    <cellStyle name="Normal 9 16 2 3 2" xfId="14692"/>
    <cellStyle name="Normal 9 16 2 3 2 2" xfId="34575"/>
    <cellStyle name="Normal 9 16 2 3 3" xfId="20844"/>
    <cellStyle name="Normal 9 16 2 3 3 2" xfId="40727"/>
    <cellStyle name="Normal 9 16 2 3 4" xfId="28422"/>
    <cellStyle name="Normal 9 16 2 4" xfId="11626"/>
    <cellStyle name="Normal 9 16 2 4 2" xfId="31509"/>
    <cellStyle name="Normal 9 16 2 5" xfId="17778"/>
    <cellStyle name="Normal 9 16 2 5 2" xfId="37661"/>
    <cellStyle name="Normal 9 16 2 6" xfId="25356"/>
    <cellStyle name="Normal 9 16 3" xfId="6164"/>
    <cellStyle name="Normal 9 16 3 2" xfId="9264"/>
    <cellStyle name="Normal 9 16 3 2 2" xfId="15457"/>
    <cellStyle name="Normal 9 16 3 2 2 2" xfId="35340"/>
    <cellStyle name="Normal 9 16 3 2 3" xfId="21609"/>
    <cellStyle name="Normal 9 16 3 2 3 2" xfId="41492"/>
    <cellStyle name="Normal 9 16 3 2 4" xfId="29187"/>
    <cellStyle name="Normal 9 16 3 3" xfId="12391"/>
    <cellStyle name="Normal 9 16 3 3 2" xfId="32274"/>
    <cellStyle name="Normal 9 16 3 4" xfId="18543"/>
    <cellStyle name="Normal 9 16 3 4 2" xfId="38426"/>
    <cellStyle name="Normal 9 16 3 5" xfId="26121"/>
    <cellStyle name="Normal 9 16 4" xfId="7729"/>
    <cellStyle name="Normal 9 16 4 2" xfId="13923"/>
    <cellStyle name="Normal 9 16 4 2 2" xfId="33806"/>
    <cellStyle name="Normal 9 16 4 3" xfId="20075"/>
    <cellStyle name="Normal 9 16 4 3 2" xfId="39958"/>
    <cellStyle name="Normal 9 16 4 4" xfId="27653"/>
    <cellStyle name="Normal 9 16 5" xfId="10857"/>
    <cellStyle name="Normal 9 16 5 2" xfId="30740"/>
    <cellStyle name="Normal 9 16 6" xfId="17009"/>
    <cellStyle name="Normal 9 16 6 2" xfId="36892"/>
    <cellStyle name="Normal 9 16 7" xfId="24587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2 2" xfId="36110"/>
    <cellStyle name="Normal 9 17 2 2 2 3" xfId="22379"/>
    <cellStyle name="Normal 9 17 2 2 2 3 2" xfId="42262"/>
    <cellStyle name="Normal 9 17 2 2 2 4" xfId="29957"/>
    <cellStyle name="Normal 9 17 2 2 3" xfId="13161"/>
    <cellStyle name="Normal 9 17 2 2 3 2" xfId="33044"/>
    <cellStyle name="Normal 9 17 2 2 4" xfId="19313"/>
    <cellStyle name="Normal 9 17 2 2 4 2" xfId="39196"/>
    <cellStyle name="Normal 9 17 2 2 5" xfId="26891"/>
    <cellStyle name="Normal 9 17 2 3" xfId="8499"/>
    <cellStyle name="Normal 9 17 2 3 2" xfId="14693"/>
    <cellStyle name="Normal 9 17 2 3 2 2" xfId="34576"/>
    <cellStyle name="Normal 9 17 2 3 3" xfId="20845"/>
    <cellStyle name="Normal 9 17 2 3 3 2" xfId="40728"/>
    <cellStyle name="Normal 9 17 2 3 4" xfId="28423"/>
    <cellStyle name="Normal 9 17 2 4" xfId="11627"/>
    <cellStyle name="Normal 9 17 2 4 2" xfId="31510"/>
    <cellStyle name="Normal 9 17 2 5" xfId="17779"/>
    <cellStyle name="Normal 9 17 2 5 2" xfId="37662"/>
    <cellStyle name="Normal 9 17 2 6" xfId="25357"/>
    <cellStyle name="Normal 9 17 3" xfId="6165"/>
    <cellStyle name="Normal 9 17 3 2" xfId="9265"/>
    <cellStyle name="Normal 9 17 3 2 2" xfId="15458"/>
    <cellStyle name="Normal 9 17 3 2 2 2" xfId="35341"/>
    <cellStyle name="Normal 9 17 3 2 3" xfId="21610"/>
    <cellStyle name="Normal 9 17 3 2 3 2" xfId="41493"/>
    <cellStyle name="Normal 9 17 3 2 4" xfId="29188"/>
    <cellStyle name="Normal 9 17 3 3" xfId="12392"/>
    <cellStyle name="Normal 9 17 3 3 2" xfId="32275"/>
    <cellStyle name="Normal 9 17 3 4" xfId="18544"/>
    <cellStyle name="Normal 9 17 3 4 2" xfId="38427"/>
    <cellStyle name="Normal 9 17 3 5" xfId="26122"/>
    <cellStyle name="Normal 9 17 4" xfId="7730"/>
    <cellStyle name="Normal 9 17 4 2" xfId="13924"/>
    <cellStyle name="Normal 9 17 4 2 2" xfId="33807"/>
    <cellStyle name="Normal 9 17 4 3" xfId="20076"/>
    <cellStyle name="Normal 9 17 4 3 2" xfId="39959"/>
    <cellStyle name="Normal 9 17 4 4" xfId="27654"/>
    <cellStyle name="Normal 9 17 5" xfId="10858"/>
    <cellStyle name="Normal 9 17 5 2" xfId="30741"/>
    <cellStyle name="Normal 9 17 6" xfId="17010"/>
    <cellStyle name="Normal 9 17 6 2" xfId="36893"/>
    <cellStyle name="Normal 9 17 7" xfId="24588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2 2" xfId="36111"/>
    <cellStyle name="Normal 9 18 2 2 2 3" xfId="22380"/>
    <cellStyle name="Normal 9 18 2 2 2 3 2" xfId="42263"/>
    <cellStyle name="Normal 9 18 2 2 2 4" xfId="29958"/>
    <cellStyle name="Normal 9 18 2 2 3" xfId="13162"/>
    <cellStyle name="Normal 9 18 2 2 3 2" xfId="33045"/>
    <cellStyle name="Normal 9 18 2 2 4" xfId="19314"/>
    <cellStyle name="Normal 9 18 2 2 4 2" xfId="39197"/>
    <cellStyle name="Normal 9 18 2 2 5" xfId="26892"/>
    <cellStyle name="Normal 9 18 2 3" xfId="8500"/>
    <cellStyle name="Normal 9 18 2 3 2" xfId="14694"/>
    <cellStyle name="Normal 9 18 2 3 2 2" xfId="34577"/>
    <cellStyle name="Normal 9 18 2 3 3" xfId="20846"/>
    <cellStyle name="Normal 9 18 2 3 3 2" xfId="40729"/>
    <cellStyle name="Normal 9 18 2 3 4" xfId="28424"/>
    <cellStyle name="Normal 9 18 2 4" xfId="11628"/>
    <cellStyle name="Normal 9 18 2 4 2" xfId="31511"/>
    <cellStyle name="Normal 9 18 2 5" xfId="17780"/>
    <cellStyle name="Normal 9 18 2 5 2" xfId="37663"/>
    <cellStyle name="Normal 9 18 2 6" xfId="25358"/>
    <cellStyle name="Normal 9 18 3" xfId="6166"/>
    <cellStyle name="Normal 9 18 3 2" xfId="9266"/>
    <cellStyle name="Normal 9 18 3 2 2" xfId="15459"/>
    <cellStyle name="Normal 9 18 3 2 2 2" xfId="35342"/>
    <cellStyle name="Normal 9 18 3 2 3" xfId="21611"/>
    <cellStyle name="Normal 9 18 3 2 3 2" xfId="41494"/>
    <cellStyle name="Normal 9 18 3 2 4" xfId="29189"/>
    <cellStyle name="Normal 9 18 3 3" xfId="12393"/>
    <cellStyle name="Normal 9 18 3 3 2" xfId="32276"/>
    <cellStyle name="Normal 9 18 3 4" xfId="18545"/>
    <cellStyle name="Normal 9 18 3 4 2" xfId="38428"/>
    <cellStyle name="Normal 9 18 3 5" xfId="26123"/>
    <cellStyle name="Normal 9 18 4" xfId="7731"/>
    <cellStyle name="Normal 9 18 4 2" xfId="13925"/>
    <cellStyle name="Normal 9 18 4 2 2" xfId="33808"/>
    <cellStyle name="Normal 9 18 4 3" xfId="20077"/>
    <cellStyle name="Normal 9 18 4 3 2" xfId="39960"/>
    <cellStyle name="Normal 9 18 4 4" xfId="27655"/>
    <cellStyle name="Normal 9 18 5" xfId="10859"/>
    <cellStyle name="Normal 9 18 5 2" xfId="30742"/>
    <cellStyle name="Normal 9 18 6" xfId="17011"/>
    <cellStyle name="Normal 9 18 6 2" xfId="36894"/>
    <cellStyle name="Normal 9 18 7" xfId="24589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2 2" xfId="36112"/>
    <cellStyle name="Normal 9 19 2 2 2 3" xfId="22381"/>
    <cellStyle name="Normal 9 19 2 2 2 3 2" xfId="42264"/>
    <cellStyle name="Normal 9 19 2 2 2 4" xfId="29959"/>
    <cellStyle name="Normal 9 19 2 2 3" xfId="13163"/>
    <cellStyle name="Normal 9 19 2 2 3 2" xfId="33046"/>
    <cellStyle name="Normal 9 19 2 2 4" xfId="19315"/>
    <cellStyle name="Normal 9 19 2 2 4 2" xfId="39198"/>
    <cellStyle name="Normal 9 19 2 2 5" xfId="26893"/>
    <cellStyle name="Normal 9 19 2 3" xfId="8501"/>
    <cellStyle name="Normal 9 19 2 3 2" xfId="14695"/>
    <cellStyle name="Normal 9 19 2 3 2 2" xfId="34578"/>
    <cellStyle name="Normal 9 19 2 3 3" xfId="20847"/>
    <cellStyle name="Normal 9 19 2 3 3 2" xfId="40730"/>
    <cellStyle name="Normal 9 19 2 3 4" xfId="28425"/>
    <cellStyle name="Normal 9 19 2 4" xfId="11629"/>
    <cellStyle name="Normal 9 19 2 4 2" xfId="31512"/>
    <cellStyle name="Normal 9 19 2 5" xfId="17781"/>
    <cellStyle name="Normal 9 19 2 5 2" xfId="37664"/>
    <cellStyle name="Normal 9 19 2 6" xfId="25359"/>
    <cellStyle name="Normal 9 19 3" xfId="6167"/>
    <cellStyle name="Normal 9 19 3 2" xfId="9267"/>
    <cellStyle name="Normal 9 19 3 2 2" xfId="15460"/>
    <cellStyle name="Normal 9 19 3 2 2 2" xfId="35343"/>
    <cellStyle name="Normal 9 19 3 2 3" xfId="21612"/>
    <cellStyle name="Normal 9 19 3 2 3 2" xfId="41495"/>
    <cellStyle name="Normal 9 19 3 2 4" xfId="29190"/>
    <cellStyle name="Normal 9 19 3 3" xfId="12394"/>
    <cellStyle name="Normal 9 19 3 3 2" xfId="32277"/>
    <cellStyle name="Normal 9 19 3 4" xfId="18546"/>
    <cellStyle name="Normal 9 19 3 4 2" xfId="38429"/>
    <cellStyle name="Normal 9 19 3 5" xfId="26124"/>
    <cellStyle name="Normal 9 19 4" xfId="7732"/>
    <cellStyle name="Normal 9 19 4 2" xfId="13926"/>
    <cellStyle name="Normal 9 19 4 2 2" xfId="33809"/>
    <cellStyle name="Normal 9 19 4 3" xfId="20078"/>
    <cellStyle name="Normal 9 19 4 3 2" xfId="39961"/>
    <cellStyle name="Normal 9 19 4 4" xfId="27656"/>
    <cellStyle name="Normal 9 19 5" xfId="10860"/>
    <cellStyle name="Normal 9 19 5 2" xfId="30743"/>
    <cellStyle name="Normal 9 19 6" xfId="17012"/>
    <cellStyle name="Normal 9 19 6 2" xfId="36895"/>
    <cellStyle name="Normal 9 19 7" xfId="24590"/>
    <cellStyle name="Normal 9 2" xfId="98"/>
    <cellStyle name="Normal 9 2 10" xfId="10861"/>
    <cellStyle name="Normal 9 2 10 2" xfId="30744"/>
    <cellStyle name="Normal 9 2 11" xfId="17013"/>
    <cellStyle name="Normal 9 2 11 2" xfId="36896"/>
    <cellStyle name="Normal 9 2 12" xfId="4151"/>
    <cellStyle name="Normal 9 2 12 2" xfId="24591"/>
    <cellStyle name="Normal 9 2 13" xfId="23299"/>
    <cellStyle name="Normal 9 2 14" xfId="2334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2 2" xfId="36114"/>
    <cellStyle name="Normal 9 2 2 2 2 2 3" xfId="22383"/>
    <cellStyle name="Normal 9 2 2 2 2 2 3 2" xfId="42266"/>
    <cellStyle name="Normal 9 2 2 2 2 2 4" xfId="29961"/>
    <cellStyle name="Normal 9 2 2 2 2 3" xfId="13165"/>
    <cellStyle name="Normal 9 2 2 2 2 3 2" xfId="33048"/>
    <cellStyle name="Normal 9 2 2 2 2 4" xfId="19317"/>
    <cellStyle name="Normal 9 2 2 2 2 4 2" xfId="39200"/>
    <cellStyle name="Normal 9 2 2 2 2 5" xfId="26895"/>
    <cellStyle name="Normal 9 2 2 2 3" xfId="8503"/>
    <cellStyle name="Normal 9 2 2 2 3 2" xfId="14697"/>
    <cellStyle name="Normal 9 2 2 2 3 2 2" xfId="34580"/>
    <cellStyle name="Normal 9 2 2 2 3 3" xfId="20849"/>
    <cellStyle name="Normal 9 2 2 2 3 3 2" xfId="40732"/>
    <cellStyle name="Normal 9 2 2 2 3 4" xfId="28427"/>
    <cellStyle name="Normal 9 2 2 2 4" xfId="11631"/>
    <cellStyle name="Normal 9 2 2 2 4 2" xfId="31514"/>
    <cellStyle name="Normal 9 2 2 2 5" xfId="17783"/>
    <cellStyle name="Normal 9 2 2 2 5 2" xfId="37666"/>
    <cellStyle name="Normal 9 2 2 2 6" xfId="25361"/>
    <cellStyle name="Normal 9 2 2 3" xfId="6169"/>
    <cellStyle name="Normal 9 2 2 3 2" xfId="9269"/>
    <cellStyle name="Normal 9 2 2 3 2 2" xfId="15462"/>
    <cellStyle name="Normal 9 2 2 3 2 2 2" xfId="35345"/>
    <cellStyle name="Normal 9 2 2 3 2 3" xfId="21614"/>
    <cellStyle name="Normal 9 2 2 3 2 3 2" xfId="41497"/>
    <cellStyle name="Normal 9 2 2 3 2 4" xfId="29192"/>
    <cellStyle name="Normal 9 2 2 3 3" xfId="12396"/>
    <cellStyle name="Normal 9 2 2 3 3 2" xfId="32279"/>
    <cellStyle name="Normal 9 2 2 3 4" xfId="18548"/>
    <cellStyle name="Normal 9 2 2 3 4 2" xfId="38431"/>
    <cellStyle name="Normal 9 2 2 3 5" xfId="26126"/>
    <cellStyle name="Normal 9 2 2 4" xfId="7734"/>
    <cellStyle name="Normal 9 2 2 4 2" xfId="13928"/>
    <cellStyle name="Normal 9 2 2 4 2 2" xfId="33811"/>
    <cellStyle name="Normal 9 2 2 4 3" xfId="20080"/>
    <cellStyle name="Normal 9 2 2 4 3 2" xfId="39963"/>
    <cellStyle name="Normal 9 2 2 4 4" xfId="27658"/>
    <cellStyle name="Normal 9 2 2 5" xfId="10862"/>
    <cellStyle name="Normal 9 2 2 5 2" xfId="30745"/>
    <cellStyle name="Normal 9 2 2 6" xfId="17014"/>
    <cellStyle name="Normal 9 2 2 6 2" xfId="36897"/>
    <cellStyle name="Normal 9 2 2 7" xfId="4152"/>
    <cellStyle name="Normal 9 2 2 7 2" xfId="24592"/>
    <cellStyle name="Normal 9 2 2 8" xfId="23387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2 2" xfId="36115"/>
    <cellStyle name="Normal 9 2 3 2 2 2 3" xfId="22384"/>
    <cellStyle name="Normal 9 2 3 2 2 2 3 2" xfId="42267"/>
    <cellStyle name="Normal 9 2 3 2 2 2 4" xfId="29962"/>
    <cellStyle name="Normal 9 2 3 2 2 3" xfId="13166"/>
    <cellStyle name="Normal 9 2 3 2 2 3 2" xfId="33049"/>
    <cellStyle name="Normal 9 2 3 2 2 4" xfId="19318"/>
    <cellStyle name="Normal 9 2 3 2 2 4 2" xfId="39201"/>
    <cellStyle name="Normal 9 2 3 2 2 5" xfId="26896"/>
    <cellStyle name="Normal 9 2 3 2 3" xfId="8504"/>
    <cellStyle name="Normal 9 2 3 2 3 2" xfId="14698"/>
    <cellStyle name="Normal 9 2 3 2 3 2 2" xfId="34581"/>
    <cellStyle name="Normal 9 2 3 2 3 3" xfId="20850"/>
    <cellStyle name="Normal 9 2 3 2 3 3 2" xfId="40733"/>
    <cellStyle name="Normal 9 2 3 2 3 4" xfId="28428"/>
    <cellStyle name="Normal 9 2 3 2 4" xfId="11632"/>
    <cellStyle name="Normal 9 2 3 2 4 2" xfId="31515"/>
    <cellStyle name="Normal 9 2 3 2 5" xfId="17784"/>
    <cellStyle name="Normal 9 2 3 2 5 2" xfId="37667"/>
    <cellStyle name="Normal 9 2 3 2 6" xfId="25362"/>
    <cellStyle name="Normal 9 2 3 3" xfId="6170"/>
    <cellStyle name="Normal 9 2 3 3 2" xfId="9270"/>
    <cellStyle name="Normal 9 2 3 3 2 2" xfId="15463"/>
    <cellStyle name="Normal 9 2 3 3 2 2 2" xfId="35346"/>
    <cellStyle name="Normal 9 2 3 3 2 3" xfId="21615"/>
    <cellStyle name="Normal 9 2 3 3 2 3 2" xfId="41498"/>
    <cellStyle name="Normal 9 2 3 3 2 4" xfId="29193"/>
    <cellStyle name="Normal 9 2 3 3 3" xfId="12397"/>
    <cellStyle name="Normal 9 2 3 3 3 2" xfId="32280"/>
    <cellStyle name="Normal 9 2 3 3 4" xfId="18549"/>
    <cellStyle name="Normal 9 2 3 3 4 2" xfId="38432"/>
    <cellStyle name="Normal 9 2 3 3 5" xfId="26127"/>
    <cellStyle name="Normal 9 2 3 4" xfId="7735"/>
    <cellStyle name="Normal 9 2 3 4 2" xfId="13929"/>
    <cellStyle name="Normal 9 2 3 4 2 2" xfId="33812"/>
    <cellStyle name="Normal 9 2 3 4 3" xfId="20081"/>
    <cellStyle name="Normal 9 2 3 4 3 2" xfId="39964"/>
    <cellStyle name="Normal 9 2 3 4 4" xfId="27659"/>
    <cellStyle name="Normal 9 2 3 5" xfId="10863"/>
    <cellStyle name="Normal 9 2 3 5 2" xfId="30746"/>
    <cellStyle name="Normal 9 2 3 6" xfId="17015"/>
    <cellStyle name="Normal 9 2 3 6 2" xfId="36898"/>
    <cellStyle name="Normal 9 2 3 7" xfId="24593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2 2" xfId="36116"/>
    <cellStyle name="Normal 9 2 4 2 2 2 3" xfId="22385"/>
    <cellStyle name="Normal 9 2 4 2 2 2 3 2" xfId="42268"/>
    <cellStyle name="Normal 9 2 4 2 2 2 4" xfId="29963"/>
    <cellStyle name="Normal 9 2 4 2 2 3" xfId="13167"/>
    <cellStyle name="Normal 9 2 4 2 2 3 2" xfId="33050"/>
    <cellStyle name="Normal 9 2 4 2 2 4" xfId="19319"/>
    <cellStyle name="Normal 9 2 4 2 2 4 2" xfId="39202"/>
    <cellStyle name="Normal 9 2 4 2 2 5" xfId="26897"/>
    <cellStyle name="Normal 9 2 4 2 3" xfId="8505"/>
    <cellStyle name="Normal 9 2 4 2 3 2" xfId="14699"/>
    <cellStyle name="Normal 9 2 4 2 3 2 2" xfId="34582"/>
    <cellStyle name="Normal 9 2 4 2 3 3" xfId="20851"/>
    <cellStyle name="Normal 9 2 4 2 3 3 2" xfId="40734"/>
    <cellStyle name="Normal 9 2 4 2 3 4" xfId="28429"/>
    <cellStyle name="Normal 9 2 4 2 4" xfId="11633"/>
    <cellStyle name="Normal 9 2 4 2 4 2" xfId="31516"/>
    <cellStyle name="Normal 9 2 4 2 5" xfId="17785"/>
    <cellStyle name="Normal 9 2 4 2 5 2" xfId="37668"/>
    <cellStyle name="Normal 9 2 4 2 6" xfId="25363"/>
    <cellStyle name="Normal 9 2 4 3" xfId="6171"/>
    <cellStyle name="Normal 9 2 4 3 2" xfId="9271"/>
    <cellStyle name="Normal 9 2 4 3 2 2" xfId="15464"/>
    <cellStyle name="Normal 9 2 4 3 2 2 2" xfId="35347"/>
    <cellStyle name="Normal 9 2 4 3 2 3" xfId="21616"/>
    <cellStyle name="Normal 9 2 4 3 2 3 2" xfId="41499"/>
    <cellStyle name="Normal 9 2 4 3 2 4" xfId="29194"/>
    <cellStyle name="Normal 9 2 4 3 3" xfId="12398"/>
    <cellStyle name="Normal 9 2 4 3 3 2" xfId="32281"/>
    <cellStyle name="Normal 9 2 4 3 4" xfId="18550"/>
    <cellStyle name="Normal 9 2 4 3 4 2" xfId="38433"/>
    <cellStyle name="Normal 9 2 4 3 5" xfId="26128"/>
    <cellStyle name="Normal 9 2 4 4" xfId="7736"/>
    <cellStyle name="Normal 9 2 4 4 2" xfId="13930"/>
    <cellStyle name="Normal 9 2 4 4 2 2" xfId="33813"/>
    <cellStyle name="Normal 9 2 4 4 3" xfId="20082"/>
    <cellStyle name="Normal 9 2 4 4 3 2" xfId="39965"/>
    <cellStyle name="Normal 9 2 4 4 4" xfId="27660"/>
    <cellStyle name="Normal 9 2 4 5" xfId="10864"/>
    <cellStyle name="Normal 9 2 4 5 2" xfId="30747"/>
    <cellStyle name="Normal 9 2 4 6" xfId="17016"/>
    <cellStyle name="Normal 9 2 4 6 2" xfId="36899"/>
    <cellStyle name="Normal 9 2 4 7" xfId="24594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2 2" xfId="36117"/>
    <cellStyle name="Normal 9 2 5 2 2 2 3" xfId="22386"/>
    <cellStyle name="Normal 9 2 5 2 2 2 3 2" xfId="42269"/>
    <cellStyle name="Normal 9 2 5 2 2 2 4" xfId="29964"/>
    <cellStyle name="Normal 9 2 5 2 2 3" xfId="13168"/>
    <cellStyle name="Normal 9 2 5 2 2 3 2" xfId="33051"/>
    <cellStyle name="Normal 9 2 5 2 2 4" xfId="19320"/>
    <cellStyle name="Normal 9 2 5 2 2 4 2" xfId="39203"/>
    <cellStyle name="Normal 9 2 5 2 2 5" xfId="26898"/>
    <cellStyle name="Normal 9 2 5 2 3" xfId="8506"/>
    <cellStyle name="Normal 9 2 5 2 3 2" xfId="14700"/>
    <cellStyle name="Normal 9 2 5 2 3 2 2" xfId="34583"/>
    <cellStyle name="Normal 9 2 5 2 3 3" xfId="20852"/>
    <cellStyle name="Normal 9 2 5 2 3 3 2" xfId="40735"/>
    <cellStyle name="Normal 9 2 5 2 3 4" xfId="28430"/>
    <cellStyle name="Normal 9 2 5 2 4" xfId="11634"/>
    <cellStyle name="Normal 9 2 5 2 4 2" xfId="31517"/>
    <cellStyle name="Normal 9 2 5 2 5" xfId="17786"/>
    <cellStyle name="Normal 9 2 5 2 5 2" xfId="37669"/>
    <cellStyle name="Normal 9 2 5 2 6" xfId="25364"/>
    <cellStyle name="Normal 9 2 5 3" xfId="6172"/>
    <cellStyle name="Normal 9 2 5 3 2" xfId="9272"/>
    <cellStyle name="Normal 9 2 5 3 2 2" xfId="15465"/>
    <cellStyle name="Normal 9 2 5 3 2 2 2" xfId="35348"/>
    <cellStyle name="Normal 9 2 5 3 2 3" xfId="21617"/>
    <cellStyle name="Normal 9 2 5 3 2 3 2" xfId="41500"/>
    <cellStyle name="Normal 9 2 5 3 2 4" xfId="29195"/>
    <cellStyle name="Normal 9 2 5 3 3" xfId="12399"/>
    <cellStyle name="Normal 9 2 5 3 3 2" xfId="32282"/>
    <cellStyle name="Normal 9 2 5 3 4" xfId="18551"/>
    <cellStyle name="Normal 9 2 5 3 4 2" xfId="38434"/>
    <cellStyle name="Normal 9 2 5 3 5" xfId="26129"/>
    <cellStyle name="Normal 9 2 5 4" xfId="7737"/>
    <cellStyle name="Normal 9 2 5 4 2" xfId="13931"/>
    <cellStyle name="Normal 9 2 5 4 2 2" xfId="33814"/>
    <cellStyle name="Normal 9 2 5 4 3" xfId="20083"/>
    <cellStyle name="Normal 9 2 5 4 3 2" xfId="39966"/>
    <cellStyle name="Normal 9 2 5 4 4" xfId="27661"/>
    <cellStyle name="Normal 9 2 5 5" xfId="10865"/>
    <cellStyle name="Normal 9 2 5 5 2" xfId="30748"/>
    <cellStyle name="Normal 9 2 5 6" xfId="17017"/>
    <cellStyle name="Normal 9 2 5 6 2" xfId="36900"/>
    <cellStyle name="Normal 9 2 5 7" xfId="24595"/>
    <cellStyle name="Normal 9 2 6" xfId="5326"/>
    <cellStyle name="Normal 9 2 6 2" xfId="6951"/>
    <cellStyle name="Normal 9 2 6 2 2" xfId="10037"/>
    <cellStyle name="Normal 9 2 6 2 2 2" xfId="16230"/>
    <cellStyle name="Normal 9 2 6 2 2 2 2" xfId="36113"/>
    <cellStyle name="Normal 9 2 6 2 2 3" xfId="22382"/>
    <cellStyle name="Normal 9 2 6 2 2 3 2" xfId="42265"/>
    <cellStyle name="Normal 9 2 6 2 2 4" xfId="29960"/>
    <cellStyle name="Normal 9 2 6 2 3" xfId="13164"/>
    <cellStyle name="Normal 9 2 6 2 3 2" xfId="33047"/>
    <cellStyle name="Normal 9 2 6 2 4" xfId="19316"/>
    <cellStyle name="Normal 9 2 6 2 4 2" xfId="39199"/>
    <cellStyle name="Normal 9 2 6 2 5" xfId="26894"/>
    <cellStyle name="Normal 9 2 6 3" xfId="8502"/>
    <cellStyle name="Normal 9 2 6 3 2" xfId="14696"/>
    <cellStyle name="Normal 9 2 6 3 2 2" xfId="34579"/>
    <cellStyle name="Normal 9 2 6 3 3" xfId="20848"/>
    <cellStyle name="Normal 9 2 6 3 3 2" xfId="40731"/>
    <cellStyle name="Normal 9 2 6 3 4" xfId="28426"/>
    <cellStyle name="Normal 9 2 6 4" xfId="11630"/>
    <cellStyle name="Normal 9 2 6 4 2" xfId="31513"/>
    <cellStyle name="Normal 9 2 6 5" xfId="17782"/>
    <cellStyle name="Normal 9 2 6 5 2" xfId="37665"/>
    <cellStyle name="Normal 9 2 6 6" xfId="25360"/>
    <cellStyle name="Normal 9 2 7" xfId="6168"/>
    <cellStyle name="Normal 9 2 7 2" xfId="9268"/>
    <cellStyle name="Normal 9 2 7 2 2" xfId="15461"/>
    <cellStyle name="Normal 9 2 7 2 2 2" xfId="35344"/>
    <cellStyle name="Normal 9 2 7 2 3" xfId="21613"/>
    <cellStyle name="Normal 9 2 7 2 3 2" xfId="41496"/>
    <cellStyle name="Normal 9 2 7 2 4" xfId="29191"/>
    <cellStyle name="Normal 9 2 7 3" xfId="12395"/>
    <cellStyle name="Normal 9 2 7 3 2" xfId="32278"/>
    <cellStyle name="Normal 9 2 7 4" xfId="18547"/>
    <cellStyle name="Normal 9 2 7 4 2" xfId="38430"/>
    <cellStyle name="Normal 9 2 7 5" xfId="26125"/>
    <cellStyle name="Normal 9 2 8" xfId="7733"/>
    <cellStyle name="Normal 9 2 8 2" xfId="13927"/>
    <cellStyle name="Normal 9 2 8 2 2" xfId="33810"/>
    <cellStyle name="Normal 9 2 8 3" xfId="20079"/>
    <cellStyle name="Normal 9 2 8 3 2" xfId="39962"/>
    <cellStyle name="Normal 9 2 8 4" xfId="27657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2 2" xfId="36118"/>
    <cellStyle name="Normal 9 20 2 2 2 3" xfId="22387"/>
    <cellStyle name="Normal 9 20 2 2 2 3 2" xfId="42270"/>
    <cellStyle name="Normal 9 20 2 2 2 4" xfId="29965"/>
    <cellStyle name="Normal 9 20 2 2 3" xfId="13169"/>
    <cellStyle name="Normal 9 20 2 2 3 2" xfId="33052"/>
    <cellStyle name="Normal 9 20 2 2 4" xfId="19321"/>
    <cellStyle name="Normal 9 20 2 2 4 2" xfId="39204"/>
    <cellStyle name="Normal 9 20 2 2 5" xfId="26899"/>
    <cellStyle name="Normal 9 20 2 3" xfId="8507"/>
    <cellStyle name="Normal 9 20 2 3 2" xfId="14701"/>
    <cellStyle name="Normal 9 20 2 3 2 2" xfId="34584"/>
    <cellStyle name="Normal 9 20 2 3 3" xfId="20853"/>
    <cellStyle name="Normal 9 20 2 3 3 2" xfId="40736"/>
    <cellStyle name="Normal 9 20 2 3 4" xfId="28431"/>
    <cellStyle name="Normal 9 20 2 4" xfId="11635"/>
    <cellStyle name="Normal 9 20 2 4 2" xfId="31518"/>
    <cellStyle name="Normal 9 20 2 5" xfId="17787"/>
    <cellStyle name="Normal 9 20 2 5 2" xfId="37670"/>
    <cellStyle name="Normal 9 20 2 6" xfId="25365"/>
    <cellStyle name="Normal 9 20 3" xfId="6173"/>
    <cellStyle name="Normal 9 20 3 2" xfId="9273"/>
    <cellStyle name="Normal 9 20 3 2 2" xfId="15466"/>
    <cellStyle name="Normal 9 20 3 2 2 2" xfId="35349"/>
    <cellStyle name="Normal 9 20 3 2 3" xfId="21618"/>
    <cellStyle name="Normal 9 20 3 2 3 2" xfId="41501"/>
    <cellStyle name="Normal 9 20 3 2 4" xfId="29196"/>
    <cellStyle name="Normal 9 20 3 3" xfId="12400"/>
    <cellStyle name="Normal 9 20 3 3 2" xfId="32283"/>
    <cellStyle name="Normal 9 20 3 4" xfId="18552"/>
    <cellStyle name="Normal 9 20 3 4 2" xfId="38435"/>
    <cellStyle name="Normal 9 20 3 5" xfId="26130"/>
    <cellStyle name="Normal 9 20 4" xfId="7738"/>
    <cellStyle name="Normal 9 20 4 2" xfId="13932"/>
    <cellStyle name="Normal 9 20 4 2 2" xfId="33815"/>
    <cellStyle name="Normal 9 20 4 3" xfId="20084"/>
    <cellStyle name="Normal 9 20 4 3 2" xfId="39967"/>
    <cellStyle name="Normal 9 20 4 4" xfId="27662"/>
    <cellStyle name="Normal 9 20 5" xfId="10866"/>
    <cellStyle name="Normal 9 20 5 2" xfId="30749"/>
    <cellStyle name="Normal 9 20 6" xfId="17018"/>
    <cellStyle name="Normal 9 20 6 2" xfId="36901"/>
    <cellStyle name="Normal 9 20 7" xfId="24596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2 2" xfId="36119"/>
    <cellStyle name="Normal 9 22 2 2 2 3" xfId="22388"/>
    <cellStyle name="Normal 9 22 2 2 2 3 2" xfId="42271"/>
    <cellStyle name="Normal 9 22 2 2 2 4" xfId="29966"/>
    <cellStyle name="Normal 9 22 2 2 3" xfId="13170"/>
    <cellStyle name="Normal 9 22 2 2 3 2" xfId="33053"/>
    <cellStyle name="Normal 9 22 2 2 4" xfId="19322"/>
    <cellStyle name="Normal 9 22 2 2 4 2" xfId="39205"/>
    <cellStyle name="Normal 9 22 2 2 5" xfId="26900"/>
    <cellStyle name="Normal 9 22 2 3" xfId="8508"/>
    <cellStyle name="Normal 9 22 2 3 2" xfId="14702"/>
    <cellStyle name="Normal 9 22 2 3 2 2" xfId="34585"/>
    <cellStyle name="Normal 9 22 2 3 3" xfId="20854"/>
    <cellStyle name="Normal 9 22 2 3 3 2" xfId="40737"/>
    <cellStyle name="Normal 9 22 2 3 4" xfId="28432"/>
    <cellStyle name="Normal 9 22 2 4" xfId="11636"/>
    <cellStyle name="Normal 9 22 2 4 2" xfId="31519"/>
    <cellStyle name="Normal 9 22 2 5" xfId="17788"/>
    <cellStyle name="Normal 9 22 2 5 2" xfId="37671"/>
    <cellStyle name="Normal 9 22 2 6" xfId="25366"/>
    <cellStyle name="Normal 9 22 3" xfId="6174"/>
    <cellStyle name="Normal 9 22 3 2" xfId="9274"/>
    <cellStyle name="Normal 9 22 3 2 2" xfId="15467"/>
    <cellStyle name="Normal 9 22 3 2 2 2" xfId="35350"/>
    <cellStyle name="Normal 9 22 3 2 3" xfId="21619"/>
    <cellStyle name="Normal 9 22 3 2 3 2" xfId="41502"/>
    <cellStyle name="Normal 9 22 3 2 4" xfId="29197"/>
    <cellStyle name="Normal 9 22 3 3" xfId="12401"/>
    <cellStyle name="Normal 9 22 3 3 2" xfId="32284"/>
    <cellStyle name="Normal 9 22 3 4" xfId="18553"/>
    <cellStyle name="Normal 9 22 3 4 2" xfId="38436"/>
    <cellStyle name="Normal 9 22 3 5" xfId="26131"/>
    <cellStyle name="Normal 9 22 4" xfId="7739"/>
    <cellStyle name="Normal 9 22 4 2" xfId="13933"/>
    <cellStyle name="Normal 9 22 4 2 2" xfId="33816"/>
    <cellStyle name="Normal 9 22 4 3" xfId="20085"/>
    <cellStyle name="Normal 9 22 4 3 2" xfId="39968"/>
    <cellStyle name="Normal 9 22 4 4" xfId="27663"/>
    <cellStyle name="Normal 9 22 5" xfId="10867"/>
    <cellStyle name="Normal 9 22 5 2" xfId="30750"/>
    <cellStyle name="Normal 9 22 6" xfId="17019"/>
    <cellStyle name="Normal 9 22 6 2" xfId="36902"/>
    <cellStyle name="Normal 9 22 7" xfId="24597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2 2" xfId="36102"/>
    <cellStyle name="Normal 9 25 2 2 2 3" xfId="22371"/>
    <cellStyle name="Normal 9 25 2 2 2 3 2" xfId="42254"/>
    <cellStyle name="Normal 9 25 2 2 2 4" xfId="29949"/>
    <cellStyle name="Normal 9 25 2 2 3" xfId="13153"/>
    <cellStyle name="Normal 9 25 2 2 3 2" xfId="33036"/>
    <cellStyle name="Normal 9 25 2 2 4" xfId="19305"/>
    <cellStyle name="Normal 9 25 2 2 4 2" xfId="39188"/>
    <cellStyle name="Normal 9 25 2 2 5" xfId="26883"/>
    <cellStyle name="Normal 9 25 2 3" xfId="8491"/>
    <cellStyle name="Normal 9 25 2 3 2" xfId="14685"/>
    <cellStyle name="Normal 9 25 2 3 2 2" xfId="34568"/>
    <cellStyle name="Normal 9 25 2 3 3" xfId="20837"/>
    <cellStyle name="Normal 9 25 2 3 3 2" xfId="40720"/>
    <cellStyle name="Normal 9 25 2 3 4" xfId="28415"/>
    <cellStyle name="Normal 9 25 2 4" xfId="11619"/>
    <cellStyle name="Normal 9 25 2 4 2" xfId="31502"/>
    <cellStyle name="Normal 9 25 2 5" xfId="17771"/>
    <cellStyle name="Normal 9 25 2 5 2" xfId="37654"/>
    <cellStyle name="Normal 9 25 2 6" xfId="25349"/>
    <cellStyle name="Normal 9 25 3" xfId="6157"/>
    <cellStyle name="Normal 9 25 3 2" xfId="9257"/>
    <cellStyle name="Normal 9 25 3 2 2" xfId="15450"/>
    <cellStyle name="Normal 9 25 3 2 2 2" xfId="35333"/>
    <cellStyle name="Normal 9 25 3 2 3" xfId="21602"/>
    <cellStyle name="Normal 9 25 3 2 3 2" xfId="41485"/>
    <cellStyle name="Normal 9 25 3 2 4" xfId="29180"/>
    <cellStyle name="Normal 9 25 3 3" xfId="12384"/>
    <cellStyle name="Normal 9 25 3 3 2" xfId="32267"/>
    <cellStyle name="Normal 9 25 3 4" xfId="18536"/>
    <cellStyle name="Normal 9 25 3 4 2" xfId="38419"/>
    <cellStyle name="Normal 9 25 3 5" xfId="26114"/>
    <cellStyle name="Normal 9 25 4" xfId="7722"/>
    <cellStyle name="Normal 9 25 4 2" xfId="13916"/>
    <cellStyle name="Normal 9 25 4 2 2" xfId="33799"/>
    <cellStyle name="Normal 9 25 4 3" xfId="20068"/>
    <cellStyle name="Normal 9 25 4 3 2" xfId="39951"/>
    <cellStyle name="Normal 9 25 4 4" xfId="27646"/>
    <cellStyle name="Normal 9 25 5" xfId="10850"/>
    <cellStyle name="Normal 9 25 5 2" xfId="30733"/>
    <cellStyle name="Normal 9 25 6" xfId="17002"/>
    <cellStyle name="Normal 9 25 6 2" xfId="36885"/>
    <cellStyle name="Normal 9 25 7" xfId="24580"/>
    <cellStyle name="Normal 9 26" xfId="1286"/>
    <cellStyle name="Normal 9 27" xfId="205"/>
    <cellStyle name="Normal 9 28" xfId="23298"/>
    <cellStyle name="Normal 9 29" xfId="23336"/>
    <cellStyle name="Normal 9 3" xfId="128"/>
    <cellStyle name="Normal 9 3 10" xfId="17020"/>
    <cellStyle name="Normal 9 3 10 2" xfId="36903"/>
    <cellStyle name="Normal 9 3 11" xfId="4163"/>
    <cellStyle name="Normal 9 3 11 2" xfId="24598"/>
    <cellStyle name="Normal 9 3 12" xfId="23300"/>
    <cellStyle name="Normal 9 3 13" xfId="23374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2 2" xfId="36121"/>
    <cellStyle name="Normal 9 3 2 2 2 2 3" xfId="22390"/>
    <cellStyle name="Normal 9 3 2 2 2 2 3 2" xfId="42273"/>
    <cellStyle name="Normal 9 3 2 2 2 2 4" xfId="29968"/>
    <cellStyle name="Normal 9 3 2 2 2 3" xfId="13172"/>
    <cellStyle name="Normal 9 3 2 2 2 3 2" xfId="33055"/>
    <cellStyle name="Normal 9 3 2 2 2 4" xfId="19324"/>
    <cellStyle name="Normal 9 3 2 2 2 4 2" xfId="39207"/>
    <cellStyle name="Normal 9 3 2 2 2 5" xfId="26902"/>
    <cellStyle name="Normal 9 3 2 2 3" xfId="8510"/>
    <cellStyle name="Normal 9 3 2 2 3 2" xfId="14704"/>
    <cellStyle name="Normal 9 3 2 2 3 2 2" xfId="34587"/>
    <cellStyle name="Normal 9 3 2 2 3 3" xfId="20856"/>
    <cellStyle name="Normal 9 3 2 2 3 3 2" xfId="40739"/>
    <cellStyle name="Normal 9 3 2 2 3 4" xfId="28434"/>
    <cellStyle name="Normal 9 3 2 2 4" xfId="11638"/>
    <cellStyle name="Normal 9 3 2 2 4 2" xfId="31521"/>
    <cellStyle name="Normal 9 3 2 2 5" xfId="17790"/>
    <cellStyle name="Normal 9 3 2 2 5 2" xfId="37673"/>
    <cellStyle name="Normal 9 3 2 2 6" xfId="25368"/>
    <cellStyle name="Normal 9 3 2 3" xfId="6176"/>
    <cellStyle name="Normal 9 3 2 3 2" xfId="9276"/>
    <cellStyle name="Normal 9 3 2 3 2 2" xfId="15469"/>
    <cellStyle name="Normal 9 3 2 3 2 2 2" xfId="35352"/>
    <cellStyle name="Normal 9 3 2 3 2 3" xfId="21621"/>
    <cellStyle name="Normal 9 3 2 3 2 3 2" xfId="41504"/>
    <cellStyle name="Normal 9 3 2 3 2 4" xfId="29199"/>
    <cellStyle name="Normal 9 3 2 3 3" xfId="12403"/>
    <cellStyle name="Normal 9 3 2 3 3 2" xfId="32286"/>
    <cellStyle name="Normal 9 3 2 3 4" xfId="18555"/>
    <cellStyle name="Normal 9 3 2 3 4 2" xfId="38438"/>
    <cellStyle name="Normal 9 3 2 3 5" xfId="26133"/>
    <cellStyle name="Normal 9 3 2 4" xfId="7741"/>
    <cellStyle name="Normal 9 3 2 4 2" xfId="13935"/>
    <cellStyle name="Normal 9 3 2 4 2 2" xfId="33818"/>
    <cellStyle name="Normal 9 3 2 4 3" xfId="20087"/>
    <cellStyle name="Normal 9 3 2 4 3 2" xfId="39970"/>
    <cellStyle name="Normal 9 3 2 4 4" xfId="27665"/>
    <cellStyle name="Normal 9 3 2 5" xfId="10869"/>
    <cellStyle name="Normal 9 3 2 5 2" xfId="30752"/>
    <cellStyle name="Normal 9 3 2 6" xfId="17021"/>
    <cellStyle name="Normal 9 3 2 6 2" xfId="36904"/>
    <cellStyle name="Normal 9 3 2 7" xfId="24599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2 2" xfId="36122"/>
    <cellStyle name="Normal 9 3 3 2 2 2 3" xfId="22391"/>
    <cellStyle name="Normal 9 3 3 2 2 2 3 2" xfId="42274"/>
    <cellStyle name="Normal 9 3 3 2 2 2 4" xfId="29969"/>
    <cellStyle name="Normal 9 3 3 2 2 3" xfId="13173"/>
    <cellStyle name="Normal 9 3 3 2 2 3 2" xfId="33056"/>
    <cellStyle name="Normal 9 3 3 2 2 4" xfId="19325"/>
    <cellStyle name="Normal 9 3 3 2 2 4 2" xfId="39208"/>
    <cellStyle name="Normal 9 3 3 2 2 5" xfId="26903"/>
    <cellStyle name="Normal 9 3 3 2 3" xfId="8511"/>
    <cellStyle name="Normal 9 3 3 2 3 2" xfId="14705"/>
    <cellStyle name="Normal 9 3 3 2 3 2 2" xfId="34588"/>
    <cellStyle name="Normal 9 3 3 2 3 3" xfId="20857"/>
    <cellStyle name="Normal 9 3 3 2 3 3 2" xfId="40740"/>
    <cellStyle name="Normal 9 3 3 2 3 4" xfId="28435"/>
    <cellStyle name="Normal 9 3 3 2 4" xfId="11639"/>
    <cellStyle name="Normal 9 3 3 2 4 2" xfId="31522"/>
    <cellStyle name="Normal 9 3 3 2 5" xfId="17791"/>
    <cellStyle name="Normal 9 3 3 2 5 2" xfId="37674"/>
    <cellStyle name="Normal 9 3 3 2 6" xfId="25369"/>
    <cellStyle name="Normal 9 3 3 3" xfId="6177"/>
    <cellStyle name="Normal 9 3 3 3 2" xfId="9277"/>
    <cellStyle name="Normal 9 3 3 3 2 2" xfId="15470"/>
    <cellStyle name="Normal 9 3 3 3 2 2 2" xfId="35353"/>
    <cellStyle name="Normal 9 3 3 3 2 3" xfId="21622"/>
    <cellStyle name="Normal 9 3 3 3 2 3 2" xfId="41505"/>
    <cellStyle name="Normal 9 3 3 3 2 4" xfId="29200"/>
    <cellStyle name="Normal 9 3 3 3 3" xfId="12404"/>
    <cellStyle name="Normal 9 3 3 3 3 2" xfId="32287"/>
    <cellStyle name="Normal 9 3 3 3 4" xfId="18556"/>
    <cellStyle name="Normal 9 3 3 3 4 2" xfId="38439"/>
    <cellStyle name="Normal 9 3 3 3 5" xfId="26134"/>
    <cellStyle name="Normal 9 3 3 4" xfId="7742"/>
    <cellStyle name="Normal 9 3 3 4 2" xfId="13936"/>
    <cellStyle name="Normal 9 3 3 4 2 2" xfId="33819"/>
    <cellStyle name="Normal 9 3 3 4 3" xfId="20088"/>
    <cellStyle name="Normal 9 3 3 4 3 2" xfId="39971"/>
    <cellStyle name="Normal 9 3 3 4 4" xfId="27666"/>
    <cellStyle name="Normal 9 3 3 5" xfId="10870"/>
    <cellStyle name="Normal 9 3 3 5 2" xfId="30753"/>
    <cellStyle name="Normal 9 3 3 6" xfId="17022"/>
    <cellStyle name="Normal 9 3 3 6 2" xfId="36905"/>
    <cellStyle name="Normal 9 3 3 7" xfId="24600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2 2" xfId="36123"/>
    <cellStyle name="Normal 9 3 4 2 2 2 3" xfId="22392"/>
    <cellStyle name="Normal 9 3 4 2 2 2 3 2" xfId="42275"/>
    <cellStyle name="Normal 9 3 4 2 2 2 4" xfId="29970"/>
    <cellStyle name="Normal 9 3 4 2 2 3" xfId="13174"/>
    <cellStyle name="Normal 9 3 4 2 2 3 2" xfId="33057"/>
    <cellStyle name="Normal 9 3 4 2 2 4" xfId="19326"/>
    <cellStyle name="Normal 9 3 4 2 2 4 2" xfId="39209"/>
    <cellStyle name="Normal 9 3 4 2 2 5" xfId="26904"/>
    <cellStyle name="Normal 9 3 4 2 3" xfId="8512"/>
    <cellStyle name="Normal 9 3 4 2 3 2" xfId="14706"/>
    <cellStyle name="Normal 9 3 4 2 3 2 2" xfId="34589"/>
    <cellStyle name="Normal 9 3 4 2 3 3" xfId="20858"/>
    <cellStyle name="Normal 9 3 4 2 3 3 2" xfId="40741"/>
    <cellStyle name="Normal 9 3 4 2 3 4" xfId="28436"/>
    <cellStyle name="Normal 9 3 4 2 4" xfId="11640"/>
    <cellStyle name="Normal 9 3 4 2 4 2" xfId="31523"/>
    <cellStyle name="Normal 9 3 4 2 5" xfId="17792"/>
    <cellStyle name="Normal 9 3 4 2 5 2" xfId="37675"/>
    <cellStyle name="Normal 9 3 4 2 6" xfId="25370"/>
    <cellStyle name="Normal 9 3 4 3" xfId="6178"/>
    <cellStyle name="Normal 9 3 4 3 2" xfId="9278"/>
    <cellStyle name="Normal 9 3 4 3 2 2" xfId="15471"/>
    <cellStyle name="Normal 9 3 4 3 2 2 2" xfId="35354"/>
    <cellStyle name="Normal 9 3 4 3 2 3" xfId="21623"/>
    <cellStyle name="Normal 9 3 4 3 2 3 2" xfId="41506"/>
    <cellStyle name="Normal 9 3 4 3 2 4" xfId="29201"/>
    <cellStyle name="Normal 9 3 4 3 3" xfId="12405"/>
    <cellStyle name="Normal 9 3 4 3 3 2" xfId="32288"/>
    <cellStyle name="Normal 9 3 4 3 4" xfId="18557"/>
    <cellStyle name="Normal 9 3 4 3 4 2" xfId="38440"/>
    <cellStyle name="Normal 9 3 4 3 5" xfId="26135"/>
    <cellStyle name="Normal 9 3 4 4" xfId="7743"/>
    <cellStyle name="Normal 9 3 4 4 2" xfId="13937"/>
    <cellStyle name="Normal 9 3 4 4 2 2" xfId="33820"/>
    <cellStyle name="Normal 9 3 4 4 3" xfId="20089"/>
    <cellStyle name="Normal 9 3 4 4 3 2" xfId="39972"/>
    <cellStyle name="Normal 9 3 4 4 4" xfId="27667"/>
    <cellStyle name="Normal 9 3 4 5" xfId="10871"/>
    <cellStyle name="Normal 9 3 4 5 2" xfId="30754"/>
    <cellStyle name="Normal 9 3 4 6" xfId="17023"/>
    <cellStyle name="Normal 9 3 4 6 2" xfId="36906"/>
    <cellStyle name="Normal 9 3 4 7" xfId="24601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2 2" xfId="36124"/>
    <cellStyle name="Normal 9 3 5 2 2 2 3" xfId="22393"/>
    <cellStyle name="Normal 9 3 5 2 2 2 3 2" xfId="42276"/>
    <cellStyle name="Normal 9 3 5 2 2 2 4" xfId="29971"/>
    <cellStyle name="Normal 9 3 5 2 2 3" xfId="13175"/>
    <cellStyle name="Normal 9 3 5 2 2 3 2" xfId="33058"/>
    <cellStyle name="Normal 9 3 5 2 2 4" xfId="19327"/>
    <cellStyle name="Normal 9 3 5 2 2 4 2" xfId="39210"/>
    <cellStyle name="Normal 9 3 5 2 2 5" xfId="26905"/>
    <cellStyle name="Normal 9 3 5 2 3" xfId="8513"/>
    <cellStyle name="Normal 9 3 5 2 3 2" xfId="14707"/>
    <cellStyle name="Normal 9 3 5 2 3 2 2" xfId="34590"/>
    <cellStyle name="Normal 9 3 5 2 3 3" xfId="20859"/>
    <cellStyle name="Normal 9 3 5 2 3 3 2" xfId="40742"/>
    <cellStyle name="Normal 9 3 5 2 3 4" xfId="28437"/>
    <cellStyle name="Normal 9 3 5 2 4" xfId="11641"/>
    <cellStyle name="Normal 9 3 5 2 4 2" xfId="31524"/>
    <cellStyle name="Normal 9 3 5 2 5" xfId="17793"/>
    <cellStyle name="Normal 9 3 5 2 5 2" xfId="37676"/>
    <cellStyle name="Normal 9 3 5 2 6" xfId="25371"/>
    <cellStyle name="Normal 9 3 5 3" xfId="6179"/>
    <cellStyle name="Normal 9 3 5 3 2" xfId="9279"/>
    <cellStyle name="Normal 9 3 5 3 2 2" xfId="15472"/>
    <cellStyle name="Normal 9 3 5 3 2 2 2" xfId="35355"/>
    <cellStyle name="Normal 9 3 5 3 2 3" xfId="21624"/>
    <cellStyle name="Normal 9 3 5 3 2 3 2" xfId="41507"/>
    <cellStyle name="Normal 9 3 5 3 2 4" xfId="29202"/>
    <cellStyle name="Normal 9 3 5 3 3" xfId="12406"/>
    <cellStyle name="Normal 9 3 5 3 3 2" xfId="32289"/>
    <cellStyle name="Normal 9 3 5 3 4" xfId="18558"/>
    <cellStyle name="Normal 9 3 5 3 4 2" xfId="38441"/>
    <cellStyle name="Normal 9 3 5 3 5" xfId="26136"/>
    <cellStyle name="Normal 9 3 5 4" xfId="7744"/>
    <cellStyle name="Normal 9 3 5 4 2" xfId="13938"/>
    <cellStyle name="Normal 9 3 5 4 2 2" xfId="33821"/>
    <cellStyle name="Normal 9 3 5 4 3" xfId="20090"/>
    <cellStyle name="Normal 9 3 5 4 3 2" xfId="39973"/>
    <cellStyle name="Normal 9 3 5 4 4" xfId="27668"/>
    <cellStyle name="Normal 9 3 5 5" xfId="10872"/>
    <cellStyle name="Normal 9 3 5 5 2" xfId="30755"/>
    <cellStyle name="Normal 9 3 5 6" xfId="17024"/>
    <cellStyle name="Normal 9 3 5 6 2" xfId="36907"/>
    <cellStyle name="Normal 9 3 5 7" xfId="24602"/>
    <cellStyle name="Normal 9 3 6" xfId="5333"/>
    <cellStyle name="Normal 9 3 6 2" xfId="6958"/>
    <cellStyle name="Normal 9 3 6 2 2" xfId="10044"/>
    <cellStyle name="Normal 9 3 6 2 2 2" xfId="16237"/>
    <cellStyle name="Normal 9 3 6 2 2 2 2" xfId="36120"/>
    <cellStyle name="Normal 9 3 6 2 2 3" xfId="22389"/>
    <cellStyle name="Normal 9 3 6 2 2 3 2" xfId="42272"/>
    <cellStyle name="Normal 9 3 6 2 2 4" xfId="29967"/>
    <cellStyle name="Normal 9 3 6 2 3" xfId="13171"/>
    <cellStyle name="Normal 9 3 6 2 3 2" xfId="33054"/>
    <cellStyle name="Normal 9 3 6 2 4" xfId="19323"/>
    <cellStyle name="Normal 9 3 6 2 4 2" xfId="39206"/>
    <cellStyle name="Normal 9 3 6 2 5" xfId="26901"/>
    <cellStyle name="Normal 9 3 6 3" xfId="8509"/>
    <cellStyle name="Normal 9 3 6 3 2" xfId="14703"/>
    <cellStyle name="Normal 9 3 6 3 2 2" xfId="34586"/>
    <cellStyle name="Normal 9 3 6 3 3" xfId="20855"/>
    <cellStyle name="Normal 9 3 6 3 3 2" xfId="40738"/>
    <cellStyle name="Normal 9 3 6 3 4" xfId="28433"/>
    <cellStyle name="Normal 9 3 6 4" xfId="11637"/>
    <cellStyle name="Normal 9 3 6 4 2" xfId="31520"/>
    <cellStyle name="Normal 9 3 6 5" xfId="17789"/>
    <cellStyle name="Normal 9 3 6 5 2" xfId="37672"/>
    <cellStyle name="Normal 9 3 6 6" xfId="25367"/>
    <cellStyle name="Normal 9 3 7" xfId="6175"/>
    <cellStyle name="Normal 9 3 7 2" xfId="9275"/>
    <cellStyle name="Normal 9 3 7 2 2" xfId="15468"/>
    <cellStyle name="Normal 9 3 7 2 2 2" xfId="35351"/>
    <cellStyle name="Normal 9 3 7 2 3" xfId="21620"/>
    <cellStyle name="Normal 9 3 7 2 3 2" xfId="41503"/>
    <cellStyle name="Normal 9 3 7 2 4" xfId="29198"/>
    <cellStyle name="Normal 9 3 7 3" xfId="12402"/>
    <cellStyle name="Normal 9 3 7 3 2" xfId="32285"/>
    <cellStyle name="Normal 9 3 7 4" xfId="18554"/>
    <cellStyle name="Normal 9 3 7 4 2" xfId="38437"/>
    <cellStyle name="Normal 9 3 7 5" xfId="26132"/>
    <cellStyle name="Normal 9 3 8" xfId="7740"/>
    <cellStyle name="Normal 9 3 8 2" xfId="13934"/>
    <cellStyle name="Normal 9 3 8 2 2" xfId="33817"/>
    <cellStyle name="Normal 9 3 8 3" xfId="20086"/>
    <cellStyle name="Normal 9 3 8 3 2" xfId="39969"/>
    <cellStyle name="Normal 9 3 8 4" xfId="27664"/>
    <cellStyle name="Normal 9 3 9" xfId="10868"/>
    <cellStyle name="Normal 9 3 9 2" xfId="30751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2 2" xfId="36125"/>
    <cellStyle name="Normal 9 4 2 2 2 3" xfId="22394"/>
    <cellStyle name="Normal 9 4 2 2 2 3 2" xfId="42277"/>
    <cellStyle name="Normal 9 4 2 2 2 4" xfId="29972"/>
    <cellStyle name="Normal 9 4 2 2 3" xfId="13176"/>
    <cellStyle name="Normal 9 4 2 2 3 2" xfId="33059"/>
    <cellStyle name="Normal 9 4 2 2 4" xfId="19328"/>
    <cellStyle name="Normal 9 4 2 2 4 2" xfId="39211"/>
    <cellStyle name="Normal 9 4 2 2 5" xfId="26906"/>
    <cellStyle name="Normal 9 4 2 3" xfId="8514"/>
    <cellStyle name="Normal 9 4 2 3 2" xfId="14708"/>
    <cellStyle name="Normal 9 4 2 3 2 2" xfId="34591"/>
    <cellStyle name="Normal 9 4 2 3 3" xfId="20860"/>
    <cellStyle name="Normal 9 4 2 3 3 2" xfId="40743"/>
    <cellStyle name="Normal 9 4 2 3 4" xfId="28438"/>
    <cellStyle name="Normal 9 4 2 4" xfId="11642"/>
    <cellStyle name="Normal 9 4 2 4 2" xfId="31525"/>
    <cellStyle name="Normal 9 4 2 5" xfId="17794"/>
    <cellStyle name="Normal 9 4 2 5 2" xfId="37677"/>
    <cellStyle name="Normal 9 4 2 6" xfId="25372"/>
    <cellStyle name="Normal 9 4 3" xfId="6180"/>
    <cellStyle name="Normal 9 4 3 2" xfId="9280"/>
    <cellStyle name="Normal 9 4 3 2 2" xfId="15473"/>
    <cellStyle name="Normal 9 4 3 2 2 2" xfId="35356"/>
    <cellStyle name="Normal 9 4 3 2 3" xfId="21625"/>
    <cellStyle name="Normal 9 4 3 2 3 2" xfId="41508"/>
    <cellStyle name="Normal 9 4 3 2 4" xfId="29203"/>
    <cellStyle name="Normal 9 4 3 3" xfId="12407"/>
    <cellStyle name="Normal 9 4 3 3 2" xfId="32290"/>
    <cellStyle name="Normal 9 4 3 4" xfId="18559"/>
    <cellStyle name="Normal 9 4 3 4 2" xfId="38442"/>
    <cellStyle name="Normal 9 4 3 5" xfId="26137"/>
    <cellStyle name="Normal 9 4 4" xfId="7745"/>
    <cellStyle name="Normal 9 4 4 2" xfId="13939"/>
    <cellStyle name="Normal 9 4 4 2 2" xfId="33822"/>
    <cellStyle name="Normal 9 4 4 3" xfId="20091"/>
    <cellStyle name="Normal 9 4 4 3 2" xfId="39974"/>
    <cellStyle name="Normal 9 4 4 4" xfId="27669"/>
    <cellStyle name="Normal 9 4 5" xfId="10873"/>
    <cellStyle name="Normal 9 4 5 2" xfId="30756"/>
    <cellStyle name="Normal 9 4 6" xfId="17025"/>
    <cellStyle name="Normal 9 4 6 2" xfId="36908"/>
    <cellStyle name="Normal 9 4 7" xfId="4168"/>
    <cellStyle name="Normal 9 4 7 2" xfId="24603"/>
    <cellStyle name="Normal 9 4 8" xfId="23301"/>
    <cellStyle name="Normal 9 4 9" xfId="23362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2 2" xfId="36126"/>
    <cellStyle name="Normal 9 5 2 2 2 3" xfId="22395"/>
    <cellStyle name="Normal 9 5 2 2 2 3 2" xfId="42278"/>
    <cellStyle name="Normal 9 5 2 2 2 4" xfId="29973"/>
    <cellStyle name="Normal 9 5 2 2 3" xfId="13177"/>
    <cellStyle name="Normal 9 5 2 2 3 2" xfId="33060"/>
    <cellStyle name="Normal 9 5 2 2 4" xfId="19329"/>
    <cellStyle name="Normal 9 5 2 2 4 2" xfId="39212"/>
    <cellStyle name="Normal 9 5 2 2 5" xfId="26907"/>
    <cellStyle name="Normal 9 5 2 3" xfId="8515"/>
    <cellStyle name="Normal 9 5 2 3 2" xfId="14709"/>
    <cellStyle name="Normal 9 5 2 3 2 2" xfId="34592"/>
    <cellStyle name="Normal 9 5 2 3 3" xfId="20861"/>
    <cellStyle name="Normal 9 5 2 3 3 2" xfId="40744"/>
    <cellStyle name="Normal 9 5 2 3 4" xfId="28439"/>
    <cellStyle name="Normal 9 5 2 4" xfId="11643"/>
    <cellStyle name="Normal 9 5 2 4 2" xfId="31526"/>
    <cellStyle name="Normal 9 5 2 5" xfId="17795"/>
    <cellStyle name="Normal 9 5 2 5 2" xfId="37678"/>
    <cellStyle name="Normal 9 5 2 6" xfId="25373"/>
    <cellStyle name="Normal 9 5 3" xfId="6181"/>
    <cellStyle name="Normal 9 5 3 2" xfId="9281"/>
    <cellStyle name="Normal 9 5 3 2 2" xfId="15474"/>
    <cellStyle name="Normal 9 5 3 2 2 2" xfId="35357"/>
    <cellStyle name="Normal 9 5 3 2 3" xfId="21626"/>
    <cellStyle name="Normal 9 5 3 2 3 2" xfId="41509"/>
    <cellStyle name="Normal 9 5 3 2 4" xfId="29204"/>
    <cellStyle name="Normal 9 5 3 3" xfId="12408"/>
    <cellStyle name="Normal 9 5 3 3 2" xfId="32291"/>
    <cellStyle name="Normal 9 5 3 4" xfId="18560"/>
    <cellStyle name="Normal 9 5 3 4 2" xfId="38443"/>
    <cellStyle name="Normal 9 5 3 5" xfId="26138"/>
    <cellStyle name="Normal 9 5 4" xfId="7746"/>
    <cellStyle name="Normal 9 5 4 2" xfId="13940"/>
    <cellStyle name="Normal 9 5 4 2 2" xfId="33823"/>
    <cellStyle name="Normal 9 5 4 3" xfId="20092"/>
    <cellStyle name="Normal 9 5 4 3 2" xfId="39975"/>
    <cellStyle name="Normal 9 5 4 4" xfId="27670"/>
    <cellStyle name="Normal 9 5 5" xfId="10874"/>
    <cellStyle name="Normal 9 5 5 2" xfId="30757"/>
    <cellStyle name="Normal 9 5 6" xfId="17026"/>
    <cellStyle name="Normal 9 5 6 2" xfId="36909"/>
    <cellStyle name="Normal 9 5 7" xfId="23302"/>
    <cellStyle name="Normal 9 5 8" xfId="24604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2 2" xfId="36127"/>
    <cellStyle name="Normal 9 6 2 2 2 3" xfId="22396"/>
    <cellStyle name="Normal 9 6 2 2 2 3 2" xfId="42279"/>
    <cellStyle name="Normal 9 6 2 2 2 4" xfId="29974"/>
    <cellStyle name="Normal 9 6 2 2 3" xfId="13178"/>
    <cellStyle name="Normal 9 6 2 2 3 2" xfId="33061"/>
    <cellStyle name="Normal 9 6 2 2 4" xfId="19330"/>
    <cellStyle name="Normal 9 6 2 2 4 2" xfId="39213"/>
    <cellStyle name="Normal 9 6 2 2 5" xfId="26908"/>
    <cellStyle name="Normal 9 6 2 3" xfId="8516"/>
    <cellStyle name="Normal 9 6 2 3 2" xfId="14710"/>
    <cellStyle name="Normal 9 6 2 3 2 2" xfId="34593"/>
    <cellStyle name="Normal 9 6 2 3 3" xfId="20862"/>
    <cellStyle name="Normal 9 6 2 3 3 2" xfId="40745"/>
    <cellStyle name="Normal 9 6 2 3 4" xfId="28440"/>
    <cellStyle name="Normal 9 6 2 4" xfId="11644"/>
    <cellStyle name="Normal 9 6 2 4 2" xfId="31527"/>
    <cellStyle name="Normal 9 6 2 5" xfId="17796"/>
    <cellStyle name="Normal 9 6 2 5 2" xfId="37679"/>
    <cellStyle name="Normal 9 6 2 6" xfId="25374"/>
    <cellStyle name="Normal 9 6 3" xfId="6182"/>
    <cellStyle name="Normal 9 6 3 2" xfId="9282"/>
    <cellStyle name="Normal 9 6 3 2 2" xfId="15475"/>
    <cellStyle name="Normal 9 6 3 2 2 2" xfId="35358"/>
    <cellStyle name="Normal 9 6 3 2 3" xfId="21627"/>
    <cellStyle name="Normal 9 6 3 2 3 2" xfId="41510"/>
    <cellStyle name="Normal 9 6 3 2 4" xfId="29205"/>
    <cellStyle name="Normal 9 6 3 3" xfId="12409"/>
    <cellStyle name="Normal 9 6 3 3 2" xfId="32292"/>
    <cellStyle name="Normal 9 6 3 4" xfId="18561"/>
    <cellStyle name="Normal 9 6 3 4 2" xfId="38444"/>
    <cellStyle name="Normal 9 6 3 5" xfId="26139"/>
    <cellStyle name="Normal 9 6 4" xfId="7747"/>
    <cellStyle name="Normal 9 6 4 2" xfId="13941"/>
    <cellStyle name="Normal 9 6 4 2 2" xfId="33824"/>
    <cellStyle name="Normal 9 6 4 3" xfId="20093"/>
    <cellStyle name="Normal 9 6 4 3 2" xfId="39976"/>
    <cellStyle name="Normal 9 6 4 4" xfId="27671"/>
    <cellStyle name="Normal 9 6 5" xfId="10875"/>
    <cellStyle name="Normal 9 6 5 2" xfId="30758"/>
    <cellStyle name="Normal 9 6 6" xfId="17027"/>
    <cellStyle name="Normal 9 6 6 2" xfId="36910"/>
    <cellStyle name="Normal 9 6 7" xfId="24605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2 2" xfId="36128"/>
    <cellStyle name="Normal 9 7 2 2 2 3" xfId="22397"/>
    <cellStyle name="Normal 9 7 2 2 2 3 2" xfId="42280"/>
    <cellStyle name="Normal 9 7 2 2 2 4" xfId="29975"/>
    <cellStyle name="Normal 9 7 2 2 3" xfId="13179"/>
    <cellStyle name="Normal 9 7 2 2 3 2" xfId="33062"/>
    <cellStyle name="Normal 9 7 2 2 4" xfId="19331"/>
    <cellStyle name="Normal 9 7 2 2 4 2" xfId="39214"/>
    <cellStyle name="Normal 9 7 2 2 5" xfId="26909"/>
    <cellStyle name="Normal 9 7 2 3" xfId="8517"/>
    <cellStyle name="Normal 9 7 2 3 2" xfId="14711"/>
    <cellStyle name="Normal 9 7 2 3 2 2" xfId="34594"/>
    <cellStyle name="Normal 9 7 2 3 3" xfId="20863"/>
    <cellStyle name="Normal 9 7 2 3 3 2" xfId="40746"/>
    <cellStyle name="Normal 9 7 2 3 4" xfId="28441"/>
    <cellStyle name="Normal 9 7 2 4" xfId="11645"/>
    <cellStyle name="Normal 9 7 2 4 2" xfId="31528"/>
    <cellStyle name="Normal 9 7 2 5" xfId="17797"/>
    <cellStyle name="Normal 9 7 2 5 2" xfId="37680"/>
    <cellStyle name="Normal 9 7 2 6" xfId="25375"/>
    <cellStyle name="Normal 9 7 3" xfId="6183"/>
    <cellStyle name="Normal 9 7 3 2" xfId="9283"/>
    <cellStyle name="Normal 9 7 3 2 2" xfId="15476"/>
    <cellStyle name="Normal 9 7 3 2 2 2" xfId="35359"/>
    <cellStyle name="Normal 9 7 3 2 3" xfId="21628"/>
    <cellStyle name="Normal 9 7 3 2 3 2" xfId="41511"/>
    <cellStyle name="Normal 9 7 3 2 4" xfId="29206"/>
    <cellStyle name="Normal 9 7 3 3" xfId="12410"/>
    <cellStyle name="Normal 9 7 3 3 2" xfId="32293"/>
    <cellStyle name="Normal 9 7 3 4" xfId="18562"/>
    <cellStyle name="Normal 9 7 3 4 2" xfId="38445"/>
    <cellStyle name="Normal 9 7 3 5" xfId="26140"/>
    <cellStyle name="Normal 9 7 4" xfId="7748"/>
    <cellStyle name="Normal 9 7 4 2" xfId="13942"/>
    <cellStyle name="Normal 9 7 4 2 2" xfId="33825"/>
    <cellStyle name="Normal 9 7 4 3" xfId="20094"/>
    <cellStyle name="Normal 9 7 4 3 2" xfId="39977"/>
    <cellStyle name="Normal 9 7 4 4" xfId="27672"/>
    <cellStyle name="Normal 9 7 5" xfId="10876"/>
    <cellStyle name="Normal 9 7 5 2" xfId="30759"/>
    <cellStyle name="Normal 9 7 6" xfId="17028"/>
    <cellStyle name="Normal 9 7 6 2" xfId="36911"/>
    <cellStyle name="Normal 9 7 7" xfId="24606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2 2" xfId="36129"/>
    <cellStyle name="Normal 9 8 2 2 2 3" xfId="22398"/>
    <cellStyle name="Normal 9 8 2 2 2 3 2" xfId="42281"/>
    <cellStyle name="Normal 9 8 2 2 2 4" xfId="29976"/>
    <cellStyle name="Normal 9 8 2 2 3" xfId="13180"/>
    <cellStyle name="Normal 9 8 2 2 3 2" xfId="33063"/>
    <cellStyle name="Normal 9 8 2 2 4" xfId="19332"/>
    <cellStyle name="Normal 9 8 2 2 4 2" xfId="39215"/>
    <cellStyle name="Normal 9 8 2 2 5" xfId="26910"/>
    <cellStyle name="Normal 9 8 2 3" xfId="8518"/>
    <cellStyle name="Normal 9 8 2 3 2" xfId="14712"/>
    <cellStyle name="Normal 9 8 2 3 2 2" xfId="34595"/>
    <cellStyle name="Normal 9 8 2 3 3" xfId="20864"/>
    <cellStyle name="Normal 9 8 2 3 3 2" xfId="40747"/>
    <cellStyle name="Normal 9 8 2 3 4" xfId="28442"/>
    <cellStyle name="Normal 9 8 2 4" xfId="11646"/>
    <cellStyle name="Normal 9 8 2 4 2" xfId="31529"/>
    <cellStyle name="Normal 9 8 2 5" xfId="17798"/>
    <cellStyle name="Normal 9 8 2 5 2" xfId="37681"/>
    <cellStyle name="Normal 9 8 2 6" xfId="25376"/>
    <cellStyle name="Normal 9 8 3" xfId="6184"/>
    <cellStyle name="Normal 9 8 3 2" xfId="9284"/>
    <cellStyle name="Normal 9 8 3 2 2" xfId="15477"/>
    <cellStyle name="Normal 9 8 3 2 2 2" xfId="35360"/>
    <cellStyle name="Normal 9 8 3 2 3" xfId="21629"/>
    <cellStyle name="Normal 9 8 3 2 3 2" xfId="41512"/>
    <cellStyle name="Normal 9 8 3 2 4" xfId="29207"/>
    <cellStyle name="Normal 9 8 3 3" xfId="12411"/>
    <cellStyle name="Normal 9 8 3 3 2" xfId="32294"/>
    <cellStyle name="Normal 9 8 3 4" xfId="18563"/>
    <cellStyle name="Normal 9 8 3 4 2" xfId="38446"/>
    <cellStyle name="Normal 9 8 3 5" xfId="26141"/>
    <cellStyle name="Normal 9 8 4" xfId="7749"/>
    <cellStyle name="Normal 9 8 4 2" xfId="13943"/>
    <cellStyle name="Normal 9 8 4 2 2" xfId="33826"/>
    <cellStyle name="Normal 9 8 4 3" xfId="20095"/>
    <cellStyle name="Normal 9 8 4 3 2" xfId="39978"/>
    <cellStyle name="Normal 9 8 4 4" xfId="27673"/>
    <cellStyle name="Normal 9 8 5" xfId="10877"/>
    <cellStyle name="Normal 9 8 5 2" xfId="30760"/>
    <cellStyle name="Normal 9 8 6" xfId="17029"/>
    <cellStyle name="Normal 9 8 6 2" xfId="36912"/>
    <cellStyle name="Normal 9 8 7" xfId="24607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2 2" xfId="36130"/>
    <cellStyle name="Normal 9 9 2 2 2 3" xfId="22399"/>
    <cellStyle name="Normal 9 9 2 2 2 3 2" xfId="42282"/>
    <cellStyle name="Normal 9 9 2 2 2 4" xfId="29977"/>
    <cellStyle name="Normal 9 9 2 2 3" xfId="13181"/>
    <cellStyle name="Normal 9 9 2 2 3 2" xfId="33064"/>
    <cellStyle name="Normal 9 9 2 2 4" xfId="19333"/>
    <cellStyle name="Normal 9 9 2 2 4 2" xfId="39216"/>
    <cellStyle name="Normal 9 9 2 2 5" xfId="26911"/>
    <cellStyle name="Normal 9 9 2 3" xfId="8519"/>
    <cellStyle name="Normal 9 9 2 3 2" xfId="14713"/>
    <cellStyle name="Normal 9 9 2 3 2 2" xfId="34596"/>
    <cellStyle name="Normal 9 9 2 3 3" xfId="20865"/>
    <cellStyle name="Normal 9 9 2 3 3 2" xfId="40748"/>
    <cellStyle name="Normal 9 9 2 3 4" xfId="28443"/>
    <cellStyle name="Normal 9 9 2 4" xfId="11647"/>
    <cellStyle name="Normal 9 9 2 4 2" xfId="31530"/>
    <cellStyle name="Normal 9 9 2 5" xfId="17799"/>
    <cellStyle name="Normal 9 9 2 5 2" xfId="37682"/>
    <cellStyle name="Normal 9 9 2 6" xfId="25377"/>
    <cellStyle name="Normal 9 9 3" xfId="6185"/>
    <cellStyle name="Normal 9 9 3 2" xfId="9285"/>
    <cellStyle name="Normal 9 9 3 2 2" xfId="15478"/>
    <cellStyle name="Normal 9 9 3 2 2 2" xfId="35361"/>
    <cellStyle name="Normal 9 9 3 2 3" xfId="21630"/>
    <cellStyle name="Normal 9 9 3 2 3 2" xfId="41513"/>
    <cellStyle name="Normal 9 9 3 2 4" xfId="29208"/>
    <cellStyle name="Normal 9 9 3 3" xfId="12412"/>
    <cellStyle name="Normal 9 9 3 3 2" xfId="32295"/>
    <cellStyle name="Normal 9 9 3 4" xfId="18564"/>
    <cellStyle name="Normal 9 9 3 4 2" xfId="38447"/>
    <cellStyle name="Normal 9 9 3 5" xfId="26142"/>
    <cellStyle name="Normal 9 9 4" xfId="7750"/>
    <cellStyle name="Normal 9 9 4 2" xfId="13944"/>
    <cellStyle name="Normal 9 9 4 2 2" xfId="33827"/>
    <cellStyle name="Normal 9 9 4 3" xfId="20096"/>
    <cellStyle name="Normal 9 9 4 3 2" xfId="39979"/>
    <cellStyle name="Normal 9 9 4 4" xfId="27674"/>
    <cellStyle name="Normal 9 9 5" xfId="10878"/>
    <cellStyle name="Normal 9 9 5 2" xfId="30761"/>
    <cellStyle name="Normal 9 9 6" xfId="17030"/>
    <cellStyle name="Normal 9 9 6 2" xfId="36913"/>
    <cellStyle name="Normal 9 9 7" xfId="24608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2 2" xfId="23916"/>
    <cellStyle name="Note 2 10 3" xfId="22711"/>
    <cellStyle name="Note 2 10 3 2" xfId="42585"/>
    <cellStyle name="Note 2 10 4" xfId="23036"/>
    <cellStyle name="Note 2 10 4 2" xfId="42910"/>
    <cellStyle name="Note 2 10 5" xfId="23613"/>
    <cellStyle name="Note 2 11" xfId="764"/>
    <cellStyle name="Note 2 11 2" xfId="1089"/>
    <cellStyle name="Note 2 11 2 2" xfId="23932"/>
    <cellStyle name="Note 2 11 3" xfId="22728"/>
    <cellStyle name="Note 2 11 3 2" xfId="42602"/>
    <cellStyle name="Note 2 11 4" xfId="23052"/>
    <cellStyle name="Note 2 11 4 2" xfId="42926"/>
    <cellStyle name="Note 2 11 5" xfId="23629"/>
    <cellStyle name="Note 2 12" xfId="789"/>
    <cellStyle name="Note 2 12 2" xfId="1105"/>
    <cellStyle name="Note 2 12 2 2" xfId="23948"/>
    <cellStyle name="Note 2 12 3" xfId="22636"/>
    <cellStyle name="Note 2 12 3 2" xfId="42510"/>
    <cellStyle name="Note 2 12 4" xfId="23068"/>
    <cellStyle name="Note 2 12 4 2" xfId="42942"/>
    <cellStyle name="Note 2 12 5" xfId="23645"/>
    <cellStyle name="Note 2 13" xfId="813"/>
    <cellStyle name="Note 2 13 2" xfId="1121"/>
    <cellStyle name="Note 2 13 2 2" xfId="23964"/>
    <cellStyle name="Note 2 13 3" xfId="22694"/>
    <cellStyle name="Note 2 13 3 2" xfId="42568"/>
    <cellStyle name="Note 2 13 4" xfId="23084"/>
    <cellStyle name="Note 2 13 4 2" xfId="42958"/>
    <cellStyle name="Note 2 13 5" xfId="23661"/>
    <cellStyle name="Note 2 14" xfId="829"/>
    <cellStyle name="Note 2 14 2" xfId="1137"/>
    <cellStyle name="Note 2 14 2 2" xfId="23980"/>
    <cellStyle name="Note 2 14 3" xfId="22595"/>
    <cellStyle name="Note 2 14 3 2" xfId="42469"/>
    <cellStyle name="Note 2 14 4" xfId="23100"/>
    <cellStyle name="Note 2 14 4 2" xfId="42974"/>
    <cellStyle name="Note 2 14 5" xfId="23677"/>
    <cellStyle name="Note 2 15" xfId="845"/>
    <cellStyle name="Note 2 15 2" xfId="1153"/>
    <cellStyle name="Note 2 15 2 2" xfId="23996"/>
    <cellStyle name="Note 2 15 3" xfId="22800"/>
    <cellStyle name="Note 2 15 3 2" xfId="42674"/>
    <cellStyle name="Note 2 15 4" xfId="23116"/>
    <cellStyle name="Note 2 15 4 2" xfId="42990"/>
    <cellStyle name="Note 2 15 5" xfId="23693"/>
    <cellStyle name="Note 2 16" xfId="893"/>
    <cellStyle name="Note 2 16 2" xfId="23736"/>
    <cellStyle name="Note 2 17" xfId="4174"/>
    <cellStyle name="Note 2 17 2" xfId="24609"/>
    <cellStyle name="Note 2 18" xfId="22856"/>
    <cellStyle name="Note 2 18 2" xfId="42730"/>
    <cellStyle name="Note 2 19" xfId="23433"/>
    <cellStyle name="Note 2 2" xfId="511"/>
    <cellStyle name="Note 2 2 2" xfId="945"/>
    <cellStyle name="Note 2 2 2 2" xfId="10055"/>
    <cellStyle name="Note 2 2 2 2 2" xfId="16248"/>
    <cellStyle name="Note 2 2 2 2 2 2" xfId="36131"/>
    <cellStyle name="Note 2 2 2 2 3" xfId="22400"/>
    <cellStyle name="Note 2 2 2 2 3 2" xfId="42283"/>
    <cellStyle name="Note 2 2 2 2 4" xfId="29978"/>
    <cellStyle name="Note 2 2 2 3" xfId="13182"/>
    <cellStyle name="Note 2 2 2 3 2" xfId="33065"/>
    <cellStyle name="Note 2 2 2 4" xfId="19334"/>
    <cellStyle name="Note 2 2 2 4 2" xfId="39217"/>
    <cellStyle name="Note 2 2 2 5" xfId="6969"/>
    <cellStyle name="Note 2 2 2 5 2" xfId="26912"/>
    <cellStyle name="Note 2 2 2 6" xfId="23788"/>
    <cellStyle name="Note 2 2 3" xfId="8520"/>
    <cellStyle name="Note 2 2 3 2" xfId="14714"/>
    <cellStyle name="Note 2 2 3 2 2" xfId="34597"/>
    <cellStyle name="Note 2 2 3 3" xfId="20866"/>
    <cellStyle name="Note 2 2 3 3 2" xfId="40749"/>
    <cellStyle name="Note 2 2 3 4" xfId="28444"/>
    <cellStyle name="Note 2 2 4" xfId="11648"/>
    <cellStyle name="Note 2 2 4 2" xfId="31531"/>
    <cellStyle name="Note 2 2 5" xfId="17800"/>
    <cellStyle name="Note 2 2 5 2" xfId="37683"/>
    <cellStyle name="Note 2 2 6" xfId="5344"/>
    <cellStyle name="Note 2 2 6 2" xfId="25378"/>
    <cellStyle name="Note 2 2 7" xfId="22908"/>
    <cellStyle name="Note 2 2 7 2" xfId="42782"/>
    <cellStyle name="Note 2 2 8" xfId="23485"/>
    <cellStyle name="Note 2 3" xfId="541"/>
    <cellStyle name="Note 2 3 2" xfId="961"/>
    <cellStyle name="Note 2 3 2 2" xfId="15479"/>
    <cellStyle name="Note 2 3 2 2 2" xfId="35362"/>
    <cellStyle name="Note 2 3 2 3" xfId="21631"/>
    <cellStyle name="Note 2 3 2 3 2" xfId="41514"/>
    <cellStyle name="Note 2 3 2 4" xfId="9286"/>
    <cellStyle name="Note 2 3 2 4 2" xfId="29209"/>
    <cellStyle name="Note 2 3 2 5" xfId="23804"/>
    <cellStyle name="Note 2 3 3" xfId="12413"/>
    <cellStyle name="Note 2 3 3 2" xfId="32296"/>
    <cellStyle name="Note 2 3 4" xfId="18565"/>
    <cellStyle name="Note 2 3 4 2" xfId="38448"/>
    <cellStyle name="Note 2 3 5" xfId="6186"/>
    <cellStyle name="Note 2 3 5 2" xfId="26143"/>
    <cellStyle name="Note 2 3 6" xfId="22924"/>
    <cellStyle name="Note 2 3 6 2" xfId="42798"/>
    <cellStyle name="Note 2 3 7" xfId="23501"/>
    <cellStyle name="Note 2 4" xfId="568"/>
    <cellStyle name="Note 2 4 2" xfId="977"/>
    <cellStyle name="Note 2 4 2 2" xfId="13945"/>
    <cellStyle name="Note 2 4 2 2 2" xfId="33828"/>
    <cellStyle name="Note 2 4 2 3" xfId="23820"/>
    <cellStyle name="Note 2 4 3" xfId="20097"/>
    <cellStyle name="Note 2 4 3 2" xfId="39980"/>
    <cellStyle name="Note 2 4 4" xfId="7751"/>
    <cellStyle name="Note 2 4 4 2" xfId="27675"/>
    <cellStyle name="Note 2 4 5" xfId="22940"/>
    <cellStyle name="Note 2 4 5 2" xfId="42814"/>
    <cellStyle name="Note 2 4 6" xfId="23517"/>
    <cellStyle name="Note 2 5" xfId="594"/>
    <cellStyle name="Note 2 5 2" xfId="993"/>
    <cellStyle name="Note 2 5 2 2" xfId="23836"/>
    <cellStyle name="Note 2 5 3" xfId="10879"/>
    <cellStyle name="Note 2 5 3 2" xfId="30762"/>
    <cellStyle name="Note 2 5 4" xfId="22956"/>
    <cellStyle name="Note 2 5 4 2" xfId="42830"/>
    <cellStyle name="Note 2 5 5" xfId="23533"/>
    <cellStyle name="Note 2 6" xfId="620"/>
    <cellStyle name="Note 2 6 2" xfId="1009"/>
    <cellStyle name="Note 2 6 2 2" xfId="23852"/>
    <cellStyle name="Note 2 6 3" xfId="17031"/>
    <cellStyle name="Note 2 6 3 2" xfId="36914"/>
    <cellStyle name="Note 2 6 4" xfId="22972"/>
    <cellStyle name="Note 2 6 4 2" xfId="42846"/>
    <cellStyle name="Note 2 6 5" xfId="23549"/>
    <cellStyle name="Note 2 7" xfId="644"/>
    <cellStyle name="Note 2 7 2" xfId="1025"/>
    <cellStyle name="Note 2 7 2 2" xfId="23868"/>
    <cellStyle name="Note 2 7 3" xfId="22613"/>
    <cellStyle name="Note 2 7 3 2" xfId="42487"/>
    <cellStyle name="Note 2 7 4" xfId="22988"/>
    <cellStyle name="Note 2 7 4 2" xfId="42862"/>
    <cellStyle name="Note 2 7 5" xfId="23565"/>
    <cellStyle name="Note 2 8" xfId="670"/>
    <cellStyle name="Note 2 8 2" xfId="1041"/>
    <cellStyle name="Note 2 8 2 2" xfId="23884"/>
    <cellStyle name="Note 2 8 3" xfId="22735"/>
    <cellStyle name="Note 2 8 3 2" xfId="42609"/>
    <cellStyle name="Note 2 8 4" xfId="23004"/>
    <cellStyle name="Note 2 8 4 2" xfId="42878"/>
    <cellStyle name="Note 2 8 5" xfId="23581"/>
    <cellStyle name="Note 2 9" xfId="710"/>
    <cellStyle name="Note 2 9 2" xfId="1057"/>
    <cellStyle name="Note 2 9 2 2" xfId="23900"/>
    <cellStyle name="Note 2 9 3" xfId="22638"/>
    <cellStyle name="Note 2 9 3 2" xfId="42512"/>
    <cellStyle name="Note 2 9 4" xfId="23020"/>
    <cellStyle name="Note 2 9 4 2" xfId="42894"/>
    <cellStyle name="Note 2 9 5" xfId="23597"/>
    <cellStyle name="Note 3" xfId="4175"/>
    <cellStyle name="Note 3 2" xfId="5345"/>
    <cellStyle name="Note 3 2 2" xfId="6970"/>
    <cellStyle name="Note 3 2 2 2" xfId="10056"/>
    <cellStyle name="Note 3 2 2 2 2" xfId="16249"/>
    <cellStyle name="Note 3 2 2 2 2 2" xfId="36132"/>
    <cellStyle name="Note 3 2 2 2 3" xfId="22401"/>
    <cellStyle name="Note 3 2 2 2 3 2" xfId="42284"/>
    <cellStyle name="Note 3 2 2 2 4" xfId="29979"/>
    <cellStyle name="Note 3 2 2 3" xfId="13183"/>
    <cellStyle name="Note 3 2 2 3 2" xfId="33066"/>
    <cellStyle name="Note 3 2 2 4" xfId="19335"/>
    <cellStyle name="Note 3 2 2 4 2" xfId="39218"/>
    <cellStyle name="Note 3 2 2 5" xfId="26913"/>
    <cellStyle name="Note 3 2 3" xfId="8521"/>
    <cellStyle name="Note 3 2 3 2" xfId="14715"/>
    <cellStyle name="Note 3 2 3 2 2" xfId="34598"/>
    <cellStyle name="Note 3 2 3 3" xfId="20867"/>
    <cellStyle name="Note 3 2 3 3 2" xfId="40750"/>
    <cellStyle name="Note 3 2 3 4" xfId="28445"/>
    <cellStyle name="Note 3 2 4" xfId="11649"/>
    <cellStyle name="Note 3 2 4 2" xfId="31532"/>
    <cellStyle name="Note 3 2 5" xfId="17801"/>
    <cellStyle name="Note 3 2 5 2" xfId="37684"/>
    <cellStyle name="Note 3 2 6" xfId="25379"/>
    <cellStyle name="Note 3 3" xfId="6187"/>
    <cellStyle name="Note 3 3 2" xfId="9287"/>
    <cellStyle name="Note 3 3 2 2" xfId="15480"/>
    <cellStyle name="Note 3 3 2 2 2" xfId="35363"/>
    <cellStyle name="Note 3 3 2 3" xfId="21632"/>
    <cellStyle name="Note 3 3 2 3 2" xfId="41515"/>
    <cellStyle name="Note 3 3 2 4" xfId="29210"/>
    <cellStyle name="Note 3 3 3" xfId="12414"/>
    <cellStyle name="Note 3 3 3 2" xfId="32297"/>
    <cellStyle name="Note 3 3 4" xfId="18566"/>
    <cellStyle name="Note 3 3 4 2" xfId="38449"/>
    <cellStyle name="Note 3 3 5" xfId="26144"/>
    <cellStyle name="Note 3 4" xfId="7752"/>
    <cellStyle name="Note 3 4 2" xfId="13946"/>
    <cellStyle name="Note 3 4 2 2" xfId="33829"/>
    <cellStyle name="Note 3 4 3" xfId="20098"/>
    <cellStyle name="Note 3 4 3 2" xfId="39981"/>
    <cellStyle name="Note 3 4 4" xfId="27676"/>
    <cellStyle name="Note 3 5" xfId="10880"/>
    <cellStyle name="Note 3 5 2" xfId="30763"/>
    <cellStyle name="Note 3 6" xfId="17032"/>
    <cellStyle name="Note 3 6 2" xfId="36915"/>
    <cellStyle name="Note 3 7" xfId="24610"/>
    <cellStyle name="Note 4" xfId="4176"/>
    <cellStyle name="Note 4 2" xfId="5346"/>
    <cellStyle name="Note 4 2 2" xfId="6971"/>
    <cellStyle name="Note 4 2 2 2" xfId="10057"/>
    <cellStyle name="Note 4 2 2 2 2" xfId="16250"/>
    <cellStyle name="Note 4 2 2 2 2 2" xfId="36133"/>
    <cellStyle name="Note 4 2 2 2 3" xfId="22402"/>
    <cellStyle name="Note 4 2 2 2 3 2" xfId="42285"/>
    <cellStyle name="Note 4 2 2 2 4" xfId="29980"/>
    <cellStyle name="Note 4 2 2 3" xfId="13184"/>
    <cellStyle name="Note 4 2 2 3 2" xfId="33067"/>
    <cellStyle name="Note 4 2 2 4" xfId="19336"/>
    <cellStyle name="Note 4 2 2 4 2" xfId="39219"/>
    <cellStyle name="Note 4 2 2 5" xfId="26914"/>
    <cellStyle name="Note 4 2 3" xfId="8522"/>
    <cellStyle name="Note 4 2 3 2" xfId="14716"/>
    <cellStyle name="Note 4 2 3 2 2" xfId="34599"/>
    <cellStyle name="Note 4 2 3 3" xfId="20868"/>
    <cellStyle name="Note 4 2 3 3 2" xfId="40751"/>
    <cellStyle name="Note 4 2 3 4" xfId="28446"/>
    <cellStyle name="Note 4 2 4" xfId="11650"/>
    <cellStyle name="Note 4 2 4 2" xfId="31533"/>
    <cellStyle name="Note 4 2 5" xfId="17802"/>
    <cellStyle name="Note 4 2 5 2" xfId="37685"/>
    <cellStyle name="Note 4 2 6" xfId="25380"/>
    <cellStyle name="Note 4 3" xfId="6188"/>
    <cellStyle name="Note 4 3 2" xfId="9288"/>
    <cellStyle name="Note 4 3 2 2" xfId="15481"/>
    <cellStyle name="Note 4 3 2 2 2" xfId="35364"/>
    <cellStyle name="Note 4 3 2 3" xfId="21633"/>
    <cellStyle name="Note 4 3 2 3 2" xfId="41516"/>
    <cellStyle name="Note 4 3 2 4" xfId="29211"/>
    <cellStyle name="Note 4 3 3" xfId="12415"/>
    <cellStyle name="Note 4 3 3 2" xfId="32298"/>
    <cellStyle name="Note 4 3 4" xfId="18567"/>
    <cellStyle name="Note 4 3 4 2" xfId="38450"/>
    <cellStyle name="Note 4 3 5" xfId="26145"/>
    <cellStyle name="Note 4 4" xfId="7753"/>
    <cellStyle name="Note 4 4 2" xfId="13947"/>
    <cellStyle name="Note 4 4 2 2" xfId="33830"/>
    <cellStyle name="Note 4 4 3" xfId="20099"/>
    <cellStyle name="Note 4 4 3 2" xfId="39982"/>
    <cellStyle name="Note 4 4 4" xfId="27677"/>
    <cellStyle name="Note 4 5" xfId="10881"/>
    <cellStyle name="Note 4 5 2" xfId="30764"/>
    <cellStyle name="Note 4 6" xfId="17033"/>
    <cellStyle name="Note 4 6 2" xfId="36916"/>
    <cellStyle name="Note 4 7" xfId="24611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2 2" xfId="36134"/>
    <cellStyle name="Note 7 2 2 2 3" xfId="22403"/>
    <cellStyle name="Note 7 2 2 2 3 2" xfId="42286"/>
    <cellStyle name="Note 7 2 2 2 4" xfId="29981"/>
    <cellStyle name="Note 7 2 2 3" xfId="13185"/>
    <cellStyle name="Note 7 2 2 3 2" xfId="33068"/>
    <cellStyle name="Note 7 2 2 4" xfId="19337"/>
    <cellStyle name="Note 7 2 2 4 2" xfId="39220"/>
    <cellStyle name="Note 7 2 2 5" xfId="26915"/>
    <cellStyle name="Note 7 2 3" xfId="8523"/>
    <cellStyle name="Note 7 2 3 2" xfId="14717"/>
    <cellStyle name="Note 7 2 3 2 2" xfId="34600"/>
    <cellStyle name="Note 7 2 3 3" xfId="20869"/>
    <cellStyle name="Note 7 2 3 3 2" xfId="40752"/>
    <cellStyle name="Note 7 2 3 4" xfId="28447"/>
    <cellStyle name="Note 7 2 4" xfId="11651"/>
    <cellStyle name="Note 7 2 4 2" xfId="31534"/>
    <cellStyle name="Note 7 2 5" xfId="17803"/>
    <cellStyle name="Note 7 2 5 2" xfId="37686"/>
    <cellStyle name="Note 7 2 6" xfId="25381"/>
    <cellStyle name="Note 7 3" xfId="6189"/>
    <cellStyle name="Note 7 3 2" xfId="9289"/>
    <cellStyle name="Note 7 3 2 2" xfId="15482"/>
    <cellStyle name="Note 7 3 2 2 2" xfId="35365"/>
    <cellStyle name="Note 7 3 2 3" xfId="21634"/>
    <cellStyle name="Note 7 3 2 3 2" xfId="41517"/>
    <cellStyle name="Note 7 3 2 4" xfId="29212"/>
    <cellStyle name="Note 7 3 3" xfId="12416"/>
    <cellStyle name="Note 7 3 3 2" xfId="32299"/>
    <cellStyle name="Note 7 3 4" xfId="18568"/>
    <cellStyle name="Note 7 3 4 2" xfId="38451"/>
    <cellStyle name="Note 7 3 5" xfId="26146"/>
    <cellStyle name="Note 7 4" xfId="7754"/>
    <cellStyle name="Note 7 4 2" xfId="13948"/>
    <cellStyle name="Note 7 4 2 2" xfId="33831"/>
    <cellStyle name="Note 7 4 3" xfId="20100"/>
    <cellStyle name="Note 7 4 3 2" xfId="39983"/>
    <cellStyle name="Note 7 4 4" xfId="27678"/>
    <cellStyle name="Note 7 5" xfId="10882"/>
    <cellStyle name="Note 7 5 2" xfId="30765"/>
    <cellStyle name="Note 7 6" xfId="17034"/>
    <cellStyle name="Note 7 6 2" xfId="36917"/>
    <cellStyle name="Note 7 7" xfId="24612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2 2" xfId="36135"/>
    <cellStyle name="Percent 120 2 2 2 3" xfId="22404"/>
    <cellStyle name="Percent 120 2 2 2 3 2" xfId="42287"/>
    <cellStyle name="Percent 120 2 2 2 4" xfId="29982"/>
    <cellStyle name="Percent 120 2 2 3" xfId="13186"/>
    <cellStyle name="Percent 120 2 2 3 2" xfId="33069"/>
    <cellStyle name="Percent 120 2 2 4" xfId="19338"/>
    <cellStyle name="Percent 120 2 2 4 2" xfId="39221"/>
    <cellStyle name="Percent 120 2 2 5" xfId="26916"/>
    <cellStyle name="Percent 120 2 3" xfId="8524"/>
    <cellStyle name="Percent 120 2 3 2" xfId="14718"/>
    <cellStyle name="Percent 120 2 3 2 2" xfId="34601"/>
    <cellStyle name="Percent 120 2 3 3" xfId="20870"/>
    <cellStyle name="Percent 120 2 3 3 2" xfId="40753"/>
    <cellStyle name="Percent 120 2 3 4" xfId="28448"/>
    <cellStyle name="Percent 120 2 4" xfId="11652"/>
    <cellStyle name="Percent 120 2 4 2" xfId="31535"/>
    <cellStyle name="Percent 120 2 5" xfId="17804"/>
    <cellStyle name="Percent 120 2 5 2" xfId="37687"/>
    <cellStyle name="Percent 120 2 6" xfId="25382"/>
    <cellStyle name="Percent 120 3" xfId="6190"/>
    <cellStyle name="Percent 120 3 2" xfId="9290"/>
    <cellStyle name="Percent 120 3 2 2" xfId="15483"/>
    <cellStyle name="Percent 120 3 2 2 2" xfId="35366"/>
    <cellStyle name="Percent 120 3 2 3" xfId="21635"/>
    <cellStyle name="Percent 120 3 2 3 2" xfId="41518"/>
    <cellStyle name="Percent 120 3 2 4" xfId="29213"/>
    <cellStyle name="Percent 120 3 3" xfId="12417"/>
    <cellStyle name="Percent 120 3 3 2" xfId="32300"/>
    <cellStyle name="Percent 120 3 4" xfId="18569"/>
    <cellStyle name="Percent 120 3 4 2" xfId="38452"/>
    <cellStyle name="Percent 120 3 5" xfId="26147"/>
    <cellStyle name="Percent 120 4" xfId="7755"/>
    <cellStyle name="Percent 120 4 2" xfId="13949"/>
    <cellStyle name="Percent 120 4 2 2" xfId="33832"/>
    <cellStyle name="Percent 120 4 3" xfId="20101"/>
    <cellStyle name="Percent 120 4 3 2" xfId="39984"/>
    <cellStyle name="Percent 120 4 4" xfId="27679"/>
    <cellStyle name="Percent 120 5" xfId="10883"/>
    <cellStyle name="Percent 120 5 2" xfId="30766"/>
    <cellStyle name="Percent 120 6" xfId="17035"/>
    <cellStyle name="Percent 120 6 2" xfId="36918"/>
    <cellStyle name="Percent 120 7" xfId="24613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2 2" xfId="36136"/>
    <cellStyle name="Percent 121 2 2 2 3" xfId="22405"/>
    <cellStyle name="Percent 121 2 2 2 3 2" xfId="42288"/>
    <cellStyle name="Percent 121 2 2 2 4" xfId="29983"/>
    <cellStyle name="Percent 121 2 2 3" xfId="13187"/>
    <cellStyle name="Percent 121 2 2 3 2" xfId="33070"/>
    <cellStyle name="Percent 121 2 2 4" xfId="19339"/>
    <cellStyle name="Percent 121 2 2 4 2" xfId="39222"/>
    <cellStyle name="Percent 121 2 2 5" xfId="26917"/>
    <cellStyle name="Percent 121 2 3" xfId="8525"/>
    <cellStyle name="Percent 121 2 3 2" xfId="14719"/>
    <cellStyle name="Percent 121 2 3 2 2" xfId="34602"/>
    <cellStyle name="Percent 121 2 3 3" xfId="20871"/>
    <cellStyle name="Percent 121 2 3 3 2" xfId="40754"/>
    <cellStyle name="Percent 121 2 3 4" xfId="28449"/>
    <cellStyle name="Percent 121 2 4" xfId="11653"/>
    <cellStyle name="Percent 121 2 4 2" xfId="31536"/>
    <cellStyle name="Percent 121 2 5" xfId="17805"/>
    <cellStyle name="Percent 121 2 5 2" xfId="37688"/>
    <cellStyle name="Percent 121 2 6" xfId="25383"/>
    <cellStyle name="Percent 121 3" xfId="6191"/>
    <cellStyle name="Percent 121 3 2" xfId="9291"/>
    <cellStyle name="Percent 121 3 2 2" xfId="15484"/>
    <cellStyle name="Percent 121 3 2 2 2" xfId="35367"/>
    <cellStyle name="Percent 121 3 2 3" xfId="21636"/>
    <cellStyle name="Percent 121 3 2 3 2" xfId="41519"/>
    <cellStyle name="Percent 121 3 2 4" xfId="29214"/>
    <cellStyle name="Percent 121 3 3" xfId="12418"/>
    <cellStyle name="Percent 121 3 3 2" xfId="32301"/>
    <cellStyle name="Percent 121 3 4" xfId="18570"/>
    <cellStyle name="Percent 121 3 4 2" xfId="38453"/>
    <cellStyle name="Percent 121 3 5" xfId="26148"/>
    <cellStyle name="Percent 121 4" xfId="7756"/>
    <cellStyle name="Percent 121 4 2" xfId="13950"/>
    <cellStyle name="Percent 121 4 2 2" xfId="33833"/>
    <cellStyle name="Percent 121 4 3" xfId="20102"/>
    <cellStyle name="Percent 121 4 3 2" xfId="39985"/>
    <cellStyle name="Percent 121 4 4" xfId="27680"/>
    <cellStyle name="Percent 121 5" xfId="10884"/>
    <cellStyle name="Percent 121 5 2" xfId="30767"/>
    <cellStyle name="Percent 121 6" xfId="17036"/>
    <cellStyle name="Percent 121 6 2" xfId="36919"/>
    <cellStyle name="Percent 121 7" xfId="24614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2 2" xfId="36137"/>
    <cellStyle name="Percent 122 2 2 2 3" xfId="22406"/>
    <cellStyle name="Percent 122 2 2 2 3 2" xfId="42289"/>
    <cellStyle name="Percent 122 2 2 2 4" xfId="29984"/>
    <cellStyle name="Percent 122 2 2 3" xfId="13188"/>
    <cellStyle name="Percent 122 2 2 3 2" xfId="33071"/>
    <cellStyle name="Percent 122 2 2 4" xfId="19340"/>
    <cellStyle name="Percent 122 2 2 4 2" xfId="39223"/>
    <cellStyle name="Percent 122 2 2 5" xfId="26918"/>
    <cellStyle name="Percent 122 2 3" xfId="8526"/>
    <cellStyle name="Percent 122 2 3 2" xfId="14720"/>
    <cellStyle name="Percent 122 2 3 2 2" xfId="34603"/>
    <cellStyle name="Percent 122 2 3 3" xfId="20872"/>
    <cellStyle name="Percent 122 2 3 3 2" xfId="40755"/>
    <cellStyle name="Percent 122 2 3 4" xfId="28450"/>
    <cellStyle name="Percent 122 2 4" xfId="11654"/>
    <cellStyle name="Percent 122 2 4 2" xfId="31537"/>
    <cellStyle name="Percent 122 2 5" xfId="17806"/>
    <cellStyle name="Percent 122 2 5 2" xfId="37689"/>
    <cellStyle name="Percent 122 2 6" xfId="25384"/>
    <cellStyle name="Percent 122 3" xfId="6192"/>
    <cellStyle name="Percent 122 3 2" xfId="9292"/>
    <cellStyle name="Percent 122 3 2 2" xfId="15485"/>
    <cellStyle name="Percent 122 3 2 2 2" xfId="35368"/>
    <cellStyle name="Percent 122 3 2 3" xfId="21637"/>
    <cellStyle name="Percent 122 3 2 3 2" xfId="41520"/>
    <cellStyle name="Percent 122 3 2 4" xfId="29215"/>
    <cellStyle name="Percent 122 3 3" xfId="12419"/>
    <cellStyle name="Percent 122 3 3 2" xfId="32302"/>
    <cellStyle name="Percent 122 3 4" xfId="18571"/>
    <cellStyle name="Percent 122 3 4 2" xfId="38454"/>
    <cellStyle name="Percent 122 3 5" xfId="26149"/>
    <cellStyle name="Percent 122 4" xfId="7757"/>
    <cellStyle name="Percent 122 4 2" xfId="13951"/>
    <cellStyle name="Percent 122 4 2 2" xfId="33834"/>
    <cellStyle name="Percent 122 4 3" xfId="20103"/>
    <cellStyle name="Percent 122 4 3 2" xfId="39986"/>
    <cellStyle name="Percent 122 4 4" xfId="27681"/>
    <cellStyle name="Percent 122 5" xfId="10885"/>
    <cellStyle name="Percent 122 5 2" xfId="30768"/>
    <cellStyle name="Percent 122 6" xfId="17037"/>
    <cellStyle name="Percent 122 6 2" xfId="36920"/>
    <cellStyle name="Percent 122 7" xfId="24615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2 2" xfId="36138"/>
    <cellStyle name="Percent 123 2 2 2 3" xfId="22407"/>
    <cellStyle name="Percent 123 2 2 2 3 2" xfId="42290"/>
    <cellStyle name="Percent 123 2 2 2 4" xfId="29985"/>
    <cellStyle name="Percent 123 2 2 3" xfId="13189"/>
    <cellStyle name="Percent 123 2 2 3 2" xfId="33072"/>
    <cellStyle name="Percent 123 2 2 4" xfId="19341"/>
    <cellStyle name="Percent 123 2 2 4 2" xfId="39224"/>
    <cellStyle name="Percent 123 2 2 5" xfId="26919"/>
    <cellStyle name="Percent 123 2 3" xfId="8527"/>
    <cellStyle name="Percent 123 2 3 2" xfId="14721"/>
    <cellStyle name="Percent 123 2 3 2 2" xfId="34604"/>
    <cellStyle name="Percent 123 2 3 3" xfId="20873"/>
    <cellStyle name="Percent 123 2 3 3 2" xfId="40756"/>
    <cellStyle name="Percent 123 2 3 4" xfId="28451"/>
    <cellStyle name="Percent 123 2 4" xfId="11655"/>
    <cellStyle name="Percent 123 2 4 2" xfId="31538"/>
    <cellStyle name="Percent 123 2 5" xfId="17807"/>
    <cellStyle name="Percent 123 2 5 2" xfId="37690"/>
    <cellStyle name="Percent 123 2 6" xfId="25385"/>
    <cellStyle name="Percent 123 3" xfId="6193"/>
    <cellStyle name="Percent 123 3 2" xfId="9293"/>
    <cellStyle name="Percent 123 3 2 2" xfId="15486"/>
    <cellStyle name="Percent 123 3 2 2 2" xfId="35369"/>
    <cellStyle name="Percent 123 3 2 3" xfId="21638"/>
    <cellStyle name="Percent 123 3 2 3 2" xfId="41521"/>
    <cellStyle name="Percent 123 3 2 4" xfId="29216"/>
    <cellStyle name="Percent 123 3 3" xfId="12420"/>
    <cellStyle name="Percent 123 3 3 2" xfId="32303"/>
    <cellStyle name="Percent 123 3 4" xfId="18572"/>
    <cellStyle name="Percent 123 3 4 2" xfId="38455"/>
    <cellStyle name="Percent 123 3 5" xfId="26150"/>
    <cellStyle name="Percent 123 4" xfId="7758"/>
    <cellStyle name="Percent 123 4 2" xfId="13952"/>
    <cellStyle name="Percent 123 4 2 2" xfId="33835"/>
    <cellStyle name="Percent 123 4 3" xfId="20104"/>
    <cellStyle name="Percent 123 4 3 2" xfId="39987"/>
    <cellStyle name="Percent 123 4 4" xfId="27682"/>
    <cellStyle name="Percent 123 5" xfId="10886"/>
    <cellStyle name="Percent 123 5 2" xfId="30769"/>
    <cellStyle name="Percent 123 6" xfId="17038"/>
    <cellStyle name="Percent 123 6 2" xfId="36921"/>
    <cellStyle name="Percent 123 7" xfId="24616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2 2" xfId="36139"/>
    <cellStyle name="Percent 124 2 2 2 3" xfId="22408"/>
    <cellStyle name="Percent 124 2 2 2 3 2" xfId="42291"/>
    <cellStyle name="Percent 124 2 2 2 4" xfId="29986"/>
    <cellStyle name="Percent 124 2 2 3" xfId="13190"/>
    <cellStyle name="Percent 124 2 2 3 2" xfId="33073"/>
    <cellStyle name="Percent 124 2 2 4" xfId="19342"/>
    <cellStyle name="Percent 124 2 2 4 2" xfId="39225"/>
    <cellStyle name="Percent 124 2 2 5" xfId="26920"/>
    <cellStyle name="Percent 124 2 3" xfId="8528"/>
    <cellStyle name="Percent 124 2 3 2" xfId="14722"/>
    <cellStyle name="Percent 124 2 3 2 2" xfId="34605"/>
    <cellStyle name="Percent 124 2 3 3" xfId="20874"/>
    <cellStyle name="Percent 124 2 3 3 2" xfId="40757"/>
    <cellStyle name="Percent 124 2 3 4" xfId="28452"/>
    <cellStyle name="Percent 124 2 4" xfId="11656"/>
    <cellStyle name="Percent 124 2 4 2" xfId="31539"/>
    <cellStyle name="Percent 124 2 5" xfId="17808"/>
    <cellStyle name="Percent 124 2 5 2" xfId="37691"/>
    <cellStyle name="Percent 124 2 6" xfId="25386"/>
    <cellStyle name="Percent 124 3" xfId="6194"/>
    <cellStyle name="Percent 124 3 2" xfId="9294"/>
    <cellStyle name="Percent 124 3 2 2" xfId="15487"/>
    <cellStyle name="Percent 124 3 2 2 2" xfId="35370"/>
    <cellStyle name="Percent 124 3 2 3" xfId="21639"/>
    <cellStyle name="Percent 124 3 2 3 2" xfId="41522"/>
    <cellStyle name="Percent 124 3 2 4" xfId="29217"/>
    <cellStyle name="Percent 124 3 3" xfId="12421"/>
    <cellStyle name="Percent 124 3 3 2" xfId="32304"/>
    <cellStyle name="Percent 124 3 4" xfId="18573"/>
    <cellStyle name="Percent 124 3 4 2" xfId="38456"/>
    <cellStyle name="Percent 124 3 5" xfId="26151"/>
    <cellStyle name="Percent 124 4" xfId="7759"/>
    <cellStyle name="Percent 124 4 2" xfId="13953"/>
    <cellStyle name="Percent 124 4 2 2" xfId="33836"/>
    <cellStyle name="Percent 124 4 3" xfId="20105"/>
    <cellStyle name="Percent 124 4 3 2" xfId="39988"/>
    <cellStyle name="Percent 124 4 4" xfId="27683"/>
    <cellStyle name="Percent 124 5" xfId="10887"/>
    <cellStyle name="Percent 124 5 2" xfId="30770"/>
    <cellStyle name="Percent 124 6" xfId="17039"/>
    <cellStyle name="Percent 124 6 2" xfId="36922"/>
    <cellStyle name="Percent 124 7" xfId="24617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2 2" xfId="36140"/>
    <cellStyle name="Percent 125 2 2 2 3" xfId="22409"/>
    <cellStyle name="Percent 125 2 2 2 3 2" xfId="42292"/>
    <cellStyle name="Percent 125 2 2 2 4" xfId="29987"/>
    <cellStyle name="Percent 125 2 2 3" xfId="13191"/>
    <cellStyle name="Percent 125 2 2 3 2" xfId="33074"/>
    <cellStyle name="Percent 125 2 2 4" xfId="19343"/>
    <cellStyle name="Percent 125 2 2 4 2" xfId="39226"/>
    <cellStyle name="Percent 125 2 2 5" xfId="26921"/>
    <cellStyle name="Percent 125 2 3" xfId="8529"/>
    <cellStyle name="Percent 125 2 3 2" xfId="14723"/>
    <cellStyle name="Percent 125 2 3 2 2" xfId="34606"/>
    <cellStyle name="Percent 125 2 3 3" xfId="20875"/>
    <cellStyle name="Percent 125 2 3 3 2" xfId="40758"/>
    <cellStyle name="Percent 125 2 3 4" xfId="28453"/>
    <cellStyle name="Percent 125 2 4" xfId="11657"/>
    <cellStyle name="Percent 125 2 4 2" xfId="31540"/>
    <cellStyle name="Percent 125 2 5" xfId="17809"/>
    <cellStyle name="Percent 125 2 5 2" xfId="37692"/>
    <cellStyle name="Percent 125 2 6" xfId="25387"/>
    <cellStyle name="Percent 125 3" xfId="6195"/>
    <cellStyle name="Percent 125 3 2" xfId="9295"/>
    <cellStyle name="Percent 125 3 2 2" xfId="15488"/>
    <cellStyle name="Percent 125 3 2 2 2" xfId="35371"/>
    <cellStyle name="Percent 125 3 2 3" xfId="21640"/>
    <cellStyle name="Percent 125 3 2 3 2" xfId="41523"/>
    <cellStyle name="Percent 125 3 2 4" xfId="29218"/>
    <cellStyle name="Percent 125 3 3" xfId="12422"/>
    <cellStyle name="Percent 125 3 3 2" xfId="32305"/>
    <cellStyle name="Percent 125 3 4" xfId="18574"/>
    <cellStyle name="Percent 125 3 4 2" xfId="38457"/>
    <cellStyle name="Percent 125 3 5" xfId="26152"/>
    <cellStyle name="Percent 125 4" xfId="7760"/>
    <cellStyle name="Percent 125 4 2" xfId="13954"/>
    <cellStyle name="Percent 125 4 2 2" xfId="33837"/>
    <cellStyle name="Percent 125 4 3" xfId="20106"/>
    <cellStyle name="Percent 125 4 3 2" xfId="39989"/>
    <cellStyle name="Percent 125 4 4" xfId="27684"/>
    <cellStyle name="Percent 125 5" xfId="10888"/>
    <cellStyle name="Percent 125 5 2" xfId="30771"/>
    <cellStyle name="Percent 125 6" xfId="17040"/>
    <cellStyle name="Percent 125 6 2" xfId="36923"/>
    <cellStyle name="Percent 125 7" xfId="24618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2 2" xfId="36141"/>
    <cellStyle name="Percent 126 2 2 2 3" xfId="22410"/>
    <cellStyle name="Percent 126 2 2 2 3 2" xfId="42293"/>
    <cellStyle name="Percent 126 2 2 2 4" xfId="29988"/>
    <cellStyle name="Percent 126 2 2 3" xfId="13192"/>
    <cellStyle name="Percent 126 2 2 3 2" xfId="33075"/>
    <cellStyle name="Percent 126 2 2 4" xfId="19344"/>
    <cellStyle name="Percent 126 2 2 4 2" xfId="39227"/>
    <cellStyle name="Percent 126 2 2 5" xfId="26922"/>
    <cellStyle name="Percent 126 2 3" xfId="8530"/>
    <cellStyle name="Percent 126 2 3 2" xfId="14724"/>
    <cellStyle name="Percent 126 2 3 2 2" xfId="34607"/>
    <cellStyle name="Percent 126 2 3 3" xfId="20876"/>
    <cellStyle name="Percent 126 2 3 3 2" xfId="40759"/>
    <cellStyle name="Percent 126 2 3 4" xfId="28454"/>
    <cellStyle name="Percent 126 2 4" xfId="11658"/>
    <cellStyle name="Percent 126 2 4 2" xfId="31541"/>
    <cellStyle name="Percent 126 2 5" xfId="17810"/>
    <cellStyle name="Percent 126 2 5 2" xfId="37693"/>
    <cellStyle name="Percent 126 2 6" xfId="25388"/>
    <cellStyle name="Percent 126 3" xfId="6196"/>
    <cellStyle name="Percent 126 3 2" xfId="9296"/>
    <cellStyle name="Percent 126 3 2 2" xfId="15489"/>
    <cellStyle name="Percent 126 3 2 2 2" xfId="35372"/>
    <cellStyle name="Percent 126 3 2 3" xfId="21641"/>
    <cellStyle name="Percent 126 3 2 3 2" xfId="41524"/>
    <cellStyle name="Percent 126 3 2 4" xfId="29219"/>
    <cellStyle name="Percent 126 3 3" xfId="12423"/>
    <cellStyle name="Percent 126 3 3 2" xfId="32306"/>
    <cellStyle name="Percent 126 3 4" xfId="18575"/>
    <cellStyle name="Percent 126 3 4 2" xfId="38458"/>
    <cellStyle name="Percent 126 3 5" xfId="26153"/>
    <cellStyle name="Percent 126 4" xfId="7761"/>
    <cellStyle name="Percent 126 4 2" xfId="13955"/>
    <cellStyle name="Percent 126 4 2 2" xfId="33838"/>
    <cellStyle name="Percent 126 4 3" xfId="20107"/>
    <cellStyle name="Percent 126 4 3 2" xfId="39990"/>
    <cellStyle name="Percent 126 4 4" xfId="27685"/>
    <cellStyle name="Percent 126 5" xfId="10889"/>
    <cellStyle name="Percent 126 5 2" xfId="30772"/>
    <cellStyle name="Percent 126 6" xfId="17041"/>
    <cellStyle name="Percent 126 6 2" xfId="36924"/>
    <cellStyle name="Percent 126 7" xfId="24619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2 2" xfId="36142"/>
    <cellStyle name="Percent 127 2 2 2 3" xfId="22411"/>
    <cellStyle name="Percent 127 2 2 2 3 2" xfId="42294"/>
    <cellStyle name="Percent 127 2 2 2 4" xfId="29989"/>
    <cellStyle name="Percent 127 2 2 3" xfId="13193"/>
    <cellStyle name="Percent 127 2 2 3 2" xfId="33076"/>
    <cellStyle name="Percent 127 2 2 4" xfId="19345"/>
    <cellStyle name="Percent 127 2 2 4 2" xfId="39228"/>
    <cellStyle name="Percent 127 2 2 5" xfId="26923"/>
    <cellStyle name="Percent 127 2 3" xfId="8531"/>
    <cellStyle name="Percent 127 2 3 2" xfId="14725"/>
    <cellStyle name="Percent 127 2 3 2 2" xfId="34608"/>
    <cellStyle name="Percent 127 2 3 3" xfId="20877"/>
    <cellStyle name="Percent 127 2 3 3 2" xfId="40760"/>
    <cellStyle name="Percent 127 2 3 4" xfId="28455"/>
    <cellStyle name="Percent 127 2 4" xfId="11659"/>
    <cellStyle name="Percent 127 2 4 2" xfId="31542"/>
    <cellStyle name="Percent 127 2 5" xfId="17811"/>
    <cellStyle name="Percent 127 2 5 2" xfId="37694"/>
    <cellStyle name="Percent 127 2 6" xfId="25389"/>
    <cellStyle name="Percent 127 3" xfId="6197"/>
    <cellStyle name="Percent 127 3 2" xfId="9297"/>
    <cellStyle name="Percent 127 3 2 2" xfId="15490"/>
    <cellStyle name="Percent 127 3 2 2 2" xfId="35373"/>
    <cellStyle name="Percent 127 3 2 3" xfId="21642"/>
    <cellStyle name="Percent 127 3 2 3 2" xfId="41525"/>
    <cellStyle name="Percent 127 3 2 4" xfId="29220"/>
    <cellStyle name="Percent 127 3 3" xfId="12424"/>
    <cellStyle name="Percent 127 3 3 2" xfId="32307"/>
    <cellStyle name="Percent 127 3 4" xfId="18576"/>
    <cellStyle name="Percent 127 3 4 2" xfId="38459"/>
    <cellStyle name="Percent 127 3 5" xfId="26154"/>
    <cellStyle name="Percent 127 4" xfId="7762"/>
    <cellStyle name="Percent 127 4 2" xfId="13956"/>
    <cellStyle name="Percent 127 4 2 2" xfId="33839"/>
    <cellStyle name="Percent 127 4 3" xfId="20108"/>
    <cellStyle name="Percent 127 4 3 2" xfId="39991"/>
    <cellStyle name="Percent 127 4 4" xfId="27686"/>
    <cellStyle name="Percent 127 5" xfId="10890"/>
    <cellStyle name="Percent 127 5 2" xfId="30773"/>
    <cellStyle name="Percent 127 6" xfId="17042"/>
    <cellStyle name="Percent 127 6 2" xfId="36925"/>
    <cellStyle name="Percent 127 7" xfId="24620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2 2" xfId="36143"/>
    <cellStyle name="Percent 128 2 2 2 3" xfId="22412"/>
    <cellStyle name="Percent 128 2 2 2 3 2" xfId="42295"/>
    <cellStyle name="Percent 128 2 2 2 4" xfId="29990"/>
    <cellStyle name="Percent 128 2 2 3" xfId="13194"/>
    <cellStyle name="Percent 128 2 2 3 2" xfId="33077"/>
    <cellStyle name="Percent 128 2 2 4" xfId="19346"/>
    <cellStyle name="Percent 128 2 2 4 2" xfId="39229"/>
    <cellStyle name="Percent 128 2 2 5" xfId="26924"/>
    <cellStyle name="Percent 128 2 3" xfId="8532"/>
    <cellStyle name="Percent 128 2 3 2" xfId="14726"/>
    <cellStyle name="Percent 128 2 3 2 2" xfId="34609"/>
    <cellStyle name="Percent 128 2 3 3" xfId="20878"/>
    <cellStyle name="Percent 128 2 3 3 2" xfId="40761"/>
    <cellStyle name="Percent 128 2 3 4" xfId="28456"/>
    <cellStyle name="Percent 128 2 4" xfId="11660"/>
    <cellStyle name="Percent 128 2 4 2" xfId="31543"/>
    <cellStyle name="Percent 128 2 5" xfId="17812"/>
    <cellStyle name="Percent 128 2 5 2" xfId="37695"/>
    <cellStyle name="Percent 128 2 6" xfId="25390"/>
    <cellStyle name="Percent 128 3" xfId="6198"/>
    <cellStyle name="Percent 128 3 2" xfId="9298"/>
    <cellStyle name="Percent 128 3 2 2" xfId="15491"/>
    <cellStyle name="Percent 128 3 2 2 2" xfId="35374"/>
    <cellStyle name="Percent 128 3 2 3" xfId="21643"/>
    <cellStyle name="Percent 128 3 2 3 2" xfId="41526"/>
    <cellStyle name="Percent 128 3 2 4" xfId="29221"/>
    <cellStyle name="Percent 128 3 3" xfId="12425"/>
    <cellStyle name="Percent 128 3 3 2" xfId="32308"/>
    <cellStyle name="Percent 128 3 4" xfId="18577"/>
    <cellStyle name="Percent 128 3 4 2" xfId="38460"/>
    <cellStyle name="Percent 128 3 5" xfId="26155"/>
    <cellStyle name="Percent 128 4" xfId="7763"/>
    <cellStyle name="Percent 128 4 2" xfId="13957"/>
    <cellStyle name="Percent 128 4 2 2" xfId="33840"/>
    <cellStyle name="Percent 128 4 3" xfId="20109"/>
    <cellStyle name="Percent 128 4 3 2" xfId="39992"/>
    <cellStyle name="Percent 128 4 4" xfId="27687"/>
    <cellStyle name="Percent 128 5" xfId="10891"/>
    <cellStyle name="Percent 128 5 2" xfId="30774"/>
    <cellStyle name="Percent 128 6" xfId="17043"/>
    <cellStyle name="Percent 128 6 2" xfId="36926"/>
    <cellStyle name="Percent 128 7" xfId="24621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2 2" xfId="36144"/>
    <cellStyle name="Percent 129 2 2 2 3" xfId="22413"/>
    <cellStyle name="Percent 129 2 2 2 3 2" xfId="42296"/>
    <cellStyle name="Percent 129 2 2 2 4" xfId="29991"/>
    <cellStyle name="Percent 129 2 2 3" xfId="13195"/>
    <cellStyle name="Percent 129 2 2 3 2" xfId="33078"/>
    <cellStyle name="Percent 129 2 2 4" xfId="19347"/>
    <cellStyle name="Percent 129 2 2 4 2" xfId="39230"/>
    <cellStyle name="Percent 129 2 2 5" xfId="26925"/>
    <cellStyle name="Percent 129 2 3" xfId="8533"/>
    <cellStyle name="Percent 129 2 3 2" xfId="14727"/>
    <cellStyle name="Percent 129 2 3 2 2" xfId="34610"/>
    <cellStyle name="Percent 129 2 3 3" xfId="20879"/>
    <cellStyle name="Percent 129 2 3 3 2" xfId="40762"/>
    <cellStyle name="Percent 129 2 3 4" xfId="28457"/>
    <cellStyle name="Percent 129 2 4" xfId="11661"/>
    <cellStyle name="Percent 129 2 4 2" xfId="31544"/>
    <cellStyle name="Percent 129 2 5" xfId="17813"/>
    <cellStyle name="Percent 129 2 5 2" xfId="37696"/>
    <cellStyle name="Percent 129 2 6" xfId="25391"/>
    <cellStyle name="Percent 129 3" xfId="6199"/>
    <cellStyle name="Percent 129 3 2" xfId="9299"/>
    <cellStyle name="Percent 129 3 2 2" xfId="15492"/>
    <cellStyle name="Percent 129 3 2 2 2" xfId="35375"/>
    <cellStyle name="Percent 129 3 2 3" xfId="21644"/>
    <cellStyle name="Percent 129 3 2 3 2" xfId="41527"/>
    <cellStyle name="Percent 129 3 2 4" xfId="29222"/>
    <cellStyle name="Percent 129 3 3" xfId="12426"/>
    <cellStyle name="Percent 129 3 3 2" xfId="32309"/>
    <cellStyle name="Percent 129 3 4" xfId="18578"/>
    <cellStyle name="Percent 129 3 4 2" xfId="38461"/>
    <cellStyle name="Percent 129 3 5" xfId="26156"/>
    <cellStyle name="Percent 129 4" xfId="7764"/>
    <cellStyle name="Percent 129 4 2" xfId="13958"/>
    <cellStyle name="Percent 129 4 2 2" xfId="33841"/>
    <cellStyle name="Percent 129 4 3" xfId="20110"/>
    <cellStyle name="Percent 129 4 3 2" xfId="39993"/>
    <cellStyle name="Percent 129 4 4" xfId="27688"/>
    <cellStyle name="Percent 129 5" xfId="10892"/>
    <cellStyle name="Percent 129 5 2" xfId="30775"/>
    <cellStyle name="Percent 129 6" xfId="17044"/>
    <cellStyle name="Percent 129 6 2" xfId="36927"/>
    <cellStyle name="Percent 129 7" xfId="24622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2 2" xfId="36145"/>
    <cellStyle name="Percent 130 2 2 2 3" xfId="22414"/>
    <cellStyle name="Percent 130 2 2 2 3 2" xfId="42297"/>
    <cellStyle name="Percent 130 2 2 2 4" xfId="29992"/>
    <cellStyle name="Percent 130 2 2 3" xfId="13196"/>
    <cellStyle name="Percent 130 2 2 3 2" xfId="33079"/>
    <cellStyle name="Percent 130 2 2 4" xfId="19348"/>
    <cellStyle name="Percent 130 2 2 4 2" xfId="39231"/>
    <cellStyle name="Percent 130 2 2 5" xfId="26926"/>
    <cellStyle name="Percent 130 2 3" xfId="8534"/>
    <cellStyle name="Percent 130 2 3 2" xfId="14728"/>
    <cellStyle name="Percent 130 2 3 2 2" xfId="34611"/>
    <cellStyle name="Percent 130 2 3 3" xfId="20880"/>
    <cellStyle name="Percent 130 2 3 3 2" xfId="40763"/>
    <cellStyle name="Percent 130 2 3 4" xfId="28458"/>
    <cellStyle name="Percent 130 2 4" xfId="11662"/>
    <cellStyle name="Percent 130 2 4 2" xfId="31545"/>
    <cellStyle name="Percent 130 2 5" xfId="17814"/>
    <cellStyle name="Percent 130 2 5 2" xfId="37697"/>
    <cellStyle name="Percent 130 2 6" xfId="25392"/>
    <cellStyle name="Percent 130 3" xfId="6200"/>
    <cellStyle name="Percent 130 3 2" xfId="9300"/>
    <cellStyle name="Percent 130 3 2 2" xfId="15493"/>
    <cellStyle name="Percent 130 3 2 2 2" xfId="35376"/>
    <cellStyle name="Percent 130 3 2 3" xfId="21645"/>
    <cellStyle name="Percent 130 3 2 3 2" xfId="41528"/>
    <cellStyle name="Percent 130 3 2 4" xfId="29223"/>
    <cellStyle name="Percent 130 3 3" xfId="12427"/>
    <cellStyle name="Percent 130 3 3 2" xfId="32310"/>
    <cellStyle name="Percent 130 3 4" xfId="18579"/>
    <cellStyle name="Percent 130 3 4 2" xfId="38462"/>
    <cellStyle name="Percent 130 3 5" xfId="26157"/>
    <cellStyle name="Percent 130 4" xfId="7765"/>
    <cellStyle name="Percent 130 4 2" xfId="13959"/>
    <cellStyle name="Percent 130 4 2 2" xfId="33842"/>
    <cellStyle name="Percent 130 4 3" xfId="20111"/>
    <cellStyle name="Percent 130 4 3 2" xfId="39994"/>
    <cellStyle name="Percent 130 4 4" xfId="27689"/>
    <cellStyle name="Percent 130 5" xfId="10893"/>
    <cellStyle name="Percent 130 5 2" xfId="30776"/>
    <cellStyle name="Percent 130 6" xfId="17045"/>
    <cellStyle name="Percent 130 6 2" xfId="36928"/>
    <cellStyle name="Percent 130 7" xfId="24623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2 2" xfId="36146"/>
    <cellStyle name="Percent 159 2 2 2 3" xfId="22415"/>
    <cellStyle name="Percent 159 2 2 2 3 2" xfId="42298"/>
    <cellStyle name="Percent 159 2 2 2 4" xfId="29993"/>
    <cellStyle name="Percent 159 2 2 3" xfId="13197"/>
    <cellStyle name="Percent 159 2 2 3 2" xfId="33080"/>
    <cellStyle name="Percent 159 2 2 4" xfId="19349"/>
    <cellStyle name="Percent 159 2 2 4 2" xfId="39232"/>
    <cellStyle name="Percent 159 2 2 5" xfId="26927"/>
    <cellStyle name="Percent 159 2 3" xfId="8535"/>
    <cellStyle name="Percent 159 2 3 2" xfId="14729"/>
    <cellStyle name="Percent 159 2 3 2 2" xfId="34612"/>
    <cellStyle name="Percent 159 2 3 3" xfId="20881"/>
    <cellStyle name="Percent 159 2 3 3 2" xfId="40764"/>
    <cellStyle name="Percent 159 2 3 4" xfId="28459"/>
    <cellStyle name="Percent 159 2 4" xfId="11663"/>
    <cellStyle name="Percent 159 2 4 2" xfId="31546"/>
    <cellStyle name="Percent 159 2 5" xfId="17815"/>
    <cellStyle name="Percent 159 2 5 2" xfId="37698"/>
    <cellStyle name="Percent 159 2 6" xfId="25393"/>
    <cellStyle name="Percent 159 3" xfId="6201"/>
    <cellStyle name="Percent 159 3 2" xfId="9301"/>
    <cellStyle name="Percent 159 3 2 2" xfId="15494"/>
    <cellStyle name="Percent 159 3 2 2 2" xfId="35377"/>
    <cellStyle name="Percent 159 3 2 3" xfId="21646"/>
    <cellStyle name="Percent 159 3 2 3 2" xfId="41529"/>
    <cellStyle name="Percent 159 3 2 4" xfId="29224"/>
    <cellStyle name="Percent 159 3 3" xfId="12428"/>
    <cellStyle name="Percent 159 3 3 2" xfId="32311"/>
    <cellStyle name="Percent 159 3 4" xfId="18580"/>
    <cellStyle name="Percent 159 3 4 2" xfId="38463"/>
    <cellStyle name="Percent 159 3 5" xfId="26158"/>
    <cellStyle name="Percent 159 4" xfId="7766"/>
    <cellStyle name="Percent 159 4 2" xfId="13960"/>
    <cellStyle name="Percent 159 4 2 2" xfId="33843"/>
    <cellStyle name="Percent 159 4 3" xfId="20112"/>
    <cellStyle name="Percent 159 4 3 2" xfId="39995"/>
    <cellStyle name="Percent 159 4 4" xfId="27690"/>
    <cellStyle name="Percent 159 5" xfId="10894"/>
    <cellStyle name="Percent 159 5 2" xfId="30777"/>
    <cellStyle name="Percent 159 6" xfId="17046"/>
    <cellStyle name="Percent 159 6 2" xfId="36929"/>
    <cellStyle name="Percent 159 7" xfId="24624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2 2" xfId="35553"/>
    <cellStyle name="Percent 162 2 2 2 3" xfId="21822"/>
    <cellStyle name="Percent 162 2 2 2 3 2" xfId="41705"/>
    <cellStyle name="Percent 162 2 2 2 4" xfId="29400"/>
    <cellStyle name="Percent 162 2 2 3" xfId="12604"/>
    <cellStyle name="Percent 162 2 2 3 2" xfId="32487"/>
    <cellStyle name="Percent 162 2 2 4" xfId="18756"/>
    <cellStyle name="Percent 162 2 2 4 2" xfId="38639"/>
    <cellStyle name="Percent 162 2 2 5" xfId="26334"/>
    <cellStyle name="Percent 162 2 3" xfId="7942"/>
    <cellStyle name="Percent 162 2 3 2" xfId="14136"/>
    <cellStyle name="Percent 162 2 3 2 2" xfId="34019"/>
    <cellStyle name="Percent 162 2 3 3" xfId="20288"/>
    <cellStyle name="Percent 162 2 3 3 2" xfId="40171"/>
    <cellStyle name="Percent 162 2 3 4" xfId="27866"/>
    <cellStyle name="Percent 162 2 4" xfId="11070"/>
    <cellStyle name="Percent 162 2 4 2" xfId="30953"/>
    <cellStyle name="Percent 162 2 5" xfId="17222"/>
    <cellStyle name="Percent 162 2 5 2" xfId="37105"/>
    <cellStyle name="Percent 162 2 6" xfId="24800"/>
    <cellStyle name="Percent 162 3" xfId="5605"/>
    <cellStyle name="Percent 162 3 2" xfId="8708"/>
    <cellStyle name="Percent 162 3 2 2" xfId="14901"/>
    <cellStyle name="Percent 162 3 2 2 2" xfId="34784"/>
    <cellStyle name="Percent 162 3 2 3" xfId="21053"/>
    <cellStyle name="Percent 162 3 2 3 2" xfId="40936"/>
    <cellStyle name="Percent 162 3 2 4" xfId="28631"/>
    <cellStyle name="Percent 162 3 3" xfId="11835"/>
    <cellStyle name="Percent 162 3 3 2" xfId="31718"/>
    <cellStyle name="Percent 162 3 4" xfId="17987"/>
    <cellStyle name="Percent 162 3 4 2" xfId="37870"/>
    <cellStyle name="Percent 162 3 5" xfId="25565"/>
    <cellStyle name="Percent 162 4" xfId="7173"/>
    <cellStyle name="Percent 162 4 2" xfId="13367"/>
    <cellStyle name="Percent 162 4 2 2" xfId="33250"/>
    <cellStyle name="Percent 162 4 3" xfId="19519"/>
    <cellStyle name="Percent 162 4 3 2" xfId="39402"/>
    <cellStyle name="Percent 162 4 4" xfId="27097"/>
    <cellStyle name="Percent 162 5" xfId="10301"/>
    <cellStyle name="Percent 162 5 2" xfId="30184"/>
    <cellStyle name="Percent 162 6" xfId="16453"/>
    <cellStyle name="Percent 162 6 2" xfId="36336"/>
    <cellStyle name="Percent 162 7" xfId="24031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2 2" xfId="35524"/>
    <cellStyle name="Percent 163 3 2 3" xfId="21793"/>
    <cellStyle name="Percent 163 3 2 3 2" xfId="41676"/>
    <cellStyle name="Percent 163 3 2 4" xfId="29371"/>
    <cellStyle name="Percent 163 3 3" xfId="12575"/>
    <cellStyle name="Percent 163 3 3 2" xfId="32458"/>
    <cellStyle name="Percent 163 3 4" xfId="18727"/>
    <cellStyle name="Percent 163 3 4 2" xfId="38610"/>
    <cellStyle name="Percent 163 3 5" xfId="26305"/>
    <cellStyle name="Percent 163 4" xfId="7913"/>
    <cellStyle name="Percent 163 4 2" xfId="14107"/>
    <cellStyle name="Percent 163 4 2 2" xfId="33990"/>
    <cellStyle name="Percent 163 4 3" xfId="20259"/>
    <cellStyle name="Percent 163 4 3 2" xfId="40142"/>
    <cellStyle name="Percent 163 4 4" xfId="27837"/>
    <cellStyle name="Percent 163 5" xfId="11041"/>
    <cellStyle name="Percent 163 5 2" xfId="30924"/>
    <cellStyle name="Percent 163 6" xfId="17193"/>
    <cellStyle name="Percent 163 6 2" xfId="37076"/>
    <cellStyle name="Percent 163 7" xfId="24771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2 2" xfId="35528"/>
    <cellStyle name="Percent 180 2 2 3" xfId="21797"/>
    <cellStyle name="Percent 180 2 2 3 2" xfId="41680"/>
    <cellStyle name="Percent 180 2 2 4" xfId="29375"/>
    <cellStyle name="Percent 180 2 3" xfId="12579"/>
    <cellStyle name="Percent 180 2 3 2" xfId="32462"/>
    <cellStyle name="Percent 180 2 4" xfId="18731"/>
    <cellStyle name="Percent 180 2 4 2" xfId="38614"/>
    <cellStyle name="Percent 180 2 5" xfId="26309"/>
    <cellStyle name="Percent 180 3" xfId="7917"/>
    <cellStyle name="Percent 180 3 2" xfId="14111"/>
    <cellStyle name="Percent 180 3 2 2" xfId="33994"/>
    <cellStyle name="Percent 180 3 3" xfId="20263"/>
    <cellStyle name="Percent 180 3 3 2" xfId="40146"/>
    <cellStyle name="Percent 180 3 4" xfId="27841"/>
    <cellStyle name="Percent 180 4" xfId="11045"/>
    <cellStyle name="Percent 180 4 2" xfId="30928"/>
    <cellStyle name="Percent 180 5" xfId="17197"/>
    <cellStyle name="Percent 180 5 2" xfId="37080"/>
    <cellStyle name="Percent 180 6" xfId="24775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0 2" xfId="24001"/>
    <cellStyle name="Percent 191" xfId="1164"/>
    <cellStyle name="Percent 191 2" xfId="24004"/>
    <cellStyle name="Percent 192" xfId="22628"/>
    <cellStyle name="Percent 192 2" xfId="42502"/>
    <cellStyle name="Percent 193" xfId="22657"/>
    <cellStyle name="Percent 193 2" xfId="42531"/>
    <cellStyle name="Percent 194" xfId="22775"/>
    <cellStyle name="Percent 194 2" xfId="42649"/>
    <cellStyle name="Percent 195" xfId="22592"/>
    <cellStyle name="Percent 195 2" xfId="42466"/>
    <cellStyle name="Percent 196" xfId="22803"/>
    <cellStyle name="Percent 196 2" xfId="42677"/>
    <cellStyle name="Percent 197" xfId="22632"/>
    <cellStyle name="Percent 197 2" xfId="42506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 4 2" xfId="43035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 3 2" xfId="43036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2 2" xfId="36147"/>
    <cellStyle name="Percent 2 22 2 2 2 3" xfId="22416"/>
    <cellStyle name="Percent 2 22 2 2 2 3 2" xfId="42299"/>
    <cellStyle name="Percent 2 22 2 2 2 4" xfId="29994"/>
    <cellStyle name="Percent 2 22 2 2 3" xfId="13198"/>
    <cellStyle name="Percent 2 22 2 2 3 2" xfId="33081"/>
    <cellStyle name="Percent 2 22 2 2 4" xfId="19350"/>
    <cellStyle name="Percent 2 22 2 2 4 2" xfId="39233"/>
    <cellStyle name="Percent 2 22 2 2 5" xfId="26928"/>
    <cellStyle name="Percent 2 22 2 3" xfId="8536"/>
    <cellStyle name="Percent 2 22 2 3 2" xfId="14730"/>
    <cellStyle name="Percent 2 22 2 3 2 2" xfId="34613"/>
    <cellStyle name="Percent 2 22 2 3 3" xfId="20882"/>
    <cellStyle name="Percent 2 22 2 3 3 2" xfId="40765"/>
    <cellStyle name="Percent 2 22 2 3 4" xfId="28460"/>
    <cellStyle name="Percent 2 22 2 4" xfId="11664"/>
    <cellStyle name="Percent 2 22 2 4 2" xfId="31547"/>
    <cellStyle name="Percent 2 22 2 5" xfId="17816"/>
    <cellStyle name="Percent 2 22 2 5 2" xfId="37699"/>
    <cellStyle name="Percent 2 22 2 6" xfId="25394"/>
    <cellStyle name="Percent 2 22 3" xfId="6202"/>
    <cellStyle name="Percent 2 22 3 2" xfId="9302"/>
    <cellStyle name="Percent 2 22 3 2 2" xfId="15495"/>
    <cellStyle name="Percent 2 22 3 2 2 2" xfId="35378"/>
    <cellStyle name="Percent 2 22 3 2 3" xfId="21647"/>
    <cellStyle name="Percent 2 22 3 2 3 2" xfId="41530"/>
    <cellStyle name="Percent 2 22 3 2 4" xfId="29225"/>
    <cellStyle name="Percent 2 22 3 3" xfId="12429"/>
    <cellStyle name="Percent 2 22 3 3 2" xfId="32312"/>
    <cellStyle name="Percent 2 22 3 4" xfId="18581"/>
    <cellStyle name="Percent 2 22 3 4 2" xfId="38464"/>
    <cellStyle name="Percent 2 22 3 5" xfId="26159"/>
    <cellStyle name="Percent 2 22 4" xfId="7767"/>
    <cellStyle name="Percent 2 22 4 2" xfId="13961"/>
    <cellStyle name="Percent 2 22 4 2 2" xfId="33844"/>
    <cellStyle name="Percent 2 22 4 3" xfId="20113"/>
    <cellStyle name="Percent 2 22 4 3 2" xfId="39996"/>
    <cellStyle name="Percent 2 22 4 4" xfId="27691"/>
    <cellStyle name="Percent 2 22 5" xfId="10895"/>
    <cellStyle name="Percent 2 22 5 2" xfId="30778"/>
    <cellStyle name="Percent 2 22 6" xfId="17047"/>
    <cellStyle name="Percent 2 22 6 2" xfId="36930"/>
    <cellStyle name="Percent 2 22 7" xfId="4276"/>
    <cellStyle name="Percent 2 22 7 2" xfId="24625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10" xfId="23410"/>
    <cellStyle name="Percent 2 3 2" xfId="870"/>
    <cellStyle name="Percent 2 3 2 2" xfId="4296"/>
    <cellStyle name="Percent 2 3 2 3" xfId="23713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7 2" xfId="42498"/>
    <cellStyle name="Percent 2 3 8" xfId="22833"/>
    <cellStyle name="Percent 2 3 8 2" xfId="42707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2 2" xfId="36149"/>
    <cellStyle name="Percent 25 2 2 2 2 2 3" xfId="22418"/>
    <cellStyle name="Percent 25 2 2 2 2 2 3 2" xfId="42301"/>
    <cellStyle name="Percent 25 2 2 2 2 2 4" xfId="29996"/>
    <cellStyle name="Percent 25 2 2 2 2 3" xfId="13200"/>
    <cellStyle name="Percent 25 2 2 2 2 3 2" xfId="33083"/>
    <cellStyle name="Percent 25 2 2 2 2 4" xfId="19352"/>
    <cellStyle name="Percent 25 2 2 2 2 4 2" xfId="39235"/>
    <cellStyle name="Percent 25 2 2 2 2 5" xfId="26930"/>
    <cellStyle name="Percent 25 2 2 2 3" xfId="8538"/>
    <cellStyle name="Percent 25 2 2 2 3 2" xfId="14732"/>
    <cellStyle name="Percent 25 2 2 2 3 2 2" xfId="34615"/>
    <cellStyle name="Percent 25 2 2 2 3 3" xfId="20884"/>
    <cellStyle name="Percent 25 2 2 2 3 3 2" xfId="40767"/>
    <cellStyle name="Percent 25 2 2 2 3 4" xfId="28462"/>
    <cellStyle name="Percent 25 2 2 2 4" xfId="11666"/>
    <cellStyle name="Percent 25 2 2 2 4 2" xfId="31549"/>
    <cellStyle name="Percent 25 2 2 2 5" xfId="17818"/>
    <cellStyle name="Percent 25 2 2 2 5 2" xfId="37701"/>
    <cellStyle name="Percent 25 2 2 2 6" xfId="25396"/>
    <cellStyle name="Percent 25 2 2 3" xfId="6208"/>
    <cellStyle name="Percent 25 2 2 3 2" xfId="9304"/>
    <cellStyle name="Percent 25 2 2 3 2 2" xfId="15497"/>
    <cellStyle name="Percent 25 2 2 3 2 2 2" xfId="35380"/>
    <cellStyle name="Percent 25 2 2 3 2 3" xfId="21649"/>
    <cellStyle name="Percent 25 2 2 3 2 3 2" xfId="41532"/>
    <cellStyle name="Percent 25 2 2 3 2 4" xfId="29227"/>
    <cellStyle name="Percent 25 2 2 3 3" xfId="12431"/>
    <cellStyle name="Percent 25 2 2 3 3 2" xfId="32314"/>
    <cellStyle name="Percent 25 2 2 3 4" xfId="18583"/>
    <cellStyle name="Percent 25 2 2 3 4 2" xfId="38466"/>
    <cellStyle name="Percent 25 2 2 3 5" xfId="26161"/>
    <cellStyle name="Percent 25 2 2 4" xfId="7769"/>
    <cellStyle name="Percent 25 2 2 4 2" xfId="13963"/>
    <cellStyle name="Percent 25 2 2 4 2 2" xfId="33846"/>
    <cellStyle name="Percent 25 2 2 4 3" xfId="20115"/>
    <cellStyle name="Percent 25 2 2 4 3 2" xfId="39998"/>
    <cellStyle name="Percent 25 2 2 4 4" xfId="27693"/>
    <cellStyle name="Percent 25 2 2 5" xfId="10897"/>
    <cellStyle name="Percent 25 2 2 5 2" xfId="30780"/>
    <cellStyle name="Percent 25 2 2 6" xfId="17049"/>
    <cellStyle name="Percent 25 2 2 6 2" xfId="36932"/>
    <cellStyle name="Percent 25 2 2 7" xfId="24627"/>
    <cellStyle name="Percent 25 2 3" xfId="5361"/>
    <cellStyle name="Percent 25 2 3 2" xfId="6986"/>
    <cellStyle name="Percent 25 2 3 2 2" xfId="10072"/>
    <cellStyle name="Percent 25 2 3 2 2 2" xfId="16265"/>
    <cellStyle name="Percent 25 2 3 2 2 2 2" xfId="36148"/>
    <cellStyle name="Percent 25 2 3 2 2 3" xfId="22417"/>
    <cellStyle name="Percent 25 2 3 2 2 3 2" xfId="42300"/>
    <cellStyle name="Percent 25 2 3 2 2 4" xfId="29995"/>
    <cellStyle name="Percent 25 2 3 2 3" xfId="13199"/>
    <cellStyle name="Percent 25 2 3 2 3 2" xfId="33082"/>
    <cellStyle name="Percent 25 2 3 2 4" xfId="19351"/>
    <cellStyle name="Percent 25 2 3 2 4 2" xfId="39234"/>
    <cellStyle name="Percent 25 2 3 2 5" xfId="26929"/>
    <cellStyle name="Percent 25 2 3 3" xfId="8537"/>
    <cellStyle name="Percent 25 2 3 3 2" xfId="14731"/>
    <cellStyle name="Percent 25 2 3 3 2 2" xfId="34614"/>
    <cellStyle name="Percent 25 2 3 3 3" xfId="20883"/>
    <cellStyle name="Percent 25 2 3 3 3 2" xfId="40766"/>
    <cellStyle name="Percent 25 2 3 3 4" xfId="28461"/>
    <cellStyle name="Percent 25 2 3 4" xfId="11665"/>
    <cellStyle name="Percent 25 2 3 4 2" xfId="31548"/>
    <cellStyle name="Percent 25 2 3 5" xfId="17817"/>
    <cellStyle name="Percent 25 2 3 5 2" xfId="37700"/>
    <cellStyle name="Percent 25 2 3 6" xfId="25395"/>
    <cellStyle name="Percent 25 2 4" xfId="6207"/>
    <cellStyle name="Percent 25 2 4 2" xfId="9303"/>
    <cellStyle name="Percent 25 2 4 2 2" xfId="15496"/>
    <cellStyle name="Percent 25 2 4 2 2 2" xfId="35379"/>
    <cellStyle name="Percent 25 2 4 2 3" xfId="21648"/>
    <cellStyle name="Percent 25 2 4 2 3 2" xfId="41531"/>
    <cellStyle name="Percent 25 2 4 2 4" xfId="29226"/>
    <cellStyle name="Percent 25 2 4 3" xfId="12430"/>
    <cellStyle name="Percent 25 2 4 3 2" xfId="32313"/>
    <cellStyle name="Percent 25 2 4 4" xfId="18582"/>
    <cellStyle name="Percent 25 2 4 4 2" xfId="38465"/>
    <cellStyle name="Percent 25 2 4 5" xfId="26160"/>
    <cellStyle name="Percent 25 2 5" xfId="7768"/>
    <cellStyle name="Percent 25 2 5 2" xfId="13962"/>
    <cellStyle name="Percent 25 2 5 2 2" xfId="33845"/>
    <cellStyle name="Percent 25 2 5 3" xfId="20114"/>
    <cellStyle name="Percent 25 2 5 3 2" xfId="39997"/>
    <cellStyle name="Percent 25 2 5 4" xfId="27692"/>
    <cellStyle name="Percent 25 2 6" xfId="10896"/>
    <cellStyle name="Percent 25 2 6 2" xfId="30779"/>
    <cellStyle name="Percent 25 2 7" xfId="17048"/>
    <cellStyle name="Percent 25 2 7 2" xfId="36931"/>
    <cellStyle name="Percent 25 2 8" xfId="24626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2 2" xfId="36151"/>
    <cellStyle name="Percent 25 3 2 2 2 2 3" xfId="22420"/>
    <cellStyle name="Percent 25 3 2 2 2 2 3 2" xfId="42303"/>
    <cellStyle name="Percent 25 3 2 2 2 2 4" xfId="29998"/>
    <cellStyle name="Percent 25 3 2 2 2 3" xfId="13202"/>
    <cellStyle name="Percent 25 3 2 2 2 3 2" xfId="33085"/>
    <cellStyle name="Percent 25 3 2 2 2 4" xfId="19354"/>
    <cellStyle name="Percent 25 3 2 2 2 4 2" xfId="39237"/>
    <cellStyle name="Percent 25 3 2 2 2 5" xfId="26932"/>
    <cellStyle name="Percent 25 3 2 2 3" xfId="8540"/>
    <cellStyle name="Percent 25 3 2 2 3 2" xfId="14734"/>
    <cellStyle name="Percent 25 3 2 2 3 2 2" xfId="34617"/>
    <cellStyle name="Percent 25 3 2 2 3 3" xfId="20886"/>
    <cellStyle name="Percent 25 3 2 2 3 3 2" xfId="40769"/>
    <cellStyle name="Percent 25 3 2 2 3 4" xfId="28464"/>
    <cellStyle name="Percent 25 3 2 2 4" xfId="11668"/>
    <cellStyle name="Percent 25 3 2 2 4 2" xfId="31551"/>
    <cellStyle name="Percent 25 3 2 2 5" xfId="17820"/>
    <cellStyle name="Percent 25 3 2 2 5 2" xfId="37703"/>
    <cellStyle name="Percent 25 3 2 2 6" xfId="25398"/>
    <cellStyle name="Percent 25 3 2 3" xfId="6210"/>
    <cellStyle name="Percent 25 3 2 3 2" xfId="9306"/>
    <cellStyle name="Percent 25 3 2 3 2 2" xfId="15499"/>
    <cellStyle name="Percent 25 3 2 3 2 2 2" xfId="35382"/>
    <cellStyle name="Percent 25 3 2 3 2 3" xfId="21651"/>
    <cellStyle name="Percent 25 3 2 3 2 3 2" xfId="41534"/>
    <cellStyle name="Percent 25 3 2 3 2 4" xfId="29229"/>
    <cellStyle name="Percent 25 3 2 3 3" xfId="12433"/>
    <cellStyle name="Percent 25 3 2 3 3 2" xfId="32316"/>
    <cellStyle name="Percent 25 3 2 3 4" xfId="18585"/>
    <cellStyle name="Percent 25 3 2 3 4 2" xfId="38468"/>
    <cellStyle name="Percent 25 3 2 3 5" xfId="26163"/>
    <cellStyle name="Percent 25 3 2 4" xfId="7771"/>
    <cellStyle name="Percent 25 3 2 4 2" xfId="13965"/>
    <cellStyle name="Percent 25 3 2 4 2 2" xfId="33848"/>
    <cellStyle name="Percent 25 3 2 4 3" xfId="20117"/>
    <cellStyle name="Percent 25 3 2 4 3 2" xfId="40000"/>
    <cellStyle name="Percent 25 3 2 4 4" xfId="27695"/>
    <cellStyle name="Percent 25 3 2 5" xfId="10899"/>
    <cellStyle name="Percent 25 3 2 5 2" xfId="30782"/>
    <cellStyle name="Percent 25 3 2 6" xfId="17051"/>
    <cellStyle name="Percent 25 3 2 6 2" xfId="36934"/>
    <cellStyle name="Percent 25 3 2 7" xfId="24629"/>
    <cellStyle name="Percent 25 3 3" xfId="5363"/>
    <cellStyle name="Percent 25 3 3 2" xfId="6988"/>
    <cellStyle name="Percent 25 3 3 2 2" xfId="10074"/>
    <cellStyle name="Percent 25 3 3 2 2 2" xfId="16267"/>
    <cellStyle name="Percent 25 3 3 2 2 2 2" xfId="36150"/>
    <cellStyle name="Percent 25 3 3 2 2 3" xfId="22419"/>
    <cellStyle name="Percent 25 3 3 2 2 3 2" xfId="42302"/>
    <cellStyle name="Percent 25 3 3 2 2 4" xfId="29997"/>
    <cellStyle name="Percent 25 3 3 2 3" xfId="13201"/>
    <cellStyle name="Percent 25 3 3 2 3 2" xfId="33084"/>
    <cellStyle name="Percent 25 3 3 2 4" xfId="19353"/>
    <cellStyle name="Percent 25 3 3 2 4 2" xfId="39236"/>
    <cellStyle name="Percent 25 3 3 2 5" xfId="26931"/>
    <cellStyle name="Percent 25 3 3 3" xfId="8539"/>
    <cellStyle name="Percent 25 3 3 3 2" xfId="14733"/>
    <cellStyle name="Percent 25 3 3 3 2 2" xfId="34616"/>
    <cellStyle name="Percent 25 3 3 3 3" xfId="20885"/>
    <cellStyle name="Percent 25 3 3 3 3 2" xfId="40768"/>
    <cellStyle name="Percent 25 3 3 3 4" xfId="28463"/>
    <cellStyle name="Percent 25 3 3 4" xfId="11667"/>
    <cellStyle name="Percent 25 3 3 4 2" xfId="31550"/>
    <cellStyle name="Percent 25 3 3 5" xfId="17819"/>
    <cellStyle name="Percent 25 3 3 5 2" xfId="37702"/>
    <cellStyle name="Percent 25 3 3 6" xfId="25397"/>
    <cellStyle name="Percent 25 3 4" xfId="6209"/>
    <cellStyle name="Percent 25 3 4 2" xfId="9305"/>
    <cellStyle name="Percent 25 3 4 2 2" xfId="15498"/>
    <cellStyle name="Percent 25 3 4 2 2 2" xfId="35381"/>
    <cellStyle name="Percent 25 3 4 2 3" xfId="21650"/>
    <cellStyle name="Percent 25 3 4 2 3 2" xfId="41533"/>
    <cellStyle name="Percent 25 3 4 2 4" xfId="29228"/>
    <cellStyle name="Percent 25 3 4 3" xfId="12432"/>
    <cellStyle name="Percent 25 3 4 3 2" xfId="32315"/>
    <cellStyle name="Percent 25 3 4 4" xfId="18584"/>
    <cellStyle name="Percent 25 3 4 4 2" xfId="38467"/>
    <cellStyle name="Percent 25 3 4 5" xfId="26162"/>
    <cellStyle name="Percent 25 3 5" xfId="7770"/>
    <cellStyle name="Percent 25 3 5 2" xfId="13964"/>
    <cellStyle name="Percent 25 3 5 2 2" xfId="33847"/>
    <cellStyle name="Percent 25 3 5 3" xfId="20116"/>
    <cellStyle name="Percent 25 3 5 3 2" xfId="39999"/>
    <cellStyle name="Percent 25 3 5 4" xfId="27694"/>
    <cellStyle name="Percent 25 3 6" xfId="10898"/>
    <cellStyle name="Percent 25 3 6 2" xfId="30781"/>
    <cellStyle name="Percent 25 3 7" xfId="17050"/>
    <cellStyle name="Percent 25 3 7 2" xfId="36933"/>
    <cellStyle name="Percent 25 3 8" xfId="24628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2 2" xfId="36152"/>
    <cellStyle name="Percent 25 4 2 2 2 2 3" xfId="22421"/>
    <cellStyle name="Percent 25 4 2 2 2 2 3 2" xfId="42304"/>
    <cellStyle name="Percent 25 4 2 2 2 2 4" xfId="29999"/>
    <cellStyle name="Percent 25 4 2 2 2 3" xfId="13203"/>
    <cellStyle name="Percent 25 4 2 2 2 3 2" xfId="33086"/>
    <cellStyle name="Percent 25 4 2 2 2 4" xfId="19355"/>
    <cellStyle name="Percent 25 4 2 2 2 4 2" xfId="39238"/>
    <cellStyle name="Percent 25 4 2 2 2 5" xfId="26933"/>
    <cellStyle name="Percent 25 4 2 2 3" xfId="8541"/>
    <cellStyle name="Percent 25 4 2 2 3 2" xfId="14735"/>
    <cellStyle name="Percent 25 4 2 2 3 2 2" xfId="34618"/>
    <cellStyle name="Percent 25 4 2 2 3 3" xfId="20887"/>
    <cellStyle name="Percent 25 4 2 2 3 3 2" xfId="40770"/>
    <cellStyle name="Percent 25 4 2 2 3 4" xfId="28465"/>
    <cellStyle name="Percent 25 4 2 2 4" xfId="11669"/>
    <cellStyle name="Percent 25 4 2 2 4 2" xfId="31552"/>
    <cellStyle name="Percent 25 4 2 2 5" xfId="17821"/>
    <cellStyle name="Percent 25 4 2 2 5 2" xfId="37704"/>
    <cellStyle name="Percent 25 4 2 2 6" xfId="25399"/>
    <cellStyle name="Percent 25 4 2 3" xfId="6211"/>
    <cellStyle name="Percent 25 4 2 3 2" xfId="9307"/>
    <cellStyle name="Percent 25 4 2 3 2 2" xfId="15500"/>
    <cellStyle name="Percent 25 4 2 3 2 2 2" xfId="35383"/>
    <cellStyle name="Percent 25 4 2 3 2 3" xfId="21652"/>
    <cellStyle name="Percent 25 4 2 3 2 3 2" xfId="41535"/>
    <cellStyle name="Percent 25 4 2 3 2 4" xfId="29230"/>
    <cellStyle name="Percent 25 4 2 3 3" xfId="12434"/>
    <cellStyle name="Percent 25 4 2 3 3 2" xfId="32317"/>
    <cellStyle name="Percent 25 4 2 3 4" xfId="18586"/>
    <cellStyle name="Percent 25 4 2 3 4 2" xfId="38469"/>
    <cellStyle name="Percent 25 4 2 3 5" xfId="26164"/>
    <cellStyle name="Percent 25 4 2 4" xfId="7772"/>
    <cellStyle name="Percent 25 4 2 4 2" xfId="13966"/>
    <cellStyle name="Percent 25 4 2 4 2 2" xfId="33849"/>
    <cellStyle name="Percent 25 4 2 4 3" xfId="20118"/>
    <cellStyle name="Percent 25 4 2 4 3 2" xfId="40001"/>
    <cellStyle name="Percent 25 4 2 4 4" xfId="27696"/>
    <cellStyle name="Percent 25 4 2 5" xfId="10900"/>
    <cellStyle name="Percent 25 4 2 5 2" xfId="30783"/>
    <cellStyle name="Percent 25 4 2 6" xfId="17052"/>
    <cellStyle name="Percent 25 4 2 6 2" xfId="36935"/>
    <cellStyle name="Percent 25 4 2 7" xfId="24630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2 2" xfId="36153"/>
    <cellStyle name="Percent 25 5 2 2 2 3" xfId="22422"/>
    <cellStyle name="Percent 25 5 2 2 2 3 2" xfId="42305"/>
    <cellStyle name="Percent 25 5 2 2 2 4" xfId="30000"/>
    <cellStyle name="Percent 25 5 2 2 3" xfId="13204"/>
    <cellStyle name="Percent 25 5 2 2 3 2" xfId="33087"/>
    <cellStyle name="Percent 25 5 2 2 4" xfId="19356"/>
    <cellStyle name="Percent 25 5 2 2 4 2" xfId="39239"/>
    <cellStyle name="Percent 25 5 2 2 5" xfId="26934"/>
    <cellStyle name="Percent 25 5 2 3" xfId="8542"/>
    <cellStyle name="Percent 25 5 2 3 2" xfId="14736"/>
    <cellStyle name="Percent 25 5 2 3 2 2" xfId="34619"/>
    <cellStyle name="Percent 25 5 2 3 3" xfId="20888"/>
    <cellStyle name="Percent 25 5 2 3 3 2" xfId="40771"/>
    <cellStyle name="Percent 25 5 2 3 4" xfId="28466"/>
    <cellStyle name="Percent 25 5 2 4" xfId="11670"/>
    <cellStyle name="Percent 25 5 2 4 2" xfId="31553"/>
    <cellStyle name="Percent 25 5 2 5" xfId="17822"/>
    <cellStyle name="Percent 25 5 2 5 2" xfId="37705"/>
    <cellStyle name="Percent 25 5 2 6" xfId="25400"/>
    <cellStyle name="Percent 25 5 3" xfId="6212"/>
    <cellStyle name="Percent 25 5 3 2" xfId="9308"/>
    <cellStyle name="Percent 25 5 3 2 2" xfId="15501"/>
    <cellStyle name="Percent 25 5 3 2 2 2" xfId="35384"/>
    <cellStyle name="Percent 25 5 3 2 3" xfId="21653"/>
    <cellStyle name="Percent 25 5 3 2 3 2" xfId="41536"/>
    <cellStyle name="Percent 25 5 3 2 4" xfId="29231"/>
    <cellStyle name="Percent 25 5 3 3" xfId="12435"/>
    <cellStyle name="Percent 25 5 3 3 2" xfId="32318"/>
    <cellStyle name="Percent 25 5 3 4" xfId="18587"/>
    <cellStyle name="Percent 25 5 3 4 2" xfId="38470"/>
    <cellStyle name="Percent 25 5 3 5" xfId="26165"/>
    <cellStyle name="Percent 25 5 4" xfId="7773"/>
    <cellStyle name="Percent 25 5 4 2" xfId="13967"/>
    <cellStyle name="Percent 25 5 4 2 2" xfId="33850"/>
    <cellStyle name="Percent 25 5 4 3" xfId="20119"/>
    <cellStyle name="Percent 25 5 4 3 2" xfId="40002"/>
    <cellStyle name="Percent 25 5 4 4" xfId="27697"/>
    <cellStyle name="Percent 25 5 5" xfId="10901"/>
    <cellStyle name="Percent 25 5 5 2" xfId="30784"/>
    <cellStyle name="Percent 25 5 6" xfId="17053"/>
    <cellStyle name="Percent 25 5 6 2" xfId="36936"/>
    <cellStyle name="Percent 25 5 7" xfId="24631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2 2" xfId="36155"/>
    <cellStyle name="Percent 26 2 2 2 2 2 3" xfId="22424"/>
    <cellStyle name="Percent 26 2 2 2 2 2 3 2" xfId="42307"/>
    <cellStyle name="Percent 26 2 2 2 2 2 4" xfId="30002"/>
    <cellStyle name="Percent 26 2 2 2 2 3" xfId="13206"/>
    <cellStyle name="Percent 26 2 2 2 2 3 2" xfId="33089"/>
    <cellStyle name="Percent 26 2 2 2 2 4" xfId="19358"/>
    <cellStyle name="Percent 26 2 2 2 2 4 2" xfId="39241"/>
    <cellStyle name="Percent 26 2 2 2 2 5" xfId="26936"/>
    <cellStyle name="Percent 26 2 2 2 3" xfId="8544"/>
    <cellStyle name="Percent 26 2 2 2 3 2" xfId="14738"/>
    <cellStyle name="Percent 26 2 2 2 3 2 2" xfId="34621"/>
    <cellStyle name="Percent 26 2 2 2 3 3" xfId="20890"/>
    <cellStyle name="Percent 26 2 2 2 3 3 2" xfId="40773"/>
    <cellStyle name="Percent 26 2 2 2 3 4" xfId="28468"/>
    <cellStyle name="Percent 26 2 2 2 4" xfId="11672"/>
    <cellStyle name="Percent 26 2 2 2 4 2" xfId="31555"/>
    <cellStyle name="Percent 26 2 2 2 5" xfId="17824"/>
    <cellStyle name="Percent 26 2 2 2 5 2" xfId="37707"/>
    <cellStyle name="Percent 26 2 2 2 6" xfId="25402"/>
    <cellStyle name="Percent 26 2 2 3" xfId="6214"/>
    <cellStyle name="Percent 26 2 2 3 2" xfId="9310"/>
    <cellStyle name="Percent 26 2 2 3 2 2" xfId="15503"/>
    <cellStyle name="Percent 26 2 2 3 2 2 2" xfId="35386"/>
    <cellStyle name="Percent 26 2 2 3 2 3" xfId="21655"/>
    <cellStyle name="Percent 26 2 2 3 2 3 2" xfId="41538"/>
    <cellStyle name="Percent 26 2 2 3 2 4" xfId="29233"/>
    <cellStyle name="Percent 26 2 2 3 3" xfId="12437"/>
    <cellStyle name="Percent 26 2 2 3 3 2" xfId="32320"/>
    <cellStyle name="Percent 26 2 2 3 4" xfId="18589"/>
    <cellStyle name="Percent 26 2 2 3 4 2" xfId="38472"/>
    <cellStyle name="Percent 26 2 2 3 5" xfId="26167"/>
    <cellStyle name="Percent 26 2 2 4" xfId="7775"/>
    <cellStyle name="Percent 26 2 2 4 2" xfId="13969"/>
    <cellStyle name="Percent 26 2 2 4 2 2" xfId="33852"/>
    <cellStyle name="Percent 26 2 2 4 3" xfId="20121"/>
    <cellStyle name="Percent 26 2 2 4 3 2" xfId="40004"/>
    <cellStyle name="Percent 26 2 2 4 4" xfId="27699"/>
    <cellStyle name="Percent 26 2 2 5" xfId="10903"/>
    <cellStyle name="Percent 26 2 2 5 2" xfId="30786"/>
    <cellStyle name="Percent 26 2 2 6" xfId="17055"/>
    <cellStyle name="Percent 26 2 2 6 2" xfId="36938"/>
    <cellStyle name="Percent 26 2 2 7" xfId="24633"/>
    <cellStyle name="Percent 26 2 3" xfId="5367"/>
    <cellStyle name="Percent 26 2 3 2" xfId="6992"/>
    <cellStyle name="Percent 26 2 3 2 2" xfId="10078"/>
    <cellStyle name="Percent 26 2 3 2 2 2" xfId="16271"/>
    <cellStyle name="Percent 26 2 3 2 2 2 2" xfId="36154"/>
    <cellStyle name="Percent 26 2 3 2 2 3" xfId="22423"/>
    <cellStyle name="Percent 26 2 3 2 2 3 2" xfId="42306"/>
    <cellStyle name="Percent 26 2 3 2 2 4" xfId="30001"/>
    <cellStyle name="Percent 26 2 3 2 3" xfId="13205"/>
    <cellStyle name="Percent 26 2 3 2 3 2" xfId="33088"/>
    <cellStyle name="Percent 26 2 3 2 4" xfId="19357"/>
    <cellStyle name="Percent 26 2 3 2 4 2" xfId="39240"/>
    <cellStyle name="Percent 26 2 3 2 5" xfId="26935"/>
    <cellStyle name="Percent 26 2 3 3" xfId="8543"/>
    <cellStyle name="Percent 26 2 3 3 2" xfId="14737"/>
    <cellStyle name="Percent 26 2 3 3 2 2" xfId="34620"/>
    <cellStyle name="Percent 26 2 3 3 3" xfId="20889"/>
    <cellStyle name="Percent 26 2 3 3 3 2" xfId="40772"/>
    <cellStyle name="Percent 26 2 3 3 4" xfId="28467"/>
    <cellStyle name="Percent 26 2 3 4" xfId="11671"/>
    <cellStyle name="Percent 26 2 3 4 2" xfId="31554"/>
    <cellStyle name="Percent 26 2 3 5" xfId="17823"/>
    <cellStyle name="Percent 26 2 3 5 2" xfId="37706"/>
    <cellStyle name="Percent 26 2 3 6" xfId="25401"/>
    <cellStyle name="Percent 26 2 4" xfId="6213"/>
    <cellStyle name="Percent 26 2 4 2" xfId="9309"/>
    <cellStyle name="Percent 26 2 4 2 2" xfId="15502"/>
    <cellStyle name="Percent 26 2 4 2 2 2" xfId="35385"/>
    <cellStyle name="Percent 26 2 4 2 3" xfId="21654"/>
    <cellStyle name="Percent 26 2 4 2 3 2" xfId="41537"/>
    <cellStyle name="Percent 26 2 4 2 4" xfId="29232"/>
    <cellStyle name="Percent 26 2 4 3" xfId="12436"/>
    <cellStyle name="Percent 26 2 4 3 2" xfId="32319"/>
    <cellStyle name="Percent 26 2 4 4" xfId="18588"/>
    <cellStyle name="Percent 26 2 4 4 2" xfId="38471"/>
    <cellStyle name="Percent 26 2 4 5" xfId="26166"/>
    <cellStyle name="Percent 26 2 5" xfId="7774"/>
    <cellStyle name="Percent 26 2 5 2" xfId="13968"/>
    <cellStyle name="Percent 26 2 5 2 2" xfId="33851"/>
    <cellStyle name="Percent 26 2 5 3" xfId="20120"/>
    <cellStyle name="Percent 26 2 5 3 2" xfId="40003"/>
    <cellStyle name="Percent 26 2 5 4" xfId="27698"/>
    <cellStyle name="Percent 26 2 6" xfId="10902"/>
    <cellStyle name="Percent 26 2 6 2" xfId="30785"/>
    <cellStyle name="Percent 26 2 7" xfId="17054"/>
    <cellStyle name="Percent 26 2 7 2" xfId="36937"/>
    <cellStyle name="Percent 26 2 8" xfId="24632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2 2" xfId="36157"/>
    <cellStyle name="Percent 26 3 2 2 2 2 3" xfId="22426"/>
    <cellStyle name="Percent 26 3 2 2 2 2 3 2" xfId="42309"/>
    <cellStyle name="Percent 26 3 2 2 2 2 4" xfId="30004"/>
    <cellStyle name="Percent 26 3 2 2 2 3" xfId="13208"/>
    <cellStyle name="Percent 26 3 2 2 2 3 2" xfId="33091"/>
    <cellStyle name="Percent 26 3 2 2 2 4" xfId="19360"/>
    <cellStyle name="Percent 26 3 2 2 2 4 2" xfId="39243"/>
    <cellStyle name="Percent 26 3 2 2 2 5" xfId="26938"/>
    <cellStyle name="Percent 26 3 2 2 3" xfId="8546"/>
    <cellStyle name="Percent 26 3 2 2 3 2" xfId="14740"/>
    <cellStyle name="Percent 26 3 2 2 3 2 2" xfId="34623"/>
    <cellStyle name="Percent 26 3 2 2 3 3" xfId="20892"/>
    <cellStyle name="Percent 26 3 2 2 3 3 2" xfId="40775"/>
    <cellStyle name="Percent 26 3 2 2 3 4" xfId="28470"/>
    <cellStyle name="Percent 26 3 2 2 4" xfId="11674"/>
    <cellStyle name="Percent 26 3 2 2 4 2" xfId="31557"/>
    <cellStyle name="Percent 26 3 2 2 5" xfId="17826"/>
    <cellStyle name="Percent 26 3 2 2 5 2" xfId="37709"/>
    <cellStyle name="Percent 26 3 2 2 6" xfId="25404"/>
    <cellStyle name="Percent 26 3 2 3" xfId="6216"/>
    <cellStyle name="Percent 26 3 2 3 2" xfId="9312"/>
    <cellStyle name="Percent 26 3 2 3 2 2" xfId="15505"/>
    <cellStyle name="Percent 26 3 2 3 2 2 2" xfId="35388"/>
    <cellStyle name="Percent 26 3 2 3 2 3" xfId="21657"/>
    <cellStyle name="Percent 26 3 2 3 2 3 2" xfId="41540"/>
    <cellStyle name="Percent 26 3 2 3 2 4" xfId="29235"/>
    <cellStyle name="Percent 26 3 2 3 3" xfId="12439"/>
    <cellStyle name="Percent 26 3 2 3 3 2" xfId="32322"/>
    <cellStyle name="Percent 26 3 2 3 4" xfId="18591"/>
    <cellStyle name="Percent 26 3 2 3 4 2" xfId="38474"/>
    <cellStyle name="Percent 26 3 2 3 5" xfId="26169"/>
    <cellStyle name="Percent 26 3 2 4" xfId="7777"/>
    <cellStyle name="Percent 26 3 2 4 2" xfId="13971"/>
    <cellStyle name="Percent 26 3 2 4 2 2" xfId="33854"/>
    <cellStyle name="Percent 26 3 2 4 3" xfId="20123"/>
    <cellStyle name="Percent 26 3 2 4 3 2" xfId="40006"/>
    <cellStyle name="Percent 26 3 2 4 4" xfId="27701"/>
    <cellStyle name="Percent 26 3 2 5" xfId="10905"/>
    <cellStyle name="Percent 26 3 2 5 2" xfId="30788"/>
    <cellStyle name="Percent 26 3 2 6" xfId="17057"/>
    <cellStyle name="Percent 26 3 2 6 2" xfId="36940"/>
    <cellStyle name="Percent 26 3 2 7" xfId="24635"/>
    <cellStyle name="Percent 26 3 3" xfId="5369"/>
    <cellStyle name="Percent 26 3 3 2" xfId="6994"/>
    <cellStyle name="Percent 26 3 3 2 2" xfId="10080"/>
    <cellStyle name="Percent 26 3 3 2 2 2" xfId="16273"/>
    <cellStyle name="Percent 26 3 3 2 2 2 2" xfId="36156"/>
    <cellStyle name="Percent 26 3 3 2 2 3" xfId="22425"/>
    <cellStyle name="Percent 26 3 3 2 2 3 2" xfId="42308"/>
    <cellStyle name="Percent 26 3 3 2 2 4" xfId="30003"/>
    <cellStyle name="Percent 26 3 3 2 3" xfId="13207"/>
    <cellStyle name="Percent 26 3 3 2 3 2" xfId="33090"/>
    <cellStyle name="Percent 26 3 3 2 4" xfId="19359"/>
    <cellStyle name="Percent 26 3 3 2 4 2" xfId="39242"/>
    <cellStyle name="Percent 26 3 3 2 5" xfId="26937"/>
    <cellStyle name="Percent 26 3 3 3" xfId="8545"/>
    <cellStyle name="Percent 26 3 3 3 2" xfId="14739"/>
    <cellStyle name="Percent 26 3 3 3 2 2" xfId="34622"/>
    <cellStyle name="Percent 26 3 3 3 3" xfId="20891"/>
    <cellStyle name="Percent 26 3 3 3 3 2" xfId="40774"/>
    <cellStyle name="Percent 26 3 3 3 4" xfId="28469"/>
    <cellStyle name="Percent 26 3 3 4" xfId="11673"/>
    <cellStyle name="Percent 26 3 3 4 2" xfId="31556"/>
    <cellStyle name="Percent 26 3 3 5" xfId="17825"/>
    <cellStyle name="Percent 26 3 3 5 2" xfId="37708"/>
    <cellStyle name="Percent 26 3 3 6" xfId="25403"/>
    <cellStyle name="Percent 26 3 4" xfId="6215"/>
    <cellStyle name="Percent 26 3 4 2" xfId="9311"/>
    <cellStyle name="Percent 26 3 4 2 2" xfId="15504"/>
    <cellStyle name="Percent 26 3 4 2 2 2" xfId="35387"/>
    <cellStyle name="Percent 26 3 4 2 3" xfId="21656"/>
    <cellStyle name="Percent 26 3 4 2 3 2" xfId="41539"/>
    <cellStyle name="Percent 26 3 4 2 4" xfId="29234"/>
    <cellStyle name="Percent 26 3 4 3" xfId="12438"/>
    <cellStyle name="Percent 26 3 4 3 2" xfId="32321"/>
    <cellStyle name="Percent 26 3 4 4" xfId="18590"/>
    <cellStyle name="Percent 26 3 4 4 2" xfId="38473"/>
    <cellStyle name="Percent 26 3 4 5" xfId="26168"/>
    <cellStyle name="Percent 26 3 5" xfId="7776"/>
    <cellStyle name="Percent 26 3 5 2" xfId="13970"/>
    <cellStyle name="Percent 26 3 5 2 2" xfId="33853"/>
    <cellStyle name="Percent 26 3 5 3" xfId="20122"/>
    <cellStyle name="Percent 26 3 5 3 2" xfId="40005"/>
    <cellStyle name="Percent 26 3 5 4" xfId="27700"/>
    <cellStyle name="Percent 26 3 6" xfId="10904"/>
    <cellStyle name="Percent 26 3 6 2" xfId="30787"/>
    <cellStyle name="Percent 26 3 7" xfId="17056"/>
    <cellStyle name="Percent 26 3 7 2" xfId="36939"/>
    <cellStyle name="Percent 26 3 8" xfId="24634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2 2" xfId="36158"/>
    <cellStyle name="Percent 26 4 2 2 2 2 3" xfId="22427"/>
    <cellStyle name="Percent 26 4 2 2 2 2 3 2" xfId="42310"/>
    <cellStyle name="Percent 26 4 2 2 2 2 4" xfId="30005"/>
    <cellStyle name="Percent 26 4 2 2 2 3" xfId="13209"/>
    <cellStyle name="Percent 26 4 2 2 2 3 2" xfId="33092"/>
    <cellStyle name="Percent 26 4 2 2 2 4" xfId="19361"/>
    <cellStyle name="Percent 26 4 2 2 2 4 2" xfId="39244"/>
    <cellStyle name="Percent 26 4 2 2 2 5" xfId="26939"/>
    <cellStyle name="Percent 26 4 2 2 3" xfId="8547"/>
    <cellStyle name="Percent 26 4 2 2 3 2" xfId="14741"/>
    <cellStyle name="Percent 26 4 2 2 3 2 2" xfId="34624"/>
    <cellStyle name="Percent 26 4 2 2 3 3" xfId="20893"/>
    <cellStyle name="Percent 26 4 2 2 3 3 2" xfId="40776"/>
    <cellStyle name="Percent 26 4 2 2 3 4" xfId="28471"/>
    <cellStyle name="Percent 26 4 2 2 4" xfId="11675"/>
    <cellStyle name="Percent 26 4 2 2 4 2" xfId="31558"/>
    <cellStyle name="Percent 26 4 2 2 5" xfId="17827"/>
    <cellStyle name="Percent 26 4 2 2 5 2" xfId="37710"/>
    <cellStyle name="Percent 26 4 2 2 6" xfId="25405"/>
    <cellStyle name="Percent 26 4 2 3" xfId="6217"/>
    <cellStyle name="Percent 26 4 2 3 2" xfId="9313"/>
    <cellStyle name="Percent 26 4 2 3 2 2" xfId="15506"/>
    <cellStyle name="Percent 26 4 2 3 2 2 2" xfId="35389"/>
    <cellStyle name="Percent 26 4 2 3 2 3" xfId="21658"/>
    <cellStyle name="Percent 26 4 2 3 2 3 2" xfId="41541"/>
    <cellStyle name="Percent 26 4 2 3 2 4" xfId="29236"/>
    <cellStyle name="Percent 26 4 2 3 3" xfId="12440"/>
    <cellStyle name="Percent 26 4 2 3 3 2" xfId="32323"/>
    <cellStyle name="Percent 26 4 2 3 4" xfId="18592"/>
    <cellStyle name="Percent 26 4 2 3 4 2" xfId="38475"/>
    <cellStyle name="Percent 26 4 2 3 5" xfId="26170"/>
    <cellStyle name="Percent 26 4 2 4" xfId="7778"/>
    <cellStyle name="Percent 26 4 2 4 2" xfId="13972"/>
    <cellStyle name="Percent 26 4 2 4 2 2" xfId="33855"/>
    <cellStyle name="Percent 26 4 2 4 3" xfId="20124"/>
    <cellStyle name="Percent 26 4 2 4 3 2" xfId="40007"/>
    <cellStyle name="Percent 26 4 2 4 4" xfId="27702"/>
    <cellStyle name="Percent 26 4 2 5" xfId="10906"/>
    <cellStyle name="Percent 26 4 2 5 2" xfId="30789"/>
    <cellStyle name="Percent 26 4 2 6" xfId="17058"/>
    <cellStyle name="Percent 26 4 2 6 2" xfId="36941"/>
    <cellStyle name="Percent 26 4 2 7" xfId="24636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2 2" xfId="36159"/>
    <cellStyle name="Percent 26 5 2 2 2 3" xfId="22428"/>
    <cellStyle name="Percent 26 5 2 2 2 3 2" xfId="42311"/>
    <cellStyle name="Percent 26 5 2 2 2 4" xfId="30006"/>
    <cellStyle name="Percent 26 5 2 2 3" xfId="13210"/>
    <cellStyle name="Percent 26 5 2 2 3 2" xfId="33093"/>
    <cellStyle name="Percent 26 5 2 2 4" xfId="19362"/>
    <cellStyle name="Percent 26 5 2 2 4 2" xfId="39245"/>
    <cellStyle name="Percent 26 5 2 2 5" xfId="26940"/>
    <cellStyle name="Percent 26 5 2 3" xfId="8548"/>
    <cellStyle name="Percent 26 5 2 3 2" xfId="14742"/>
    <cellStyle name="Percent 26 5 2 3 2 2" xfId="34625"/>
    <cellStyle name="Percent 26 5 2 3 3" xfId="20894"/>
    <cellStyle name="Percent 26 5 2 3 3 2" xfId="40777"/>
    <cellStyle name="Percent 26 5 2 3 4" xfId="28472"/>
    <cellStyle name="Percent 26 5 2 4" xfId="11676"/>
    <cellStyle name="Percent 26 5 2 4 2" xfId="31559"/>
    <cellStyle name="Percent 26 5 2 5" xfId="17828"/>
    <cellStyle name="Percent 26 5 2 5 2" xfId="37711"/>
    <cellStyle name="Percent 26 5 2 6" xfId="25406"/>
    <cellStyle name="Percent 26 5 3" xfId="6218"/>
    <cellStyle name="Percent 26 5 3 2" xfId="9314"/>
    <cellStyle name="Percent 26 5 3 2 2" xfId="15507"/>
    <cellStyle name="Percent 26 5 3 2 2 2" xfId="35390"/>
    <cellStyle name="Percent 26 5 3 2 3" xfId="21659"/>
    <cellStyle name="Percent 26 5 3 2 3 2" xfId="41542"/>
    <cellStyle name="Percent 26 5 3 2 4" xfId="29237"/>
    <cellStyle name="Percent 26 5 3 3" xfId="12441"/>
    <cellStyle name="Percent 26 5 3 3 2" xfId="32324"/>
    <cellStyle name="Percent 26 5 3 4" xfId="18593"/>
    <cellStyle name="Percent 26 5 3 4 2" xfId="38476"/>
    <cellStyle name="Percent 26 5 3 5" xfId="26171"/>
    <cellStyle name="Percent 26 5 4" xfId="7779"/>
    <cellStyle name="Percent 26 5 4 2" xfId="13973"/>
    <cellStyle name="Percent 26 5 4 2 2" xfId="33856"/>
    <cellStyle name="Percent 26 5 4 3" xfId="20125"/>
    <cellStyle name="Percent 26 5 4 3 2" xfId="40008"/>
    <cellStyle name="Percent 26 5 4 4" xfId="27703"/>
    <cellStyle name="Percent 26 5 5" xfId="10907"/>
    <cellStyle name="Percent 26 5 5 2" xfId="30790"/>
    <cellStyle name="Percent 26 5 6" xfId="17059"/>
    <cellStyle name="Percent 26 5 6 2" xfId="36942"/>
    <cellStyle name="Percent 26 5 7" xfId="24637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2 2" xfId="36161"/>
    <cellStyle name="Percent 27 2 2 2 2 2 3" xfId="22430"/>
    <cellStyle name="Percent 27 2 2 2 2 2 3 2" xfId="42313"/>
    <cellStyle name="Percent 27 2 2 2 2 2 4" xfId="30008"/>
    <cellStyle name="Percent 27 2 2 2 2 3" xfId="13212"/>
    <cellStyle name="Percent 27 2 2 2 2 3 2" xfId="33095"/>
    <cellStyle name="Percent 27 2 2 2 2 4" xfId="19364"/>
    <cellStyle name="Percent 27 2 2 2 2 4 2" xfId="39247"/>
    <cellStyle name="Percent 27 2 2 2 2 5" xfId="26942"/>
    <cellStyle name="Percent 27 2 2 2 3" xfId="8550"/>
    <cellStyle name="Percent 27 2 2 2 3 2" xfId="14744"/>
    <cellStyle name="Percent 27 2 2 2 3 2 2" xfId="34627"/>
    <cellStyle name="Percent 27 2 2 2 3 3" xfId="20896"/>
    <cellStyle name="Percent 27 2 2 2 3 3 2" xfId="40779"/>
    <cellStyle name="Percent 27 2 2 2 3 4" xfId="28474"/>
    <cellStyle name="Percent 27 2 2 2 4" xfId="11678"/>
    <cellStyle name="Percent 27 2 2 2 4 2" xfId="31561"/>
    <cellStyle name="Percent 27 2 2 2 5" xfId="17830"/>
    <cellStyle name="Percent 27 2 2 2 5 2" xfId="37713"/>
    <cellStyle name="Percent 27 2 2 2 6" xfId="25408"/>
    <cellStyle name="Percent 27 2 2 3" xfId="6221"/>
    <cellStyle name="Percent 27 2 2 3 2" xfId="9316"/>
    <cellStyle name="Percent 27 2 2 3 2 2" xfId="15509"/>
    <cellStyle name="Percent 27 2 2 3 2 2 2" xfId="35392"/>
    <cellStyle name="Percent 27 2 2 3 2 3" xfId="21661"/>
    <cellStyle name="Percent 27 2 2 3 2 3 2" xfId="41544"/>
    <cellStyle name="Percent 27 2 2 3 2 4" xfId="29239"/>
    <cellStyle name="Percent 27 2 2 3 3" xfId="12443"/>
    <cellStyle name="Percent 27 2 2 3 3 2" xfId="32326"/>
    <cellStyle name="Percent 27 2 2 3 4" xfId="18595"/>
    <cellStyle name="Percent 27 2 2 3 4 2" xfId="38478"/>
    <cellStyle name="Percent 27 2 2 3 5" xfId="26173"/>
    <cellStyle name="Percent 27 2 2 4" xfId="7781"/>
    <cellStyle name="Percent 27 2 2 4 2" xfId="13975"/>
    <cellStyle name="Percent 27 2 2 4 2 2" xfId="33858"/>
    <cellStyle name="Percent 27 2 2 4 3" xfId="20127"/>
    <cellStyle name="Percent 27 2 2 4 3 2" xfId="40010"/>
    <cellStyle name="Percent 27 2 2 4 4" xfId="27705"/>
    <cellStyle name="Percent 27 2 2 5" xfId="10909"/>
    <cellStyle name="Percent 27 2 2 5 2" xfId="30792"/>
    <cellStyle name="Percent 27 2 2 6" xfId="17061"/>
    <cellStyle name="Percent 27 2 2 6 2" xfId="36944"/>
    <cellStyle name="Percent 27 2 2 7" xfId="24639"/>
    <cellStyle name="Percent 27 2 3" xfId="5373"/>
    <cellStyle name="Percent 27 2 3 2" xfId="6998"/>
    <cellStyle name="Percent 27 2 3 2 2" xfId="10084"/>
    <cellStyle name="Percent 27 2 3 2 2 2" xfId="16277"/>
    <cellStyle name="Percent 27 2 3 2 2 2 2" xfId="36160"/>
    <cellStyle name="Percent 27 2 3 2 2 3" xfId="22429"/>
    <cellStyle name="Percent 27 2 3 2 2 3 2" xfId="42312"/>
    <cellStyle name="Percent 27 2 3 2 2 4" xfId="30007"/>
    <cellStyle name="Percent 27 2 3 2 3" xfId="13211"/>
    <cellStyle name="Percent 27 2 3 2 3 2" xfId="33094"/>
    <cellStyle name="Percent 27 2 3 2 4" xfId="19363"/>
    <cellStyle name="Percent 27 2 3 2 4 2" xfId="39246"/>
    <cellStyle name="Percent 27 2 3 2 5" xfId="26941"/>
    <cellStyle name="Percent 27 2 3 3" xfId="8549"/>
    <cellStyle name="Percent 27 2 3 3 2" xfId="14743"/>
    <cellStyle name="Percent 27 2 3 3 2 2" xfId="34626"/>
    <cellStyle name="Percent 27 2 3 3 3" xfId="20895"/>
    <cellStyle name="Percent 27 2 3 3 3 2" xfId="40778"/>
    <cellStyle name="Percent 27 2 3 3 4" xfId="28473"/>
    <cellStyle name="Percent 27 2 3 4" xfId="11677"/>
    <cellStyle name="Percent 27 2 3 4 2" xfId="31560"/>
    <cellStyle name="Percent 27 2 3 5" xfId="17829"/>
    <cellStyle name="Percent 27 2 3 5 2" xfId="37712"/>
    <cellStyle name="Percent 27 2 3 6" xfId="25407"/>
    <cellStyle name="Percent 27 2 4" xfId="6220"/>
    <cellStyle name="Percent 27 2 4 2" xfId="9315"/>
    <cellStyle name="Percent 27 2 4 2 2" xfId="15508"/>
    <cellStyle name="Percent 27 2 4 2 2 2" xfId="35391"/>
    <cellStyle name="Percent 27 2 4 2 3" xfId="21660"/>
    <cellStyle name="Percent 27 2 4 2 3 2" xfId="41543"/>
    <cellStyle name="Percent 27 2 4 2 4" xfId="29238"/>
    <cellStyle name="Percent 27 2 4 3" xfId="12442"/>
    <cellStyle name="Percent 27 2 4 3 2" xfId="32325"/>
    <cellStyle name="Percent 27 2 4 4" xfId="18594"/>
    <cellStyle name="Percent 27 2 4 4 2" xfId="38477"/>
    <cellStyle name="Percent 27 2 4 5" xfId="26172"/>
    <cellStyle name="Percent 27 2 5" xfId="7780"/>
    <cellStyle name="Percent 27 2 5 2" xfId="13974"/>
    <cellStyle name="Percent 27 2 5 2 2" xfId="33857"/>
    <cellStyle name="Percent 27 2 5 3" xfId="20126"/>
    <cellStyle name="Percent 27 2 5 3 2" xfId="40009"/>
    <cellStyle name="Percent 27 2 5 4" xfId="27704"/>
    <cellStyle name="Percent 27 2 6" xfId="10908"/>
    <cellStyle name="Percent 27 2 6 2" xfId="30791"/>
    <cellStyle name="Percent 27 2 7" xfId="17060"/>
    <cellStyle name="Percent 27 2 7 2" xfId="36943"/>
    <cellStyle name="Percent 27 2 8" xfId="24638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2 2" xfId="36163"/>
    <cellStyle name="Percent 27 3 2 2 2 2 3" xfId="22432"/>
    <cellStyle name="Percent 27 3 2 2 2 2 3 2" xfId="42315"/>
    <cellStyle name="Percent 27 3 2 2 2 2 4" xfId="30010"/>
    <cellStyle name="Percent 27 3 2 2 2 3" xfId="13214"/>
    <cellStyle name="Percent 27 3 2 2 2 3 2" xfId="33097"/>
    <cellStyle name="Percent 27 3 2 2 2 4" xfId="19366"/>
    <cellStyle name="Percent 27 3 2 2 2 4 2" xfId="39249"/>
    <cellStyle name="Percent 27 3 2 2 2 5" xfId="26944"/>
    <cellStyle name="Percent 27 3 2 2 3" xfId="8552"/>
    <cellStyle name="Percent 27 3 2 2 3 2" xfId="14746"/>
    <cellStyle name="Percent 27 3 2 2 3 2 2" xfId="34629"/>
    <cellStyle name="Percent 27 3 2 2 3 3" xfId="20898"/>
    <cellStyle name="Percent 27 3 2 2 3 3 2" xfId="40781"/>
    <cellStyle name="Percent 27 3 2 2 3 4" xfId="28476"/>
    <cellStyle name="Percent 27 3 2 2 4" xfId="11680"/>
    <cellStyle name="Percent 27 3 2 2 4 2" xfId="31563"/>
    <cellStyle name="Percent 27 3 2 2 5" xfId="17832"/>
    <cellStyle name="Percent 27 3 2 2 5 2" xfId="37715"/>
    <cellStyle name="Percent 27 3 2 2 6" xfId="25410"/>
    <cellStyle name="Percent 27 3 2 3" xfId="6223"/>
    <cellStyle name="Percent 27 3 2 3 2" xfId="9318"/>
    <cellStyle name="Percent 27 3 2 3 2 2" xfId="15511"/>
    <cellStyle name="Percent 27 3 2 3 2 2 2" xfId="35394"/>
    <cellStyle name="Percent 27 3 2 3 2 3" xfId="21663"/>
    <cellStyle name="Percent 27 3 2 3 2 3 2" xfId="41546"/>
    <cellStyle name="Percent 27 3 2 3 2 4" xfId="29241"/>
    <cellStyle name="Percent 27 3 2 3 3" xfId="12445"/>
    <cellStyle name="Percent 27 3 2 3 3 2" xfId="32328"/>
    <cellStyle name="Percent 27 3 2 3 4" xfId="18597"/>
    <cellStyle name="Percent 27 3 2 3 4 2" xfId="38480"/>
    <cellStyle name="Percent 27 3 2 3 5" xfId="26175"/>
    <cellStyle name="Percent 27 3 2 4" xfId="7783"/>
    <cellStyle name="Percent 27 3 2 4 2" xfId="13977"/>
    <cellStyle name="Percent 27 3 2 4 2 2" xfId="33860"/>
    <cellStyle name="Percent 27 3 2 4 3" xfId="20129"/>
    <cellStyle name="Percent 27 3 2 4 3 2" xfId="40012"/>
    <cellStyle name="Percent 27 3 2 4 4" xfId="27707"/>
    <cellStyle name="Percent 27 3 2 5" xfId="10911"/>
    <cellStyle name="Percent 27 3 2 5 2" xfId="30794"/>
    <cellStyle name="Percent 27 3 2 6" xfId="17063"/>
    <cellStyle name="Percent 27 3 2 6 2" xfId="36946"/>
    <cellStyle name="Percent 27 3 2 7" xfId="24641"/>
    <cellStyle name="Percent 27 3 3" xfId="5375"/>
    <cellStyle name="Percent 27 3 3 2" xfId="7000"/>
    <cellStyle name="Percent 27 3 3 2 2" xfId="10086"/>
    <cellStyle name="Percent 27 3 3 2 2 2" xfId="16279"/>
    <cellStyle name="Percent 27 3 3 2 2 2 2" xfId="36162"/>
    <cellStyle name="Percent 27 3 3 2 2 3" xfId="22431"/>
    <cellStyle name="Percent 27 3 3 2 2 3 2" xfId="42314"/>
    <cellStyle name="Percent 27 3 3 2 2 4" xfId="30009"/>
    <cellStyle name="Percent 27 3 3 2 3" xfId="13213"/>
    <cellStyle name="Percent 27 3 3 2 3 2" xfId="33096"/>
    <cellStyle name="Percent 27 3 3 2 4" xfId="19365"/>
    <cellStyle name="Percent 27 3 3 2 4 2" xfId="39248"/>
    <cellStyle name="Percent 27 3 3 2 5" xfId="26943"/>
    <cellStyle name="Percent 27 3 3 3" xfId="8551"/>
    <cellStyle name="Percent 27 3 3 3 2" xfId="14745"/>
    <cellStyle name="Percent 27 3 3 3 2 2" xfId="34628"/>
    <cellStyle name="Percent 27 3 3 3 3" xfId="20897"/>
    <cellStyle name="Percent 27 3 3 3 3 2" xfId="40780"/>
    <cellStyle name="Percent 27 3 3 3 4" xfId="28475"/>
    <cellStyle name="Percent 27 3 3 4" xfId="11679"/>
    <cellStyle name="Percent 27 3 3 4 2" xfId="31562"/>
    <cellStyle name="Percent 27 3 3 5" xfId="17831"/>
    <cellStyle name="Percent 27 3 3 5 2" xfId="37714"/>
    <cellStyle name="Percent 27 3 3 6" xfId="25409"/>
    <cellStyle name="Percent 27 3 4" xfId="6222"/>
    <cellStyle name="Percent 27 3 4 2" xfId="9317"/>
    <cellStyle name="Percent 27 3 4 2 2" xfId="15510"/>
    <cellStyle name="Percent 27 3 4 2 2 2" xfId="35393"/>
    <cellStyle name="Percent 27 3 4 2 3" xfId="21662"/>
    <cellStyle name="Percent 27 3 4 2 3 2" xfId="41545"/>
    <cellStyle name="Percent 27 3 4 2 4" xfId="29240"/>
    <cellStyle name="Percent 27 3 4 3" xfId="12444"/>
    <cellStyle name="Percent 27 3 4 3 2" xfId="32327"/>
    <cellStyle name="Percent 27 3 4 4" xfId="18596"/>
    <cellStyle name="Percent 27 3 4 4 2" xfId="38479"/>
    <cellStyle name="Percent 27 3 4 5" xfId="26174"/>
    <cellStyle name="Percent 27 3 5" xfId="7782"/>
    <cellStyle name="Percent 27 3 5 2" xfId="13976"/>
    <cellStyle name="Percent 27 3 5 2 2" xfId="33859"/>
    <cellStyle name="Percent 27 3 5 3" xfId="20128"/>
    <cellStyle name="Percent 27 3 5 3 2" xfId="40011"/>
    <cellStyle name="Percent 27 3 5 4" xfId="27706"/>
    <cellStyle name="Percent 27 3 6" xfId="10910"/>
    <cellStyle name="Percent 27 3 6 2" xfId="30793"/>
    <cellStyle name="Percent 27 3 7" xfId="17062"/>
    <cellStyle name="Percent 27 3 7 2" xfId="36945"/>
    <cellStyle name="Percent 27 3 8" xfId="24640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2 2" xfId="36164"/>
    <cellStyle name="Percent 27 4 2 2 2 2 3" xfId="22433"/>
    <cellStyle name="Percent 27 4 2 2 2 2 3 2" xfId="42316"/>
    <cellStyle name="Percent 27 4 2 2 2 2 4" xfId="30011"/>
    <cellStyle name="Percent 27 4 2 2 2 3" xfId="13215"/>
    <cellStyle name="Percent 27 4 2 2 2 3 2" xfId="33098"/>
    <cellStyle name="Percent 27 4 2 2 2 4" xfId="19367"/>
    <cellStyle name="Percent 27 4 2 2 2 4 2" xfId="39250"/>
    <cellStyle name="Percent 27 4 2 2 2 5" xfId="26945"/>
    <cellStyle name="Percent 27 4 2 2 3" xfId="8553"/>
    <cellStyle name="Percent 27 4 2 2 3 2" xfId="14747"/>
    <cellStyle name="Percent 27 4 2 2 3 2 2" xfId="34630"/>
    <cellStyle name="Percent 27 4 2 2 3 3" xfId="20899"/>
    <cellStyle name="Percent 27 4 2 2 3 3 2" xfId="40782"/>
    <cellStyle name="Percent 27 4 2 2 3 4" xfId="28477"/>
    <cellStyle name="Percent 27 4 2 2 4" xfId="11681"/>
    <cellStyle name="Percent 27 4 2 2 4 2" xfId="31564"/>
    <cellStyle name="Percent 27 4 2 2 5" xfId="17833"/>
    <cellStyle name="Percent 27 4 2 2 5 2" xfId="37716"/>
    <cellStyle name="Percent 27 4 2 2 6" xfId="25411"/>
    <cellStyle name="Percent 27 4 2 3" xfId="6225"/>
    <cellStyle name="Percent 27 4 2 3 2" xfId="9319"/>
    <cellStyle name="Percent 27 4 2 3 2 2" xfId="15512"/>
    <cellStyle name="Percent 27 4 2 3 2 2 2" xfId="35395"/>
    <cellStyle name="Percent 27 4 2 3 2 3" xfId="21664"/>
    <cellStyle name="Percent 27 4 2 3 2 3 2" xfId="41547"/>
    <cellStyle name="Percent 27 4 2 3 2 4" xfId="29242"/>
    <cellStyle name="Percent 27 4 2 3 3" xfId="12446"/>
    <cellStyle name="Percent 27 4 2 3 3 2" xfId="32329"/>
    <cellStyle name="Percent 27 4 2 3 4" xfId="18598"/>
    <cellStyle name="Percent 27 4 2 3 4 2" xfId="38481"/>
    <cellStyle name="Percent 27 4 2 3 5" xfId="26176"/>
    <cellStyle name="Percent 27 4 2 4" xfId="7784"/>
    <cellStyle name="Percent 27 4 2 4 2" xfId="13978"/>
    <cellStyle name="Percent 27 4 2 4 2 2" xfId="33861"/>
    <cellStyle name="Percent 27 4 2 4 3" xfId="20130"/>
    <cellStyle name="Percent 27 4 2 4 3 2" xfId="40013"/>
    <cellStyle name="Percent 27 4 2 4 4" xfId="27708"/>
    <cellStyle name="Percent 27 4 2 5" xfId="10912"/>
    <cellStyle name="Percent 27 4 2 5 2" xfId="30795"/>
    <cellStyle name="Percent 27 4 2 6" xfId="17064"/>
    <cellStyle name="Percent 27 4 2 6 2" xfId="36947"/>
    <cellStyle name="Percent 27 4 2 7" xfId="24642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2 2" xfId="36165"/>
    <cellStyle name="Percent 27 5 2 2 2 3" xfId="22434"/>
    <cellStyle name="Percent 27 5 2 2 2 3 2" xfId="42317"/>
    <cellStyle name="Percent 27 5 2 2 2 4" xfId="30012"/>
    <cellStyle name="Percent 27 5 2 2 3" xfId="13216"/>
    <cellStyle name="Percent 27 5 2 2 3 2" xfId="33099"/>
    <cellStyle name="Percent 27 5 2 2 4" xfId="19368"/>
    <cellStyle name="Percent 27 5 2 2 4 2" xfId="39251"/>
    <cellStyle name="Percent 27 5 2 2 5" xfId="26946"/>
    <cellStyle name="Percent 27 5 2 3" xfId="8554"/>
    <cellStyle name="Percent 27 5 2 3 2" xfId="14748"/>
    <cellStyle name="Percent 27 5 2 3 2 2" xfId="34631"/>
    <cellStyle name="Percent 27 5 2 3 3" xfId="20900"/>
    <cellStyle name="Percent 27 5 2 3 3 2" xfId="40783"/>
    <cellStyle name="Percent 27 5 2 3 4" xfId="28478"/>
    <cellStyle name="Percent 27 5 2 4" xfId="11682"/>
    <cellStyle name="Percent 27 5 2 4 2" xfId="31565"/>
    <cellStyle name="Percent 27 5 2 5" xfId="17834"/>
    <cellStyle name="Percent 27 5 2 5 2" xfId="37717"/>
    <cellStyle name="Percent 27 5 2 6" xfId="25412"/>
    <cellStyle name="Percent 27 5 3" xfId="6226"/>
    <cellStyle name="Percent 27 5 3 2" xfId="9320"/>
    <cellStyle name="Percent 27 5 3 2 2" xfId="15513"/>
    <cellStyle name="Percent 27 5 3 2 2 2" xfId="35396"/>
    <cellStyle name="Percent 27 5 3 2 3" xfId="21665"/>
    <cellStyle name="Percent 27 5 3 2 3 2" xfId="41548"/>
    <cellStyle name="Percent 27 5 3 2 4" xfId="29243"/>
    <cellStyle name="Percent 27 5 3 3" xfId="12447"/>
    <cellStyle name="Percent 27 5 3 3 2" xfId="32330"/>
    <cellStyle name="Percent 27 5 3 4" xfId="18599"/>
    <cellStyle name="Percent 27 5 3 4 2" xfId="38482"/>
    <cellStyle name="Percent 27 5 3 5" xfId="26177"/>
    <cellStyle name="Percent 27 5 4" xfId="7785"/>
    <cellStyle name="Percent 27 5 4 2" xfId="13979"/>
    <cellStyle name="Percent 27 5 4 2 2" xfId="33862"/>
    <cellStyle name="Percent 27 5 4 3" xfId="20131"/>
    <cellStyle name="Percent 27 5 4 3 2" xfId="40014"/>
    <cellStyle name="Percent 27 5 4 4" xfId="27709"/>
    <cellStyle name="Percent 27 5 5" xfId="10913"/>
    <cellStyle name="Percent 27 5 5 2" xfId="30796"/>
    <cellStyle name="Percent 27 5 6" xfId="17065"/>
    <cellStyle name="Percent 27 5 6 2" xfId="36948"/>
    <cellStyle name="Percent 27 5 7" xfId="24643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2 2" xfId="36167"/>
    <cellStyle name="Percent 28 2 2 2 2 2 3" xfId="22436"/>
    <cellStyle name="Percent 28 2 2 2 2 2 3 2" xfId="42319"/>
    <cellStyle name="Percent 28 2 2 2 2 2 4" xfId="30014"/>
    <cellStyle name="Percent 28 2 2 2 2 3" xfId="13218"/>
    <cellStyle name="Percent 28 2 2 2 2 3 2" xfId="33101"/>
    <cellStyle name="Percent 28 2 2 2 2 4" xfId="19370"/>
    <cellStyle name="Percent 28 2 2 2 2 4 2" xfId="39253"/>
    <cellStyle name="Percent 28 2 2 2 2 5" xfId="26948"/>
    <cellStyle name="Percent 28 2 2 2 3" xfId="8556"/>
    <cellStyle name="Percent 28 2 2 2 3 2" xfId="14750"/>
    <cellStyle name="Percent 28 2 2 2 3 2 2" xfId="34633"/>
    <cellStyle name="Percent 28 2 2 2 3 3" xfId="20902"/>
    <cellStyle name="Percent 28 2 2 2 3 3 2" xfId="40785"/>
    <cellStyle name="Percent 28 2 2 2 3 4" xfId="28480"/>
    <cellStyle name="Percent 28 2 2 2 4" xfId="11684"/>
    <cellStyle name="Percent 28 2 2 2 4 2" xfId="31567"/>
    <cellStyle name="Percent 28 2 2 2 5" xfId="17836"/>
    <cellStyle name="Percent 28 2 2 2 5 2" xfId="37719"/>
    <cellStyle name="Percent 28 2 2 2 6" xfId="25414"/>
    <cellStyle name="Percent 28 2 2 3" xfId="6229"/>
    <cellStyle name="Percent 28 2 2 3 2" xfId="9322"/>
    <cellStyle name="Percent 28 2 2 3 2 2" xfId="15515"/>
    <cellStyle name="Percent 28 2 2 3 2 2 2" xfId="35398"/>
    <cellStyle name="Percent 28 2 2 3 2 3" xfId="21667"/>
    <cellStyle name="Percent 28 2 2 3 2 3 2" xfId="41550"/>
    <cellStyle name="Percent 28 2 2 3 2 4" xfId="29245"/>
    <cellStyle name="Percent 28 2 2 3 3" xfId="12449"/>
    <cellStyle name="Percent 28 2 2 3 3 2" xfId="32332"/>
    <cellStyle name="Percent 28 2 2 3 4" xfId="18601"/>
    <cellStyle name="Percent 28 2 2 3 4 2" xfId="38484"/>
    <cellStyle name="Percent 28 2 2 3 5" xfId="26179"/>
    <cellStyle name="Percent 28 2 2 4" xfId="7787"/>
    <cellStyle name="Percent 28 2 2 4 2" xfId="13981"/>
    <cellStyle name="Percent 28 2 2 4 2 2" xfId="33864"/>
    <cellStyle name="Percent 28 2 2 4 3" xfId="20133"/>
    <cellStyle name="Percent 28 2 2 4 3 2" xfId="40016"/>
    <cellStyle name="Percent 28 2 2 4 4" xfId="27711"/>
    <cellStyle name="Percent 28 2 2 5" xfId="10915"/>
    <cellStyle name="Percent 28 2 2 5 2" xfId="30798"/>
    <cellStyle name="Percent 28 2 2 6" xfId="17067"/>
    <cellStyle name="Percent 28 2 2 6 2" xfId="36950"/>
    <cellStyle name="Percent 28 2 2 7" xfId="24645"/>
    <cellStyle name="Percent 28 2 3" xfId="5379"/>
    <cellStyle name="Percent 28 2 3 2" xfId="7004"/>
    <cellStyle name="Percent 28 2 3 2 2" xfId="10090"/>
    <cellStyle name="Percent 28 2 3 2 2 2" xfId="16283"/>
    <cellStyle name="Percent 28 2 3 2 2 2 2" xfId="36166"/>
    <cellStyle name="Percent 28 2 3 2 2 3" xfId="22435"/>
    <cellStyle name="Percent 28 2 3 2 2 3 2" xfId="42318"/>
    <cellStyle name="Percent 28 2 3 2 2 4" xfId="30013"/>
    <cellStyle name="Percent 28 2 3 2 3" xfId="13217"/>
    <cellStyle name="Percent 28 2 3 2 3 2" xfId="33100"/>
    <cellStyle name="Percent 28 2 3 2 4" xfId="19369"/>
    <cellStyle name="Percent 28 2 3 2 4 2" xfId="39252"/>
    <cellStyle name="Percent 28 2 3 2 5" xfId="26947"/>
    <cellStyle name="Percent 28 2 3 3" xfId="8555"/>
    <cellStyle name="Percent 28 2 3 3 2" xfId="14749"/>
    <cellStyle name="Percent 28 2 3 3 2 2" xfId="34632"/>
    <cellStyle name="Percent 28 2 3 3 3" xfId="20901"/>
    <cellStyle name="Percent 28 2 3 3 3 2" xfId="40784"/>
    <cellStyle name="Percent 28 2 3 3 4" xfId="28479"/>
    <cellStyle name="Percent 28 2 3 4" xfId="11683"/>
    <cellStyle name="Percent 28 2 3 4 2" xfId="31566"/>
    <cellStyle name="Percent 28 2 3 5" xfId="17835"/>
    <cellStyle name="Percent 28 2 3 5 2" xfId="37718"/>
    <cellStyle name="Percent 28 2 3 6" xfId="25413"/>
    <cellStyle name="Percent 28 2 4" xfId="6228"/>
    <cellStyle name="Percent 28 2 4 2" xfId="9321"/>
    <cellStyle name="Percent 28 2 4 2 2" xfId="15514"/>
    <cellStyle name="Percent 28 2 4 2 2 2" xfId="35397"/>
    <cellStyle name="Percent 28 2 4 2 3" xfId="21666"/>
    <cellStyle name="Percent 28 2 4 2 3 2" xfId="41549"/>
    <cellStyle name="Percent 28 2 4 2 4" xfId="29244"/>
    <cellStyle name="Percent 28 2 4 3" xfId="12448"/>
    <cellStyle name="Percent 28 2 4 3 2" xfId="32331"/>
    <cellStyle name="Percent 28 2 4 4" xfId="18600"/>
    <cellStyle name="Percent 28 2 4 4 2" xfId="38483"/>
    <cellStyle name="Percent 28 2 4 5" xfId="26178"/>
    <cellStyle name="Percent 28 2 5" xfId="7786"/>
    <cellStyle name="Percent 28 2 5 2" xfId="13980"/>
    <cellStyle name="Percent 28 2 5 2 2" xfId="33863"/>
    <cellStyle name="Percent 28 2 5 3" xfId="20132"/>
    <cellStyle name="Percent 28 2 5 3 2" xfId="40015"/>
    <cellStyle name="Percent 28 2 5 4" xfId="27710"/>
    <cellStyle name="Percent 28 2 6" xfId="10914"/>
    <cellStyle name="Percent 28 2 6 2" xfId="30797"/>
    <cellStyle name="Percent 28 2 7" xfId="17066"/>
    <cellStyle name="Percent 28 2 7 2" xfId="36949"/>
    <cellStyle name="Percent 28 2 8" xfId="24644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2 2" xfId="36169"/>
    <cellStyle name="Percent 28 3 2 2 2 2 3" xfId="22438"/>
    <cellStyle name="Percent 28 3 2 2 2 2 3 2" xfId="42321"/>
    <cellStyle name="Percent 28 3 2 2 2 2 4" xfId="30016"/>
    <cellStyle name="Percent 28 3 2 2 2 3" xfId="13220"/>
    <cellStyle name="Percent 28 3 2 2 2 3 2" xfId="33103"/>
    <cellStyle name="Percent 28 3 2 2 2 4" xfId="19372"/>
    <cellStyle name="Percent 28 3 2 2 2 4 2" xfId="39255"/>
    <cellStyle name="Percent 28 3 2 2 2 5" xfId="26950"/>
    <cellStyle name="Percent 28 3 2 2 3" xfId="8558"/>
    <cellStyle name="Percent 28 3 2 2 3 2" xfId="14752"/>
    <cellStyle name="Percent 28 3 2 2 3 2 2" xfId="34635"/>
    <cellStyle name="Percent 28 3 2 2 3 3" xfId="20904"/>
    <cellStyle name="Percent 28 3 2 2 3 3 2" xfId="40787"/>
    <cellStyle name="Percent 28 3 2 2 3 4" xfId="28482"/>
    <cellStyle name="Percent 28 3 2 2 4" xfId="11686"/>
    <cellStyle name="Percent 28 3 2 2 4 2" xfId="31569"/>
    <cellStyle name="Percent 28 3 2 2 5" xfId="17838"/>
    <cellStyle name="Percent 28 3 2 2 5 2" xfId="37721"/>
    <cellStyle name="Percent 28 3 2 2 6" xfId="25416"/>
    <cellStyle name="Percent 28 3 2 3" xfId="6231"/>
    <cellStyle name="Percent 28 3 2 3 2" xfId="9324"/>
    <cellStyle name="Percent 28 3 2 3 2 2" xfId="15517"/>
    <cellStyle name="Percent 28 3 2 3 2 2 2" xfId="35400"/>
    <cellStyle name="Percent 28 3 2 3 2 3" xfId="21669"/>
    <cellStyle name="Percent 28 3 2 3 2 3 2" xfId="41552"/>
    <cellStyle name="Percent 28 3 2 3 2 4" xfId="29247"/>
    <cellStyle name="Percent 28 3 2 3 3" xfId="12451"/>
    <cellStyle name="Percent 28 3 2 3 3 2" xfId="32334"/>
    <cellStyle name="Percent 28 3 2 3 4" xfId="18603"/>
    <cellStyle name="Percent 28 3 2 3 4 2" xfId="38486"/>
    <cellStyle name="Percent 28 3 2 3 5" xfId="26181"/>
    <cellStyle name="Percent 28 3 2 4" xfId="7789"/>
    <cellStyle name="Percent 28 3 2 4 2" xfId="13983"/>
    <cellStyle name="Percent 28 3 2 4 2 2" xfId="33866"/>
    <cellStyle name="Percent 28 3 2 4 3" xfId="20135"/>
    <cellStyle name="Percent 28 3 2 4 3 2" xfId="40018"/>
    <cellStyle name="Percent 28 3 2 4 4" xfId="27713"/>
    <cellStyle name="Percent 28 3 2 5" xfId="10917"/>
    <cellStyle name="Percent 28 3 2 5 2" xfId="30800"/>
    <cellStyle name="Percent 28 3 2 6" xfId="17069"/>
    <cellStyle name="Percent 28 3 2 6 2" xfId="36952"/>
    <cellStyle name="Percent 28 3 2 7" xfId="24647"/>
    <cellStyle name="Percent 28 3 3" xfId="5381"/>
    <cellStyle name="Percent 28 3 3 2" xfId="7006"/>
    <cellStyle name="Percent 28 3 3 2 2" xfId="10092"/>
    <cellStyle name="Percent 28 3 3 2 2 2" xfId="16285"/>
    <cellStyle name="Percent 28 3 3 2 2 2 2" xfId="36168"/>
    <cellStyle name="Percent 28 3 3 2 2 3" xfId="22437"/>
    <cellStyle name="Percent 28 3 3 2 2 3 2" xfId="42320"/>
    <cellStyle name="Percent 28 3 3 2 2 4" xfId="30015"/>
    <cellStyle name="Percent 28 3 3 2 3" xfId="13219"/>
    <cellStyle name="Percent 28 3 3 2 3 2" xfId="33102"/>
    <cellStyle name="Percent 28 3 3 2 4" xfId="19371"/>
    <cellStyle name="Percent 28 3 3 2 4 2" xfId="39254"/>
    <cellStyle name="Percent 28 3 3 2 5" xfId="26949"/>
    <cellStyle name="Percent 28 3 3 3" xfId="8557"/>
    <cellStyle name="Percent 28 3 3 3 2" xfId="14751"/>
    <cellStyle name="Percent 28 3 3 3 2 2" xfId="34634"/>
    <cellStyle name="Percent 28 3 3 3 3" xfId="20903"/>
    <cellStyle name="Percent 28 3 3 3 3 2" xfId="40786"/>
    <cellStyle name="Percent 28 3 3 3 4" xfId="28481"/>
    <cellStyle name="Percent 28 3 3 4" xfId="11685"/>
    <cellStyle name="Percent 28 3 3 4 2" xfId="31568"/>
    <cellStyle name="Percent 28 3 3 5" xfId="17837"/>
    <cellStyle name="Percent 28 3 3 5 2" xfId="37720"/>
    <cellStyle name="Percent 28 3 3 6" xfId="25415"/>
    <cellStyle name="Percent 28 3 4" xfId="6230"/>
    <cellStyle name="Percent 28 3 4 2" xfId="9323"/>
    <cellStyle name="Percent 28 3 4 2 2" xfId="15516"/>
    <cellStyle name="Percent 28 3 4 2 2 2" xfId="35399"/>
    <cellStyle name="Percent 28 3 4 2 3" xfId="21668"/>
    <cellStyle name="Percent 28 3 4 2 3 2" xfId="41551"/>
    <cellStyle name="Percent 28 3 4 2 4" xfId="29246"/>
    <cellStyle name="Percent 28 3 4 3" xfId="12450"/>
    <cellStyle name="Percent 28 3 4 3 2" xfId="32333"/>
    <cellStyle name="Percent 28 3 4 4" xfId="18602"/>
    <cellStyle name="Percent 28 3 4 4 2" xfId="38485"/>
    <cellStyle name="Percent 28 3 4 5" xfId="26180"/>
    <cellStyle name="Percent 28 3 5" xfId="7788"/>
    <cellStyle name="Percent 28 3 5 2" xfId="13982"/>
    <cellStyle name="Percent 28 3 5 2 2" xfId="33865"/>
    <cellStyle name="Percent 28 3 5 3" xfId="20134"/>
    <cellStyle name="Percent 28 3 5 3 2" xfId="40017"/>
    <cellStyle name="Percent 28 3 5 4" xfId="27712"/>
    <cellStyle name="Percent 28 3 6" xfId="10916"/>
    <cellStyle name="Percent 28 3 6 2" xfId="30799"/>
    <cellStyle name="Percent 28 3 7" xfId="17068"/>
    <cellStyle name="Percent 28 3 7 2" xfId="36951"/>
    <cellStyle name="Percent 28 3 8" xfId="24646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2 2" xfId="36170"/>
    <cellStyle name="Percent 28 4 2 2 2 2 3" xfId="22439"/>
    <cellStyle name="Percent 28 4 2 2 2 2 3 2" xfId="42322"/>
    <cellStyle name="Percent 28 4 2 2 2 2 4" xfId="30017"/>
    <cellStyle name="Percent 28 4 2 2 2 3" xfId="13221"/>
    <cellStyle name="Percent 28 4 2 2 2 3 2" xfId="33104"/>
    <cellStyle name="Percent 28 4 2 2 2 4" xfId="19373"/>
    <cellStyle name="Percent 28 4 2 2 2 4 2" xfId="39256"/>
    <cellStyle name="Percent 28 4 2 2 2 5" xfId="26951"/>
    <cellStyle name="Percent 28 4 2 2 3" xfId="8559"/>
    <cellStyle name="Percent 28 4 2 2 3 2" xfId="14753"/>
    <cellStyle name="Percent 28 4 2 2 3 2 2" xfId="34636"/>
    <cellStyle name="Percent 28 4 2 2 3 3" xfId="20905"/>
    <cellStyle name="Percent 28 4 2 2 3 3 2" xfId="40788"/>
    <cellStyle name="Percent 28 4 2 2 3 4" xfId="28483"/>
    <cellStyle name="Percent 28 4 2 2 4" xfId="11687"/>
    <cellStyle name="Percent 28 4 2 2 4 2" xfId="31570"/>
    <cellStyle name="Percent 28 4 2 2 5" xfId="17839"/>
    <cellStyle name="Percent 28 4 2 2 5 2" xfId="37722"/>
    <cellStyle name="Percent 28 4 2 2 6" xfId="25417"/>
    <cellStyle name="Percent 28 4 2 3" xfId="6232"/>
    <cellStyle name="Percent 28 4 2 3 2" xfId="9325"/>
    <cellStyle name="Percent 28 4 2 3 2 2" xfId="15518"/>
    <cellStyle name="Percent 28 4 2 3 2 2 2" xfId="35401"/>
    <cellStyle name="Percent 28 4 2 3 2 3" xfId="21670"/>
    <cellStyle name="Percent 28 4 2 3 2 3 2" xfId="41553"/>
    <cellStyle name="Percent 28 4 2 3 2 4" xfId="29248"/>
    <cellStyle name="Percent 28 4 2 3 3" xfId="12452"/>
    <cellStyle name="Percent 28 4 2 3 3 2" xfId="32335"/>
    <cellStyle name="Percent 28 4 2 3 4" xfId="18604"/>
    <cellStyle name="Percent 28 4 2 3 4 2" xfId="38487"/>
    <cellStyle name="Percent 28 4 2 3 5" xfId="26182"/>
    <cellStyle name="Percent 28 4 2 4" xfId="7790"/>
    <cellStyle name="Percent 28 4 2 4 2" xfId="13984"/>
    <cellStyle name="Percent 28 4 2 4 2 2" xfId="33867"/>
    <cellStyle name="Percent 28 4 2 4 3" xfId="20136"/>
    <cellStyle name="Percent 28 4 2 4 3 2" xfId="40019"/>
    <cellStyle name="Percent 28 4 2 4 4" xfId="27714"/>
    <cellStyle name="Percent 28 4 2 5" xfId="10918"/>
    <cellStyle name="Percent 28 4 2 5 2" xfId="30801"/>
    <cellStyle name="Percent 28 4 2 6" xfId="17070"/>
    <cellStyle name="Percent 28 4 2 6 2" xfId="36953"/>
    <cellStyle name="Percent 28 4 2 7" xfId="24648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2 2" xfId="36171"/>
    <cellStyle name="Percent 28 5 2 2 2 3" xfId="22440"/>
    <cellStyle name="Percent 28 5 2 2 2 3 2" xfId="42323"/>
    <cellStyle name="Percent 28 5 2 2 2 4" xfId="30018"/>
    <cellStyle name="Percent 28 5 2 2 3" xfId="13222"/>
    <cellStyle name="Percent 28 5 2 2 3 2" xfId="33105"/>
    <cellStyle name="Percent 28 5 2 2 4" xfId="19374"/>
    <cellStyle name="Percent 28 5 2 2 4 2" xfId="39257"/>
    <cellStyle name="Percent 28 5 2 2 5" xfId="26952"/>
    <cellStyle name="Percent 28 5 2 3" xfId="8560"/>
    <cellStyle name="Percent 28 5 2 3 2" xfId="14754"/>
    <cellStyle name="Percent 28 5 2 3 2 2" xfId="34637"/>
    <cellStyle name="Percent 28 5 2 3 3" xfId="20906"/>
    <cellStyle name="Percent 28 5 2 3 3 2" xfId="40789"/>
    <cellStyle name="Percent 28 5 2 3 4" xfId="28484"/>
    <cellStyle name="Percent 28 5 2 4" xfId="11688"/>
    <cellStyle name="Percent 28 5 2 4 2" xfId="31571"/>
    <cellStyle name="Percent 28 5 2 5" xfId="17840"/>
    <cellStyle name="Percent 28 5 2 5 2" xfId="37723"/>
    <cellStyle name="Percent 28 5 2 6" xfId="25418"/>
    <cellStyle name="Percent 28 5 3" xfId="6233"/>
    <cellStyle name="Percent 28 5 3 2" xfId="9326"/>
    <cellStyle name="Percent 28 5 3 2 2" xfId="15519"/>
    <cellStyle name="Percent 28 5 3 2 2 2" xfId="35402"/>
    <cellStyle name="Percent 28 5 3 2 3" xfId="21671"/>
    <cellStyle name="Percent 28 5 3 2 3 2" xfId="41554"/>
    <cellStyle name="Percent 28 5 3 2 4" xfId="29249"/>
    <cellStyle name="Percent 28 5 3 3" xfId="12453"/>
    <cellStyle name="Percent 28 5 3 3 2" xfId="32336"/>
    <cellStyle name="Percent 28 5 3 4" xfId="18605"/>
    <cellStyle name="Percent 28 5 3 4 2" xfId="38488"/>
    <cellStyle name="Percent 28 5 3 5" xfId="26183"/>
    <cellStyle name="Percent 28 5 4" xfId="7791"/>
    <cellStyle name="Percent 28 5 4 2" xfId="13985"/>
    <cellStyle name="Percent 28 5 4 2 2" xfId="33868"/>
    <cellStyle name="Percent 28 5 4 3" xfId="20137"/>
    <cellStyle name="Percent 28 5 4 3 2" xfId="40020"/>
    <cellStyle name="Percent 28 5 4 4" xfId="27715"/>
    <cellStyle name="Percent 28 5 5" xfId="10919"/>
    <cellStyle name="Percent 28 5 5 2" xfId="30802"/>
    <cellStyle name="Percent 28 5 6" xfId="17071"/>
    <cellStyle name="Percent 28 5 6 2" xfId="36954"/>
    <cellStyle name="Percent 28 5 7" xfId="24649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2 2" xfId="36173"/>
    <cellStyle name="Percent 29 2 2 2 2 2 3" xfId="22442"/>
    <cellStyle name="Percent 29 2 2 2 2 2 3 2" xfId="42325"/>
    <cellStyle name="Percent 29 2 2 2 2 2 4" xfId="30020"/>
    <cellStyle name="Percent 29 2 2 2 2 3" xfId="13224"/>
    <cellStyle name="Percent 29 2 2 2 2 3 2" xfId="33107"/>
    <cellStyle name="Percent 29 2 2 2 2 4" xfId="19376"/>
    <cellStyle name="Percent 29 2 2 2 2 4 2" xfId="39259"/>
    <cellStyle name="Percent 29 2 2 2 2 5" xfId="26954"/>
    <cellStyle name="Percent 29 2 2 2 3" xfId="8562"/>
    <cellStyle name="Percent 29 2 2 2 3 2" xfId="14756"/>
    <cellStyle name="Percent 29 2 2 2 3 2 2" xfId="34639"/>
    <cellStyle name="Percent 29 2 2 2 3 3" xfId="20908"/>
    <cellStyle name="Percent 29 2 2 2 3 3 2" xfId="40791"/>
    <cellStyle name="Percent 29 2 2 2 3 4" xfId="28486"/>
    <cellStyle name="Percent 29 2 2 2 4" xfId="11690"/>
    <cellStyle name="Percent 29 2 2 2 4 2" xfId="31573"/>
    <cellStyle name="Percent 29 2 2 2 5" xfId="17842"/>
    <cellStyle name="Percent 29 2 2 2 5 2" xfId="37725"/>
    <cellStyle name="Percent 29 2 2 2 6" xfId="25420"/>
    <cellStyle name="Percent 29 2 2 3" xfId="6236"/>
    <cellStyle name="Percent 29 2 2 3 2" xfId="9328"/>
    <cellStyle name="Percent 29 2 2 3 2 2" xfId="15521"/>
    <cellStyle name="Percent 29 2 2 3 2 2 2" xfId="35404"/>
    <cellStyle name="Percent 29 2 2 3 2 3" xfId="21673"/>
    <cellStyle name="Percent 29 2 2 3 2 3 2" xfId="41556"/>
    <cellStyle name="Percent 29 2 2 3 2 4" xfId="29251"/>
    <cellStyle name="Percent 29 2 2 3 3" xfId="12455"/>
    <cellStyle name="Percent 29 2 2 3 3 2" xfId="32338"/>
    <cellStyle name="Percent 29 2 2 3 4" xfId="18607"/>
    <cellStyle name="Percent 29 2 2 3 4 2" xfId="38490"/>
    <cellStyle name="Percent 29 2 2 3 5" xfId="26185"/>
    <cellStyle name="Percent 29 2 2 4" xfId="7793"/>
    <cellStyle name="Percent 29 2 2 4 2" xfId="13987"/>
    <cellStyle name="Percent 29 2 2 4 2 2" xfId="33870"/>
    <cellStyle name="Percent 29 2 2 4 3" xfId="20139"/>
    <cellStyle name="Percent 29 2 2 4 3 2" xfId="40022"/>
    <cellStyle name="Percent 29 2 2 4 4" xfId="27717"/>
    <cellStyle name="Percent 29 2 2 5" xfId="10921"/>
    <cellStyle name="Percent 29 2 2 5 2" xfId="30804"/>
    <cellStyle name="Percent 29 2 2 6" xfId="17073"/>
    <cellStyle name="Percent 29 2 2 6 2" xfId="36956"/>
    <cellStyle name="Percent 29 2 2 7" xfId="24651"/>
    <cellStyle name="Percent 29 2 3" xfId="5385"/>
    <cellStyle name="Percent 29 2 3 2" xfId="7010"/>
    <cellStyle name="Percent 29 2 3 2 2" xfId="10096"/>
    <cellStyle name="Percent 29 2 3 2 2 2" xfId="16289"/>
    <cellStyle name="Percent 29 2 3 2 2 2 2" xfId="36172"/>
    <cellStyle name="Percent 29 2 3 2 2 3" xfId="22441"/>
    <cellStyle name="Percent 29 2 3 2 2 3 2" xfId="42324"/>
    <cellStyle name="Percent 29 2 3 2 2 4" xfId="30019"/>
    <cellStyle name="Percent 29 2 3 2 3" xfId="13223"/>
    <cellStyle name="Percent 29 2 3 2 3 2" xfId="33106"/>
    <cellStyle name="Percent 29 2 3 2 4" xfId="19375"/>
    <cellStyle name="Percent 29 2 3 2 4 2" xfId="39258"/>
    <cellStyle name="Percent 29 2 3 2 5" xfId="26953"/>
    <cellStyle name="Percent 29 2 3 3" xfId="8561"/>
    <cellStyle name="Percent 29 2 3 3 2" xfId="14755"/>
    <cellStyle name="Percent 29 2 3 3 2 2" xfId="34638"/>
    <cellStyle name="Percent 29 2 3 3 3" xfId="20907"/>
    <cellStyle name="Percent 29 2 3 3 3 2" xfId="40790"/>
    <cellStyle name="Percent 29 2 3 3 4" xfId="28485"/>
    <cellStyle name="Percent 29 2 3 4" xfId="11689"/>
    <cellStyle name="Percent 29 2 3 4 2" xfId="31572"/>
    <cellStyle name="Percent 29 2 3 5" xfId="17841"/>
    <cellStyle name="Percent 29 2 3 5 2" xfId="37724"/>
    <cellStyle name="Percent 29 2 3 6" xfId="25419"/>
    <cellStyle name="Percent 29 2 4" xfId="6235"/>
    <cellStyle name="Percent 29 2 4 2" xfId="9327"/>
    <cellStyle name="Percent 29 2 4 2 2" xfId="15520"/>
    <cellStyle name="Percent 29 2 4 2 2 2" xfId="35403"/>
    <cellStyle name="Percent 29 2 4 2 3" xfId="21672"/>
    <cellStyle name="Percent 29 2 4 2 3 2" xfId="41555"/>
    <cellStyle name="Percent 29 2 4 2 4" xfId="29250"/>
    <cellStyle name="Percent 29 2 4 3" xfId="12454"/>
    <cellStyle name="Percent 29 2 4 3 2" xfId="32337"/>
    <cellStyle name="Percent 29 2 4 4" xfId="18606"/>
    <cellStyle name="Percent 29 2 4 4 2" xfId="38489"/>
    <cellStyle name="Percent 29 2 4 5" xfId="26184"/>
    <cellStyle name="Percent 29 2 5" xfId="7792"/>
    <cellStyle name="Percent 29 2 5 2" xfId="13986"/>
    <cellStyle name="Percent 29 2 5 2 2" xfId="33869"/>
    <cellStyle name="Percent 29 2 5 3" xfId="20138"/>
    <cellStyle name="Percent 29 2 5 3 2" xfId="40021"/>
    <cellStyle name="Percent 29 2 5 4" xfId="27716"/>
    <cellStyle name="Percent 29 2 6" xfId="10920"/>
    <cellStyle name="Percent 29 2 6 2" xfId="30803"/>
    <cellStyle name="Percent 29 2 7" xfId="17072"/>
    <cellStyle name="Percent 29 2 7 2" xfId="36955"/>
    <cellStyle name="Percent 29 2 8" xfId="24650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2 2" xfId="36175"/>
    <cellStyle name="Percent 29 3 2 2 2 2 3" xfId="22444"/>
    <cellStyle name="Percent 29 3 2 2 2 2 3 2" xfId="42327"/>
    <cellStyle name="Percent 29 3 2 2 2 2 4" xfId="30022"/>
    <cellStyle name="Percent 29 3 2 2 2 3" xfId="13226"/>
    <cellStyle name="Percent 29 3 2 2 2 3 2" xfId="33109"/>
    <cellStyle name="Percent 29 3 2 2 2 4" xfId="19378"/>
    <cellStyle name="Percent 29 3 2 2 2 4 2" xfId="39261"/>
    <cellStyle name="Percent 29 3 2 2 2 5" xfId="26956"/>
    <cellStyle name="Percent 29 3 2 2 3" xfId="8564"/>
    <cellStyle name="Percent 29 3 2 2 3 2" xfId="14758"/>
    <cellStyle name="Percent 29 3 2 2 3 2 2" xfId="34641"/>
    <cellStyle name="Percent 29 3 2 2 3 3" xfId="20910"/>
    <cellStyle name="Percent 29 3 2 2 3 3 2" xfId="40793"/>
    <cellStyle name="Percent 29 3 2 2 3 4" xfId="28488"/>
    <cellStyle name="Percent 29 3 2 2 4" xfId="11692"/>
    <cellStyle name="Percent 29 3 2 2 4 2" xfId="31575"/>
    <cellStyle name="Percent 29 3 2 2 5" xfId="17844"/>
    <cellStyle name="Percent 29 3 2 2 5 2" xfId="37727"/>
    <cellStyle name="Percent 29 3 2 2 6" xfId="25422"/>
    <cellStyle name="Percent 29 3 2 3" xfId="6238"/>
    <cellStyle name="Percent 29 3 2 3 2" xfId="9330"/>
    <cellStyle name="Percent 29 3 2 3 2 2" xfId="15523"/>
    <cellStyle name="Percent 29 3 2 3 2 2 2" xfId="35406"/>
    <cellStyle name="Percent 29 3 2 3 2 3" xfId="21675"/>
    <cellStyle name="Percent 29 3 2 3 2 3 2" xfId="41558"/>
    <cellStyle name="Percent 29 3 2 3 2 4" xfId="29253"/>
    <cellStyle name="Percent 29 3 2 3 3" xfId="12457"/>
    <cellStyle name="Percent 29 3 2 3 3 2" xfId="32340"/>
    <cellStyle name="Percent 29 3 2 3 4" xfId="18609"/>
    <cellStyle name="Percent 29 3 2 3 4 2" xfId="38492"/>
    <cellStyle name="Percent 29 3 2 3 5" xfId="26187"/>
    <cellStyle name="Percent 29 3 2 4" xfId="7795"/>
    <cellStyle name="Percent 29 3 2 4 2" xfId="13989"/>
    <cellStyle name="Percent 29 3 2 4 2 2" xfId="33872"/>
    <cellStyle name="Percent 29 3 2 4 3" xfId="20141"/>
    <cellStyle name="Percent 29 3 2 4 3 2" xfId="40024"/>
    <cellStyle name="Percent 29 3 2 4 4" xfId="27719"/>
    <cellStyle name="Percent 29 3 2 5" xfId="10923"/>
    <cellStyle name="Percent 29 3 2 5 2" xfId="30806"/>
    <cellStyle name="Percent 29 3 2 6" xfId="17075"/>
    <cellStyle name="Percent 29 3 2 6 2" xfId="36958"/>
    <cellStyle name="Percent 29 3 2 7" xfId="24653"/>
    <cellStyle name="Percent 29 3 3" xfId="5387"/>
    <cellStyle name="Percent 29 3 3 2" xfId="7012"/>
    <cellStyle name="Percent 29 3 3 2 2" xfId="10098"/>
    <cellStyle name="Percent 29 3 3 2 2 2" xfId="16291"/>
    <cellStyle name="Percent 29 3 3 2 2 2 2" xfId="36174"/>
    <cellStyle name="Percent 29 3 3 2 2 3" xfId="22443"/>
    <cellStyle name="Percent 29 3 3 2 2 3 2" xfId="42326"/>
    <cellStyle name="Percent 29 3 3 2 2 4" xfId="30021"/>
    <cellStyle name="Percent 29 3 3 2 3" xfId="13225"/>
    <cellStyle name="Percent 29 3 3 2 3 2" xfId="33108"/>
    <cellStyle name="Percent 29 3 3 2 4" xfId="19377"/>
    <cellStyle name="Percent 29 3 3 2 4 2" xfId="39260"/>
    <cellStyle name="Percent 29 3 3 2 5" xfId="26955"/>
    <cellStyle name="Percent 29 3 3 3" xfId="8563"/>
    <cellStyle name="Percent 29 3 3 3 2" xfId="14757"/>
    <cellStyle name="Percent 29 3 3 3 2 2" xfId="34640"/>
    <cellStyle name="Percent 29 3 3 3 3" xfId="20909"/>
    <cellStyle name="Percent 29 3 3 3 3 2" xfId="40792"/>
    <cellStyle name="Percent 29 3 3 3 4" xfId="28487"/>
    <cellStyle name="Percent 29 3 3 4" xfId="11691"/>
    <cellStyle name="Percent 29 3 3 4 2" xfId="31574"/>
    <cellStyle name="Percent 29 3 3 5" xfId="17843"/>
    <cellStyle name="Percent 29 3 3 5 2" xfId="37726"/>
    <cellStyle name="Percent 29 3 3 6" xfId="25421"/>
    <cellStyle name="Percent 29 3 4" xfId="6237"/>
    <cellStyle name="Percent 29 3 4 2" xfId="9329"/>
    <cellStyle name="Percent 29 3 4 2 2" xfId="15522"/>
    <cellStyle name="Percent 29 3 4 2 2 2" xfId="35405"/>
    <cellStyle name="Percent 29 3 4 2 3" xfId="21674"/>
    <cellStyle name="Percent 29 3 4 2 3 2" xfId="41557"/>
    <cellStyle name="Percent 29 3 4 2 4" xfId="29252"/>
    <cellStyle name="Percent 29 3 4 3" xfId="12456"/>
    <cellStyle name="Percent 29 3 4 3 2" xfId="32339"/>
    <cellStyle name="Percent 29 3 4 4" xfId="18608"/>
    <cellStyle name="Percent 29 3 4 4 2" xfId="38491"/>
    <cellStyle name="Percent 29 3 4 5" xfId="26186"/>
    <cellStyle name="Percent 29 3 5" xfId="7794"/>
    <cellStyle name="Percent 29 3 5 2" xfId="13988"/>
    <cellStyle name="Percent 29 3 5 2 2" xfId="33871"/>
    <cellStyle name="Percent 29 3 5 3" xfId="20140"/>
    <cellStyle name="Percent 29 3 5 3 2" xfId="40023"/>
    <cellStyle name="Percent 29 3 5 4" xfId="27718"/>
    <cellStyle name="Percent 29 3 6" xfId="10922"/>
    <cellStyle name="Percent 29 3 6 2" xfId="30805"/>
    <cellStyle name="Percent 29 3 7" xfId="17074"/>
    <cellStyle name="Percent 29 3 7 2" xfId="36957"/>
    <cellStyle name="Percent 29 3 8" xfId="24652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2 2" xfId="36176"/>
    <cellStyle name="Percent 29 4 2 2 2 2 3" xfId="22445"/>
    <cellStyle name="Percent 29 4 2 2 2 2 3 2" xfId="42328"/>
    <cellStyle name="Percent 29 4 2 2 2 2 4" xfId="30023"/>
    <cellStyle name="Percent 29 4 2 2 2 3" xfId="13227"/>
    <cellStyle name="Percent 29 4 2 2 2 3 2" xfId="33110"/>
    <cellStyle name="Percent 29 4 2 2 2 4" xfId="19379"/>
    <cellStyle name="Percent 29 4 2 2 2 4 2" xfId="39262"/>
    <cellStyle name="Percent 29 4 2 2 2 5" xfId="26957"/>
    <cellStyle name="Percent 29 4 2 2 3" xfId="8565"/>
    <cellStyle name="Percent 29 4 2 2 3 2" xfId="14759"/>
    <cellStyle name="Percent 29 4 2 2 3 2 2" xfId="34642"/>
    <cellStyle name="Percent 29 4 2 2 3 3" xfId="20911"/>
    <cellStyle name="Percent 29 4 2 2 3 3 2" xfId="40794"/>
    <cellStyle name="Percent 29 4 2 2 3 4" xfId="28489"/>
    <cellStyle name="Percent 29 4 2 2 4" xfId="11693"/>
    <cellStyle name="Percent 29 4 2 2 4 2" xfId="31576"/>
    <cellStyle name="Percent 29 4 2 2 5" xfId="17845"/>
    <cellStyle name="Percent 29 4 2 2 5 2" xfId="37728"/>
    <cellStyle name="Percent 29 4 2 2 6" xfId="25423"/>
    <cellStyle name="Percent 29 4 2 3" xfId="6239"/>
    <cellStyle name="Percent 29 4 2 3 2" xfId="9331"/>
    <cellStyle name="Percent 29 4 2 3 2 2" xfId="15524"/>
    <cellStyle name="Percent 29 4 2 3 2 2 2" xfId="35407"/>
    <cellStyle name="Percent 29 4 2 3 2 3" xfId="21676"/>
    <cellStyle name="Percent 29 4 2 3 2 3 2" xfId="41559"/>
    <cellStyle name="Percent 29 4 2 3 2 4" xfId="29254"/>
    <cellStyle name="Percent 29 4 2 3 3" xfId="12458"/>
    <cellStyle name="Percent 29 4 2 3 3 2" xfId="32341"/>
    <cellStyle name="Percent 29 4 2 3 4" xfId="18610"/>
    <cellStyle name="Percent 29 4 2 3 4 2" xfId="38493"/>
    <cellStyle name="Percent 29 4 2 3 5" xfId="26188"/>
    <cellStyle name="Percent 29 4 2 4" xfId="7796"/>
    <cellStyle name="Percent 29 4 2 4 2" xfId="13990"/>
    <cellStyle name="Percent 29 4 2 4 2 2" xfId="33873"/>
    <cellStyle name="Percent 29 4 2 4 3" xfId="20142"/>
    <cellStyle name="Percent 29 4 2 4 3 2" xfId="40025"/>
    <cellStyle name="Percent 29 4 2 4 4" xfId="27720"/>
    <cellStyle name="Percent 29 4 2 5" xfId="10924"/>
    <cellStyle name="Percent 29 4 2 5 2" xfId="30807"/>
    <cellStyle name="Percent 29 4 2 6" xfId="17076"/>
    <cellStyle name="Percent 29 4 2 6 2" xfId="36959"/>
    <cellStyle name="Percent 29 4 2 7" xfId="24654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2 2" xfId="36177"/>
    <cellStyle name="Percent 29 5 2 2 2 3" xfId="22446"/>
    <cellStyle name="Percent 29 5 2 2 2 3 2" xfId="42329"/>
    <cellStyle name="Percent 29 5 2 2 2 4" xfId="30024"/>
    <cellStyle name="Percent 29 5 2 2 3" xfId="13228"/>
    <cellStyle name="Percent 29 5 2 2 3 2" xfId="33111"/>
    <cellStyle name="Percent 29 5 2 2 4" xfId="19380"/>
    <cellStyle name="Percent 29 5 2 2 4 2" xfId="39263"/>
    <cellStyle name="Percent 29 5 2 2 5" xfId="26958"/>
    <cellStyle name="Percent 29 5 2 3" xfId="8566"/>
    <cellStyle name="Percent 29 5 2 3 2" xfId="14760"/>
    <cellStyle name="Percent 29 5 2 3 2 2" xfId="34643"/>
    <cellStyle name="Percent 29 5 2 3 3" xfId="20912"/>
    <cellStyle name="Percent 29 5 2 3 3 2" xfId="40795"/>
    <cellStyle name="Percent 29 5 2 3 4" xfId="28490"/>
    <cellStyle name="Percent 29 5 2 4" xfId="11694"/>
    <cellStyle name="Percent 29 5 2 4 2" xfId="31577"/>
    <cellStyle name="Percent 29 5 2 5" xfId="17846"/>
    <cellStyle name="Percent 29 5 2 5 2" xfId="37729"/>
    <cellStyle name="Percent 29 5 2 6" xfId="25424"/>
    <cellStyle name="Percent 29 5 3" xfId="6240"/>
    <cellStyle name="Percent 29 5 3 2" xfId="9332"/>
    <cellStyle name="Percent 29 5 3 2 2" xfId="15525"/>
    <cellStyle name="Percent 29 5 3 2 2 2" xfId="35408"/>
    <cellStyle name="Percent 29 5 3 2 3" xfId="21677"/>
    <cellStyle name="Percent 29 5 3 2 3 2" xfId="41560"/>
    <cellStyle name="Percent 29 5 3 2 4" xfId="29255"/>
    <cellStyle name="Percent 29 5 3 3" xfId="12459"/>
    <cellStyle name="Percent 29 5 3 3 2" xfId="32342"/>
    <cellStyle name="Percent 29 5 3 4" xfId="18611"/>
    <cellStyle name="Percent 29 5 3 4 2" xfId="38494"/>
    <cellStyle name="Percent 29 5 3 5" xfId="26189"/>
    <cellStyle name="Percent 29 5 4" xfId="7797"/>
    <cellStyle name="Percent 29 5 4 2" xfId="13991"/>
    <cellStyle name="Percent 29 5 4 2 2" xfId="33874"/>
    <cellStyle name="Percent 29 5 4 3" xfId="20143"/>
    <cellStyle name="Percent 29 5 4 3 2" xfId="40026"/>
    <cellStyle name="Percent 29 5 4 4" xfId="27721"/>
    <cellStyle name="Percent 29 5 5" xfId="10925"/>
    <cellStyle name="Percent 29 5 5 2" xfId="30808"/>
    <cellStyle name="Percent 29 5 6" xfId="17077"/>
    <cellStyle name="Percent 29 5 6 2" xfId="36960"/>
    <cellStyle name="Percent 29 5 7" xfId="24655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2 2" xfId="36178"/>
    <cellStyle name="Percent 3 10 2 2 2 3" xfId="22447"/>
    <cellStyle name="Percent 3 10 2 2 2 3 2" xfId="42330"/>
    <cellStyle name="Percent 3 10 2 2 2 4" xfId="30025"/>
    <cellStyle name="Percent 3 10 2 2 3" xfId="13229"/>
    <cellStyle name="Percent 3 10 2 2 3 2" xfId="33112"/>
    <cellStyle name="Percent 3 10 2 2 4" xfId="19381"/>
    <cellStyle name="Percent 3 10 2 2 4 2" xfId="39264"/>
    <cellStyle name="Percent 3 10 2 2 5" xfId="26959"/>
    <cellStyle name="Percent 3 10 2 3" xfId="8567"/>
    <cellStyle name="Percent 3 10 2 3 2" xfId="14761"/>
    <cellStyle name="Percent 3 10 2 3 2 2" xfId="34644"/>
    <cellStyle name="Percent 3 10 2 3 3" xfId="20913"/>
    <cellStyle name="Percent 3 10 2 3 3 2" xfId="40796"/>
    <cellStyle name="Percent 3 10 2 3 4" xfId="28491"/>
    <cellStyle name="Percent 3 10 2 4" xfId="11695"/>
    <cellStyle name="Percent 3 10 2 4 2" xfId="31578"/>
    <cellStyle name="Percent 3 10 2 5" xfId="17847"/>
    <cellStyle name="Percent 3 10 2 5 2" xfId="37730"/>
    <cellStyle name="Percent 3 10 2 6" xfId="25425"/>
    <cellStyle name="Percent 3 10 3" xfId="6241"/>
    <cellStyle name="Percent 3 10 3 2" xfId="9333"/>
    <cellStyle name="Percent 3 10 3 2 2" xfId="15526"/>
    <cellStyle name="Percent 3 10 3 2 2 2" xfId="35409"/>
    <cellStyle name="Percent 3 10 3 2 3" xfId="21678"/>
    <cellStyle name="Percent 3 10 3 2 3 2" xfId="41561"/>
    <cellStyle name="Percent 3 10 3 2 4" xfId="29256"/>
    <cellStyle name="Percent 3 10 3 3" xfId="12460"/>
    <cellStyle name="Percent 3 10 3 3 2" xfId="32343"/>
    <cellStyle name="Percent 3 10 3 4" xfId="18612"/>
    <cellStyle name="Percent 3 10 3 4 2" xfId="38495"/>
    <cellStyle name="Percent 3 10 3 5" xfId="26190"/>
    <cellStyle name="Percent 3 10 4" xfId="7798"/>
    <cellStyle name="Percent 3 10 4 2" xfId="13992"/>
    <cellStyle name="Percent 3 10 4 2 2" xfId="33875"/>
    <cellStyle name="Percent 3 10 4 3" xfId="20144"/>
    <cellStyle name="Percent 3 10 4 3 2" xfId="40027"/>
    <cellStyle name="Percent 3 10 4 4" xfId="27722"/>
    <cellStyle name="Percent 3 10 5" xfId="10926"/>
    <cellStyle name="Percent 3 10 5 2" xfId="30809"/>
    <cellStyle name="Percent 3 10 6" xfId="17078"/>
    <cellStyle name="Percent 3 10 6 2" xfId="36961"/>
    <cellStyle name="Percent 3 10 7" xfId="4350"/>
    <cellStyle name="Percent 3 10 7 2" xfId="24656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2 2" xfId="36179"/>
    <cellStyle name="Percent 3 11 2 2 2 3" xfId="22448"/>
    <cellStyle name="Percent 3 11 2 2 2 3 2" xfId="42331"/>
    <cellStyle name="Percent 3 11 2 2 2 4" xfId="30026"/>
    <cellStyle name="Percent 3 11 2 2 3" xfId="13230"/>
    <cellStyle name="Percent 3 11 2 2 3 2" xfId="33113"/>
    <cellStyle name="Percent 3 11 2 2 4" xfId="19382"/>
    <cellStyle name="Percent 3 11 2 2 4 2" xfId="39265"/>
    <cellStyle name="Percent 3 11 2 2 5" xfId="26960"/>
    <cellStyle name="Percent 3 11 2 3" xfId="8568"/>
    <cellStyle name="Percent 3 11 2 3 2" xfId="14762"/>
    <cellStyle name="Percent 3 11 2 3 2 2" xfId="34645"/>
    <cellStyle name="Percent 3 11 2 3 3" xfId="20914"/>
    <cellStyle name="Percent 3 11 2 3 3 2" xfId="40797"/>
    <cellStyle name="Percent 3 11 2 3 4" xfId="28492"/>
    <cellStyle name="Percent 3 11 2 4" xfId="11696"/>
    <cellStyle name="Percent 3 11 2 4 2" xfId="31579"/>
    <cellStyle name="Percent 3 11 2 5" xfId="17848"/>
    <cellStyle name="Percent 3 11 2 5 2" xfId="37731"/>
    <cellStyle name="Percent 3 11 2 6" xfId="25426"/>
    <cellStyle name="Percent 3 11 3" xfId="6242"/>
    <cellStyle name="Percent 3 11 3 2" xfId="9334"/>
    <cellStyle name="Percent 3 11 3 2 2" xfId="15527"/>
    <cellStyle name="Percent 3 11 3 2 2 2" xfId="35410"/>
    <cellStyle name="Percent 3 11 3 2 3" xfId="21679"/>
    <cellStyle name="Percent 3 11 3 2 3 2" xfId="41562"/>
    <cellStyle name="Percent 3 11 3 2 4" xfId="29257"/>
    <cellStyle name="Percent 3 11 3 3" xfId="12461"/>
    <cellStyle name="Percent 3 11 3 3 2" xfId="32344"/>
    <cellStyle name="Percent 3 11 3 4" xfId="18613"/>
    <cellStyle name="Percent 3 11 3 4 2" xfId="38496"/>
    <cellStyle name="Percent 3 11 3 5" xfId="26191"/>
    <cellStyle name="Percent 3 11 4" xfId="7799"/>
    <cellStyle name="Percent 3 11 4 2" xfId="13993"/>
    <cellStyle name="Percent 3 11 4 2 2" xfId="33876"/>
    <cellStyle name="Percent 3 11 4 3" xfId="20145"/>
    <cellStyle name="Percent 3 11 4 3 2" xfId="40028"/>
    <cellStyle name="Percent 3 11 4 4" xfId="27723"/>
    <cellStyle name="Percent 3 11 5" xfId="10927"/>
    <cellStyle name="Percent 3 11 5 2" xfId="30810"/>
    <cellStyle name="Percent 3 11 6" xfId="17079"/>
    <cellStyle name="Percent 3 11 6 2" xfId="36962"/>
    <cellStyle name="Percent 3 11 7" xfId="4351"/>
    <cellStyle name="Percent 3 11 7 2" xfId="24657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2 2" xfId="36180"/>
    <cellStyle name="Percent 3 12 2 2 2 3" xfId="22449"/>
    <cellStyle name="Percent 3 12 2 2 2 3 2" xfId="42332"/>
    <cellStyle name="Percent 3 12 2 2 2 4" xfId="30027"/>
    <cellStyle name="Percent 3 12 2 2 3" xfId="13231"/>
    <cellStyle name="Percent 3 12 2 2 3 2" xfId="33114"/>
    <cellStyle name="Percent 3 12 2 2 4" xfId="19383"/>
    <cellStyle name="Percent 3 12 2 2 4 2" xfId="39266"/>
    <cellStyle name="Percent 3 12 2 2 5" xfId="26961"/>
    <cellStyle name="Percent 3 12 2 3" xfId="8569"/>
    <cellStyle name="Percent 3 12 2 3 2" xfId="14763"/>
    <cellStyle name="Percent 3 12 2 3 2 2" xfId="34646"/>
    <cellStyle name="Percent 3 12 2 3 3" xfId="20915"/>
    <cellStyle name="Percent 3 12 2 3 3 2" xfId="40798"/>
    <cellStyle name="Percent 3 12 2 3 4" xfId="28493"/>
    <cellStyle name="Percent 3 12 2 4" xfId="11697"/>
    <cellStyle name="Percent 3 12 2 4 2" xfId="31580"/>
    <cellStyle name="Percent 3 12 2 5" xfId="17849"/>
    <cellStyle name="Percent 3 12 2 5 2" xfId="37732"/>
    <cellStyle name="Percent 3 12 2 6" xfId="25427"/>
    <cellStyle name="Percent 3 12 3" xfId="6243"/>
    <cellStyle name="Percent 3 12 3 2" xfId="9335"/>
    <cellStyle name="Percent 3 12 3 2 2" xfId="15528"/>
    <cellStyle name="Percent 3 12 3 2 2 2" xfId="35411"/>
    <cellStyle name="Percent 3 12 3 2 3" xfId="21680"/>
    <cellStyle name="Percent 3 12 3 2 3 2" xfId="41563"/>
    <cellStyle name="Percent 3 12 3 2 4" xfId="29258"/>
    <cellStyle name="Percent 3 12 3 3" xfId="12462"/>
    <cellStyle name="Percent 3 12 3 3 2" xfId="32345"/>
    <cellStyle name="Percent 3 12 3 4" xfId="18614"/>
    <cellStyle name="Percent 3 12 3 4 2" xfId="38497"/>
    <cellStyle name="Percent 3 12 3 5" xfId="26192"/>
    <cellStyle name="Percent 3 12 4" xfId="7800"/>
    <cellStyle name="Percent 3 12 4 2" xfId="13994"/>
    <cellStyle name="Percent 3 12 4 2 2" xfId="33877"/>
    <cellStyle name="Percent 3 12 4 3" xfId="20146"/>
    <cellStyle name="Percent 3 12 4 3 2" xfId="40029"/>
    <cellStyle name="Percent 3 12 4 4" xfId="27724"/>
    <cellStyle name="Percent 3 12 5" xfId="10928"/>
    <cellStyle name="Percent 3 12 5 2" xfId="30811"/>
    <cellStyle name="Percent 3 12 6" xfId="17080"/>
    <cellStyle name="Percent 3 12 6 2" xfId="36963"/>
    <cellStyle name="Percent 3 12 7" xfId="4352"/>
    <cellStyle name="Percent 3 12 7 2" xfId="24658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2 2" xfId="36181"/>
    <cellStyle name="Percent 3 13 2 2 2 3" xfId="22450"/>
    <cellStyle name="Percent 3 13 2 2 2 3 2" xfId="42333"/>
    <cellStyle name="Percent 3 13 2 2 2 4" xfId="30028"/>
    <cellStyle name="Percent 3 13 2 2 3" xfId="13232"/>
    <cellStyle name="Percent 3 13 2 2 3 2" xfId="33115"/>
    <cellStyle name="Percent 3 13 2 2 4" xfId="19384"/>
    <cellStyle name="Percent 3 13 2 2 4 2" xfId="39267"/>
    <cellStyle name="Percent 3 13 2 2 5" xfId="26962"/>
    <cellStyle name="Percent 3 13 2 3" xfId="8570"/>
    <cellStyle name="Percent 3 13 2 3 2" xfId="14764"/>
    <cellStyle name="Percent 3 13 2 3 2 2" xfId="34647"/>
    <cellStyle name="Percent 3 13 2 3 3" xfId="20916"/>
    <cellStyle name="Percent 3 13 2 3 3 2" xfId="40799"/>
    <cellStyle name="Percent 3 13 2 3 4" xfId="28494"/>
    <cellStyle name="Percent 3 13 2 4" xfId="11698"/>
    <cellStyle name="Percent 3 13 2 4 2" xfId="31581"/>
    <cellStyle name="Percent 3 13 2 5" xfId="17850"/>
    <cellStyle name="Percent 3 13 2 5 2" xfId="37733"/>
    <cellStyle name="Percent 3 13 2 6" xfId="25428"/>
    <cellStyle name="Percent 3 13 3" xfId="6244"/>
    <cellStyle name="Percent 3 13 3 2" xfId="9336"/>
    <cellStyle name="Percent 3 13 3 2 2" xfId="15529"/>
    <cellStyle name="Percent 3 13 3 2 2 2" xfId="35412"/>
    <cellStyle name="Percent 3 13 3 2 3" xfId="21681"/>
    <cellStyle name="Percent 3 13 3 2 3 2" xfId="41564"/>
    <cellStyle name="Percent 3 13 3 2 4" xfId="29259"/>
    <cellStyle name="Percent 3 13 3 3" xfId="12463"/>
    <cellStyle name="Percent 3 13 3 3 2" xfId="32346"/>
    <cellStyle name="Percent 3 13 3 4" xfId="18615"/>
    <cellStyle name="Percent 3 13 3 4 2" xfId="38498"/>
    <cellStyle name="Percent 3 13 3 5" xfId="26193"/>
    <cellStyle name="Percent 3 13 4" xfId="7801"/>
    <cellStyle name="Percent 3 13 4 2" xfId="13995"/>
    <cellStyle name="Percent 3 13 4 2 2" xfId="33878"/>
    <cellStyle name="Percent 3 13 4 3" xfId="20147"/>
    <cellStyle name="Percent 3 13 4 3 2" xfId="40030"/>
    <cellStyle name="Percent 3 13 4 4" xfId="27725"/>
    <cellStyle name="Percent 3 13 5" xfId="10929"/>
    <cellStyle name="Percent 3 13 5 2" xfId="30812"/>
    <cellStyle name="Percent 3 13 6" xfId="17081"/>
    <cellStyle name="Percent 3 13 6 2" xfId="36964"/>
    <cellStyle name="Percent 3 13 7" xfId="4353"/>
    <cellStyle name="Percent 3 13 7 2" xfId="24659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2 2" xfId="36182"/>
    <cellStyle name="Percent 3 14 2 2 2 3" xfId="22451"/>
    <cellStyle name="Percent 3 14 2 2 2 3 2" xfId="42334"/>
    <cellStyle name="Percent 3 14 2 2 2 4" xfId="30029"/>
    <cellStyle name="Percent 3 14 2 2 3" xfId="13233"/>
    <cellStyle name="Percent 3 14 2 2 3 2" xfId="33116"/>
    <cellStyle name="Percent 3 14 2 2 4" xfId="19385"/>
    <cellStyle name="Percent 3 14 2 2 4 2" xfId="39268"/>
    <cellStyle name="Percent 3 14 2 2 5" xfId="26963"/>
    <cellStyle name="Percent 3 14 2 3" xfId="8571"/>
    <cellStyle name="Percent 3 14 2 3 2" xfId="14765"/>
    <cellStyle name="Percent 3 14 2 3 2 2" xfId="34648"/>
    <cellStyle name="Percent 3 14 2 3 3" xfId="20917"/>
    <cellStyle name="Percent 3 14 2 3 3 2" xfId="40800"/>
    <cellStyle name="Percent 3 14 2 3 4" xfId="28495"/>
    <cellStyle name="Percent 3 14 2 4" xfId="11699"/>
    <cellStyle name="Percent 3 14 2 4 2" xfId="31582"/>
    <cellStyle name="Percent 3 14 2 5" xfId="17851"/>
    <cellStyle name="Percent 3 14 2 5 2" xfId="37734"/>
    <cellStyle name="Percent 3 14 2 6" xfId="25429"/>
    <cellStyle name="Percent 3 14 3" xfId="6245"/>
    <cellStyle name="Percent 3 14 3 2" xfId="9337"/>
    <cellStyle name="Percent 3 14 3 2 2" xfId="15530"/>
    <cellStyle name="Percent 3 14 3 2 2 2" xfId="35413"/>
    <cellStyle name="Percent 3 14 3 2 3" xfId="21682"/>
    <cellStyle name="Percent 3 14 3 2 3 2" xfId="41565"/>
    <cellStyle name="Percent 3 14 3 2 4" xfId="29260"/>
    <cellStyle name="Percent 3 14 3 3" xfId="12464"/>
    <cellStyle name="Percent 3 14 3 3 2" xfId="32347"/>
    <cellStyle name="Percent 3 14 3 4" xfId="18616"/>
    <cellStyle name="Percent 3 14 3 4 2" xfId="38499"/>
    <cellStyle name="Percent 3 14 3 5" xfId="26194"/>
    <cellStyle name="Percent 3 14 4" xfId="7802"/>
    <cellStyle name="Percent 3 14 4 2" xfId="13996"/>
    <cellStyle name="Percent 3 14 4 2 2" xfId="33879"/>
    <cellStyle name="Percent 3 14 4 3" xfId="20148"/>
    <cellStyle name="Percent 3 14 4 3 2" xfId="40031"/>
    <cellStyle name="Percent 3 14 4 4" xfId="27726"/>
    <cellStyle name="Percent 3 14 5" xfId="10930"/>
    <cellStyle name="Percent 3 14 5 2" xfId="30813"/>
    <cellStyle name="Percent 3 14 6" xfId="17082"/>
    <cellStyle name="Percent 3 14 6 2" xfId="36965"/>
    <cellStyle name="Percent 3 14 7" xfId="4354"/>
    <cellStyle name="Percent 3 14 7 2" xfId="24660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2 2" xfId="36183"/>
    <cellStyle name="Percent 3 15 2 2 2 3" xfId="22452"/>
    <cellStyle name="Percent 3 15 2 2 2 3 2" xfId="42335"/>
    <cellStyle name="Percent 3 15 2 2 2 4" xfId="30030"/>
    <cellStyle name="Percent 3 15 2 2 3" xfId="13234"/>
    <cellStyle name="Percent 3 15 2 2 3 2" xfId="33117"/>
    <cellStyle name="Percent 3 15 2 2 4" xfId="19386"/>
    <cellStyle name="Percent 3 15 2 2 4 2" xfId="39269"/>
    <cellStyle name="Percent 3 15 2 2 5" xfId="26964"/>
    <cellStyle name="Percent 3 15 2 3" xfId="8572"/>
    <cellStyle name="Percent 3 15 2 3 2" xfId="14766"/>
    <cellStyle name="Percent 3 15 2 3 2 2" xfId="34649"/>
    <cellStyle name="Percent 3 15 2 3 3" xfId="20918"/>
    <cellStyle name="Percent 3 15 2 3 3 2" xfId="40801"/>
    <cellStyle name="Percent 3 15 2 3 4" xfId="28496"/>
    <cellStyle name="Percent 3 15 2 4" xfId="11700"/>
    <cellStyle name="Percent 3 15 2 4 2" xfId="31583"/>
    <cellStyle name="Percent 3 15 2 5" xfId="17852"/>
    <cellStyle name="Percent 3 15 2 5 2" xfId="37735"/>
    <cellStyle name="Percent 3 15 2 6" xfId="25430"/>
    <cellStyle name="Percent 3 15 3" xfId="6246"/>
    <cellStyle name="Percent 3 15 3 2" xfId="9338"/>
    <cellStyle name="Percent 3 15 3 2 2" xfId="15531"/>
    <cellStyle name="Percent 3 15 3 2 2 2" xfId="35414"/>
    <cellStyle name="Percent 3 15 3 2 3" xfId="21683"/>
    <cellStyle name="Percent 3 15 3 2 3 2" xfId="41566"/>
    <cellStyle name="Percent 3 15 3 2 4" xfId="29261"/>
    <cellStyle name="Percent 3 15 3 3" xfId="12465"/>
    <cellStyle name="Percent 3 15 3 3 2" xfId="32348"/>
    <cellStyle name="Percent 3 15 3 4" xfId="18617"/>
    <cellStyle name="Percent 3 15 3 4 2" xfId="38500"/>
    <cellStyle name="Percent 3 15 3 5" xfId="26195"/>
    <cellStyle name="Percent 3 15 4" xfId="7803"/>
    <cellStyle name="Percent 3 15 4 2" xfId="13997"/>
    <cellStyle name="Percent 3 15 4 2 2" xfId="33880"/>
    <cellStyle name="Percent 3 15 4 3" xfId="20149"/>
    <cellStyle name="Percent 3 15 4 3 2" xfId="40032"/>
    <cellStyle name="Percent 3 15 4 4" xfId="27727"/>
    <cellStyle name="Percent 3 15 5" xfId="10931"/>
    <cellStyle name="Percent 3 15 5 2" xfId="30814"/>
    <cellStyle name="Percent 3 15 6" xfId="17083"/>
    <cellStyle name="Percent 3 15 6 2" xfId="36966"/>
    <cellStyle name="Percent 3 15 7" xfId="4355"/>
    <cellStyle name="Percent 3 15 7 2" xfId="24661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2 2" xfId="36184"/>
    <cellStyle name="Percent 3 16 2 2 2 3" xfId="22453"/>
    <cellStyle name="Percent 3 16 2 2 2 3 2" xfId="42336"/>
    <cellStyle name="Percent 3 16 2 2 2 4" xfId="30031"/>
    <cellStyle name="Percent 3 16 2 2 3" xfId="13235"/>
    <cellStyle name="Percent 3 16 2 2 3 2" xfId="33118"/>
    <cellStyle name="Percent 3 16 2 2 4" xfId="19387"/>
    <cellStyle name="Percent 3 16 2 2 4 2" xfId="39270"/>
    <cellStyle name="Percent 3 16 2 2 5" xfId="26965"/>
    <cellStyle name="Percent 3 16 2 3" xfId="8573"/>
    <cellStyle name="Percent 3 16 2 3 2" xfId="14767"/>
    <cellStyle name="Percent 3 16 2 3 2 2" xfId="34650"/>
    <cellStyle name="Percent 3 16 2 3 3" xfId="20919"/>
    <cellStyle name="Percent 3 16 2 3 3 2" xfId="40802"/>
    <cellStyle name="Percent 3 16 2 3 4" xfId="28497"/>
    <cellStyle name="Percent 3 16 2 4" xfId="11701"/>
    <cellStyle name="Percent 3 16 2 4 2" xfId="31584"/>
    <cellStyle name="Percent 3 16 2 5" xfId="17853"/>
    <cellStyle name="Percent 3 16 2 5 2" xfId="37736"/>
    <cellStyle name="Percent 3 16 2 6" xfId="25431"/>
    <cellStyle name="Percent 3 16 3" xfId="6247"/>
    <cellStyle name="Percent 3 16 3 2" xfId="9339"/>
    <cellStyle name="Percent 3 16 3 2 2" xfId="15532"/>
    <cellStyle name="Percent 3 16 3 2 2 2" xfId="35415"/>
    <cellStyle name="Percent 3 16 3 2 3" xfId="21684"/>
    <cellStyle name="Percent 3 16 3 2 3 2" xfId="41567"/>
    <cellStyle name="Percent 3 16 3 2 4" xfId="29262"/>
    <cellStyle name="Percent 3 16 3 3" xfId="12466"/>
    <cellStyle name="Percent 3 16 3 3 2" xfId="32349"/>
    <cellStyle name="Percent 3 16 3 4" xfId="18618"/>
    <cellStyle name="Percent 3 16 3 4 2" xfId="38501"/>
    <cellStyle name="Percent 3 16 3 5" xfId="26196"/>
    <cellStyle name="Percent 3 16 4" xfId="7804"/>
    <cellStyle name="Percent 3 16 4 2" xfId="13998"/>
    <cellStyle name="Percent 3 16 4 2 2" xfId="33881"/>
    <cellStyle name="Percent 3 16 4 3" xfId="20150"/>
    <cellStyle name="Percent 3 16 4 3 2" xfId="40033"/>
    <cellStyle name="Percent 3 16 4 4" xfId="27728"/>
    <cellStyle name="Percent 3 16 5" xfId="10932"/>
    <cellStyle name="Percent 3 16 5 2" xfId="30815"/>
    <cellStyle name="Percent 3 16 6" xfId="17084"/>
    <cellStyle name="Percent 3 16 6 2" xfId="36967"/>
    <cellStyle name="Percent 3 16 7" xfId="4356"/>
    <cellStyle name="Percent 3 16 7 2" xfId="24662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2 2" xfId="36185"/>
    <cellStyle name="Percent 3 17 2 2 2 3" xfId="22454"/>
    <cellStyle name="Percent 3 17 2 2 2 3 2" xfId="42337"/>
    <cellStyle name="Percent 3 17 2 2 2 4" xfId="30032"/>
    <cellStyle name="Percent 3 17 2 2 3" xfId="13236"/>
    <cellStyle name="Percent 3 17 2 2 3 2" xfId="33119"/>
    <cellStyle name="Percent 3 17 2 2 4" xfId="19388"/>
    <cellStyle name="Percent 3 17 2 2 4 2" xfId="39271"/>
    <cellStyle name="Percent 3 17 2 2 5" xfId="26966"/>
    <cellStyle name="Percent 3 17 2 3" xfId="8574"/>
    <cellStyle name="Percent 3 17 2 3 2" xfId="14768"/>
    <cellStyle name="Percent 3 17 2 3 2 2" xfId="34651"/>
    <cellStyle name="Percent 3 17 2 3 3" xfId="20920"/>
    <cellStyle name="Percent 3 17 2 3 3 2" xfId="40803"/>
    <cellStyle name="Percent 3 17 2 3 4" xfId="28498"/>
    <cellStyle name="Percent 3 17 2 4" xfId="11702"/>
    <cellStyle name="Percent 3 17 2 4 2" xfId="31585"/>
    <cellStyle name="Percent 3 17 2 5" xfId="17854"/>
    <cellStyle name="Percent 3 17 2 5 2" xfId="37737"/>
    <cellStyle name="Percent 3 17 2 6" xfId="25432"/>
    <cellStyle name="Percent 3 17 3" xfId="6248"/>
    <cellStyle name="Percent 3 17 3 2" xfId="9340"/>
    <cellStyle name="Percent 3 17 3 2 2" xfId="15533"/>
    <cellStyle name="Percent 3 17 3 2 2 2" xfId="35416"/>
    <cellStyle name="Percent 3 17 3 2 3" xfId="21685"/>
    <cellStyle name="Percent 3 17 3 2 3 2" xfId="41568"/>
    <cellStyle name="Percent 3 17 3 2 4" xfId="29263"/>
    <cellStyle name="Percent 3 17 3 3" xfId="12467"/>
    <cellStyle name="Percent 3 17 3 3 2" xfId="32350"/>
    <cellStyle name="Percent 3 17 3 4" xfId="18619"/>
    <cellStyle name="Percent 3 17 3 4 2" xfId="38502"/>
    <cellStyle name="Percent 3 17 3 5" xfId="26197"/>
    <cellStyle name="Percent 3 17 4" xfId="7805"/>
    <cellStyle name="Percent 3 17 4 2" xfId="13999"/>
    <cellStyle name="Percent 3 17 4 2 2" xfId="33882"/>
    <cellStyle name="Percent 3 17 4 3" xfId="20151"/>
    <cellStyle name="Percent 3 17 4 3 2" xfId="40034"/>
    <cellStyle name="Percent 3 17 4 4" xfId="27729"/>
    <cellStyle name="Percent 3 17 5" xfId="10933"/>
    <cellStyle name="Percent 3 17 5 2" xfId="30816"/>
    <cellStyle name="Percent 3 17 6" xfId="17085"/>
    <cellStyle name="Percent 3 17 6 2" xfId="36968"/>
    <cellStyle name="Percent 3 17 7" xfId="4357"/>
    <cellStyle name="Percent 3 17 7 2" xfId="24663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2 2" xfId="36186"/>
    <cellStyle name="Percent 3 18 2 2 2 3" xfId="22455"/>
    <cellStyle name="Percent 3 18 2 2 2 3 2" xfId="42338"/>
    <cellStyle name="Percent 3 18 2 2 2 4" xfId="30033"/>
    <cellStyle name="Percent 3 18 2 2 3" xfId="13237"/>
    <cellStyle name="Percent 3 18 2 2 3 2" xfId="33120"/>
    <cellStyle name="Percent 3 18 2 2 4" xfId="19389"/>
    <cellStyle name="Percent 3 18 2 2 4 2" xfId="39272"/>
    <cellStyle name="Percent 3 18 2 2 5" xfId="26967"/>
    <cellStyle name="Percent 3 18 2 3" xfId="8575"/>
    <cellStyle name="Percent 3 18 2 3 2" xfId="14769"/>
    <cellStyle name="Percent 3 18 2 3 2 2" xfId="34652"/>
    <cellStyle name="Percent 3 18 2 3 3" xfId="20921"/>
    <cellStyle name="Percent 3 18 2 3 3 2" xfId="40804"/>
    <cellStyle name="Percent 3 18 2 3 4" xfId="28499"/>
    <cellStyle name="Percent 3 18 2 4" xfId="11703"/>
    <cellStyle name="Percent 3 18 2 4 2" xfId="31586"/>
    <cellStyle name="Percent 3 18 2 5" xfId="17855"/>
    <cellStyle name="Percent 3 18 2 5 2" xfId="37738"/>
    <cellStyle name="Percent 3 18 2 6" xfId="25433"/>
    <cellStyle name="Percent 3 18 3" xfId="6249"/>
    <cellStyle name="Percent 3 18 3 2" xfId="9341"/>
    <cellStyle name="Percent 3 18 3 2 2" xfId="15534"/>
    <cellStyle name="Percent 3 18 3 2 2 2" xfId="35417"/>
    <cellStyle name="Percent 3 18 3 2 3" xfId="21686"/>
    <cellStyle name="Percent 3 18 3 2 3 2" xfId="41569"/>
    <cellStyle name="Percent 3 18 3 2 4" xfId="29264"/>
    <cellStyle name="Percent 3 18 3 3" xfId="12468"/>
    <cellStyle name="Percent 3 18 3 3 2" xfId="32351"/>
    <cellStyle name="Percent 3 18 3 4" xfId="18620"/>
    <cellStyle name="Percent 3 18 3 4 2" xfId="38503"/>
    <cellStyle name="Percent 3 18 3 5" xfId="26198"/>
    <cellStyle name="Percent 3 18 4" xfId="7806"/>
    <cellStyle name="Percent 3 18 4 2" xfId="14000"/>
    <cellStyle name="Percent 3 18 4 2 2" xfId="33883"/>
    <cellStyle name="Percent 3 18 4 3" xfId="20152"/>
    <cellStyle name="Percent 3 18 4 3 2" xfId="40035"/>
    <cellStyle name="Percent 3 18 4 4" xfId="27730"/>
    <cellStyle name="Percent 3 18 5" xfId="10934"/>
    <cellStyle name="Percent 3 18 5 2" xfId="30817"/>
    <cellStyle name="Percent 3 18 6" xfId="17086"/>
    <cellStyle name="Percent 3 18 6 2" xfId="36969"/>
    <cellStyle name="Percent 3 18 7" xfId="4358"/>
    <cellStyle name="Percent 3 18 7 2" xfId="24664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2 2" xfId="36187"/>
    <cellStyle name="Percent 3 19 2 2 2 3" xfId="22456"/>
    <cellStyle name="Percent 3 19 2 2 2 3 2" xfId="42339"/>
    <cellStyle name="Percent 3 19 2 2 2 4" xfId="30034"/>
    <cellStyle name="Percent 3 19 2 2 3" xfId="13238"/>
    <cellStyle name="Percent 3 19 2 2 3 2" xfId="33121"/>
    <cellStyle name="Percent 3 19 2 2 4" xfId="19390"/>
    <cellStyle name="Percent 3 19 2 2 4 2" xfId="39273"/>
    <cellStyle name="Percent 3 19 2 2 5" xfId="26968"/>
    <cellStyle name="Percent 3 19 2 3" xfId="8576"/>
    <cellStyle name="Percent 3 19 2 3 2" xfId="14770"/>
    <cellStyle name="Percent 3 19 2 3 2 2" xfId="34653"/>
    <cellStyle name="Percent 3 19 2 3 3" xfId="20922"/>
    <cellStyle name="Percent 3 19 2 3 3 2" xfId="40805"/>
    <cellStyle name="Percent 3 19 2 3 4" xfId="28500"/>
    <cellStyle name="Percent 3 19 2 4" xfId="11704"/>
    <cellStyle name="Percent 3 19 2 4 2" xfId="31587"/>
    <cellStyle name="Percent 3 19 2 5" xfId="17856"/>
    <cellStyle name="Percent 3 19 2 5 2" xfId="37739"/>
    <cellStyle name="Percent 3 19 2 6" xfId="25434"/>
    <cellStyle name="Percent 3 19 3" xfId="6250"/>
    <cellStyle name="Percent 3 19 3 2" xfId="9342"/>
    <cellStyle name="Percent 3 19 3 2 2" xfId="15535"/>
    <cellStyle name="Percent 3 19 3 2 2 2" xfId="35418"/>
    <cellStyle name="Percent 3 19 3 2 3" xfId="21687"/>
    <cellStyle name="Percent 3 19 3 2 3 2" xfId="41570"/>
    <cellStyle name="Percent 3 19 3 2 4" xfId="29265"/>
    <cellStyle name="Percent 3 19 3 3" xfId="12469"/>
    <cellStyle name="Percent 3 19 3 3 2" xfId="32352"/>
    <cellStyle name="Percent 3 19 3 4" xfId="18621"/>
    <cellStyle name="Percent 3 19 3 4 2" xfId="38504"/>
    <cellStyle name="Percent 3 19 3 5" xfId="26199"/>
    <cellStyle name="Percent 3 19 4" xfId="7807"/>
    <cellStyle name="Percent 3 19 4 2" xfId="14001"/>
    <cellStyle name="Percent 3 19 4 2 2" xfId="33884"/>
    <cellStyle name="Percent 3 19 4 3" xfId="20153"/>
    <cellStyle name="Percent 3 19 4 3 2" xfId="40036"/>
    <cellStyle name="Percent 3 19 4 4" xfId="27731"/>
    <cellStyle name="Percent 3 19 5" xfId="10935"/>
    <cellStyle name="Percent 3 19 5 2" xfId="30818"/>
    <cellStyle name="Percent 3 19 6" xfId="17087"/>
    <cellStyle name="Percent 3 19 6 2" xfId="36970"/>
    <cellStyle name="Percent 3 19 7" xfId="4359"/>
    <cellStyle name="Percent 3 19 7 2" xfId="24665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2 2" xfId="36189"/>
    <cellStyle name="Percent 3 2 10 2 2 2 3" xfId="22458"/>
    <cellStyle name="Percent 3 2 10 2 2 2 3 2" xfId="42341"/>
    <cellStyle name="Percent 3 2 10 2 2 2 4" xfId="30036"/>
    <cellStyle name="Percent 3 2 10 2 2 3" xfId="13240"/>
    <cellStyle name="Percent 3 2 10 2 2 3 2" xfId="33123"/>
    <cellStyle name="Percent 3 2 10 2 2 4" xfId="19392"/>
    <cellStyle name="Percent 3 2 10 2 2 4 2" xfId="39275"/>
    <cellStyle name="Percent 3 2 10 2 2 5" xfId="26970"/>
    <cellStyle name="Percent 3 2 10 2 3" xfId="8578"/>
    <cellStyle name="Percent 3 2 10 2 3 2" xfId="14772"/>
    <cellStyle name="Percent 3 2 10 2 3 2 2" xfId="34655"/>
    <cellStyle name="Percent 3 2 10 2 3 3" xfId="20924"/>
    <cellStyle name="Percent 3 2 10 2 3 3 2" xfId="40807"/>
    <cellStyle name="Percent 3 2 10 2 3 4" xfId="28502"/>
    <cellStyle name="Percent 3 2 10 2 4" xfId="11706"/>
    <cellStyle name="Percent 3 2 10 2 4 2" xfId="31589"/>
    <cellStyle name="Percent 3 2 10 2 5" xfId="17858"/>
    <cellStyle name="Percent 3 2 10 2 5 2" xfId="37741"/>
    <cellStyle name="Percent 3 2 10 2 6" xfId="25436"/>
    <cellStyle name="Percent 3 2 10 3" xfId="6252"/>
    <cellStyle name="Percent 3 2 10 3 2" xfId="9344"/>
    <cellStyle name="Percent 3 2 10 3 2 2" xfId="15537"/>
    <cellStyle name="Percent 3 2 10 3 2 2 2" xfId="35420"/>
    <cellStyle name="Percent 3 2 10 3 2 3" xfId="21689"/>
    <cellStyle name="Percent 3 2 10 3 2 3 2" xfId="41572"/>
    <cellStyle name="Percent 3 2 10 3 2 4" xfId="29267"/>
    <cellStyle name="Percent 3 2 10 3 3" xfId="12471"/>
    <cellStyle name="Percent 3 2 10 3 3 2" xfId="32354"/>
    <cellStyle name="Percent 3 2 10 3 4" xfId="18623"/>
    <cellStyle name="Percent 3 2 10 3 4 2" xfId="38506"/>
    <cellStyle name="Percent 3 2 10 3 5" xfId="26201"/>
    <cellStyle name="Percent 3 2 10 4" xfId="7809"/>
    <cellStyle name="Percent 3 2 10 4 2" xfId="14003"/>
    <cellStyle name="Percent 3 2 10 4 2 2" xfId="33886"/>
    <cellStyle name="Percent 3 2 10 4 3" xfId="20155"/>
    <cellStyle name="Percent 3 2 10 4 3 2" xfId="40038"/>
    <cellStyle name="Percent 3 2 10 4 4" xfId="27733"/>
    <cellStyle name="Percent 3 2 10 5" xfId="10937"/>
    <cellStyle name="Percent 3 2 10 5 2" xfId="30820"/>
    <cellStyle name="Percent 3 2 10 6" xfId="17089"/>
    <cellStyle name="Percent 3 2 10 6 2" xfId="36972"/>
    <cellStyle name="Percent 3 2 10 7" xfId="24667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2 2" xfId="36190"/>
    <cellStyle name="Percent 3 2 11 2 2 2 3" xfId="22459"/>
    <cellStyle name="Percent 3 2 11 2 2 2 3 2" xfId="42342"/>
    <cellStyle name="Percent 3 2 11 2 2 2 4" xfId="30037"/>
    <cellStyle name="Percent 3 2 11 2 2 3" xfId="13241"/>
    <cellStyle name="Percent 3 2 11 2 2 3 2" xfId="33124"/>
    <cellStyle name="Percent 3 2 11 2 2 4" xfId="19393"/>
    <cellStyle name="Percent 3 2 11 2 2 4 2" xfId="39276"/>
    <cellStyle name="Percent 3 2 11 2 2 5" xfId="26971"/>
    <cellStyle name="Percent 3 2 11 2 3" xfId="8579"/>
    <cellStyle name="Percent 3 2 11 2 3 2" xfId="14773"/>
    <cellStyle name="Percent 3 2 11 2 3 2 2" xfId="34656"/>
    <cellStyle name="Percent 3 2 11 2 3 3" xfId="20925"/>
    <cellStyle name="Percent 3 2 11 2 3 3 2" xfId="40808"/>
    <cellStyle name="Percent 3 2 11 2 3 4" xfId="28503"/>
    <cellStyle name="Percent 3 2 11 2 4" xfId="11707"/>
    <cellStyle name="Percent 3 2 11 2 4 2" xfId="31590"/>
    <cellStyle name="Percent 3 2 11 2 5" xfId="17859"/>
    <cellStyle name="Percent 3 2 11 2 5 2" xfId="37742"/>
    <cellStyle name="Percent 3 2 11 2 6" xfId="25437"/>
    <cellStyle name="Percent 3 2 11 3" xfId="6253"/>
    <cellStyle name="Percent 3 2 11 3 2" xfId="9345"/>
    <cellStyle name="Percent 3 2 11 3 2 2" xfId="15538"/>
    <cellStyle name="Percent 3 2 11 3 2 2 2" xfId="35421"/>
    <cellStyle name="Percent 3 2 11 3 2 3" xfId="21690"/>
    <cellStyle name="Percent 3 2 11 3 2 3 2" xfId="41573"/>
    <cellStyle name="Percent 3 2 11 3 2 4" xfId="29268"/>
    <cellStyle name="Percent 3 2 11 3 3" xfId="12472"/>
    <cellStyle name="Percent 3 2 11 3 3 2" xfId="32355"/>
    <cellStyle name="Percent 3 2 11 3 4" xfId="18624"/>
    <cellStyle name="Percent 3 2 11 3 4 2" xfId="38507"/>
    <cellStyle name="Percent 3 2 11 3 5" xfId="26202"/>
    <cellStyle name="Percent 3 2 11 4" xfId="7810"/>
    <cellStyle name="Percent 3 2 11 4 2" xfId="14004"/>
    <cellStyle name="Percent 3 2 11 4 2 2" xfId="33887"/>
    <cellStyle name="Percent 3 2 11 4 3" xfId="20156"/>
    <cellStyle name="Percent 3 2 11 4 3 2" xfId="40039"/>
    <cellStyle name="Percent 3 2 11 4 4" xfId="27734"/>
    <cellStyle name="Percent 3 2 11 5" xfId="10938"/>
    <cellStyle name="Percent 3 2 11 5 2" xfId="30821"/>
    <cellStyle name="Percent 3 2 11 6" xfId="17090"/>
    <cellStyle name="Percent 3 2 11 6 2" xfId="36973"/>
    <cellStyle name="Percent 3 2 11 7" xfId="24668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2 2" xfId="36191"/>
    <cellStyle name="Percent 3 2 12 2 2 2 3" xfId="22460"/>
    <cellStyle name="Percent 3 2 12 2 2 2 3 2" xfId="42343"/>
    <cellStyle name="Percent 3 2 12 2 2 2 4" xfId="30038"/>
    <cellStyle name="Percent 3 2 12 2 2 3" xfId="13242"/>
    <cellStyle name="Percent 3 2 12 2 2 3 2" xfId="33125"/>
    <cellStyle name="Percent 3 2 12 2 2 4" xfId="19394"/>
    <cellStyle name="Percent 3 2 12 2 2 4 2" xfId="39277"/>
    <cellStyle name="Percent 3 2 12 2 2 5" xfId="26972"/>
    <cellStyle name="Percent 3 2 12 2 3" xfId="8580"/>
    <cellStyle name="Percent 3 2 12 2 3 2" xfId="14774"/>
    <cellStyle name="Percent 3 2 12 2 3 2 2" xfId="34657"/>
    <cellStyle name="Percent 3 2 12 2 3 3" xfId="20926"/>
    <cellStyle name="Percent 3 2 12 2 3 3 2" xfId="40809"/>
    <cellStyle name="Percent 3 2 12 2 3 4" xfId="28504"/>
    <cellStyle name="Percent 3 2 12 2 4" xfId="11708"/>
    <cellStyle name="Percent 3 2 12 2 4 2" xfId="31591"/>
    <cellStyle name="Percent 3 2 12 2 5" xfId="17860"/>
    <cellStyle name="Percent 3 2 12 2 5 2" xfId="37743"/>
    <cellStyle name="Percent 3 2 12 2 6" xfId="25438"/>
    <cellStyle name="Percent 3 2 12 3" xfId="6254"/>
    <cellStyle name="Percent 3 2 12 3 2" xfId="9346"/>
    <cellStyle name="Percent 3 2 12 3 2 2" xfId="15539"/>
    <cellStyle name="Percent 3 2 12 3 2 2 2" xfId="35422"/>
    <cellStyle name="Percent 3 2 12 3 2 3" xfId="21691"/>
    <cellStyle name="Percent 3 2 12 3 2 3 2" xfId="41574"/>
    <cellStyle name="Percent 3 2 12 3 2 4" xfId="29269"/>
    <cellStyle name="Percent 3 2 12 3 3" xfId="12473"/>
    <cellStyle name="Percent 3 2 12 3 3 2" xfId="32356"/>
    <cellStyle name="Percent 3 2 12 3 4" xfId="18625"/>
    <cellStyle name="Percent 3 2 12 3 4 2" xfId="38508"/>
    <cellStyle name="Percent 3 2 12 3 5" xfId="26203"/>
    <cellStyle name="Percent 3 2 12 4" xfId="7811"/>
    <cellStyle name="Percent 3 2 12 4 2" xfId="14005"/>
    <cellStyle name="Percent 3 2 12 4 2 2" xfId="33888"/>
    <cellStyle name="Percent 3 2 12 4 3" xfId="20157"/>
    <cellStyle name="Percent 3 2 12 4 3 2" xfId="40040"/>
    <cellStyle name="Percent 3 2 12 4 4" xfId="27735"/>
    <cellStyle name="Percent 3 2 12 5" xfId="10939"/>
    <cellStyle name="Percent 3 2 12 5 2" xfId="30822"/>
    <cellStyle name="Percent 3 2 12 6" xfId="17091"/>
    <cellStyle name="Percent 3 2 12 6 2" xfId="36974"/>
    <cellStyle name="Percent 3 2 12 7" xfId="24669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2 2" xfId="36192"/>
    <cellStyle name="Percent 3 2 13 2 2 2 3" xfId="22461"/>
    <cellStyle name="Percent 3 2 13 2 2 2 3 2" xfId="42344"/>
    <cellStyle name="Percent 3 2 13 2 2 2 4" xfId="30039"/>
    <cellStyle name="Percent 3 2 13 2 2 3" xfId="13243"/>
    <cellStyle name="Percent 3 2 13 2 2 3 2" xfId="33126"/>
    <cellStyle name="Percent 3 2 13 2 2 4" xfId="19395"/>
    <cellStyle name="Percent 3 2 13 2 2 4 2" xfId="39278"/>
    <cellStyle name="Percent 3 2 13 2 2 5" xfId="26973"/>
    <cellStyle name="Percent 3 2 13 2 3" xfId="8581"/>
    <cellStyle name="Percent 3 2 13 2 3 2" xfId="14775"/>
    <cellStyle name="Percent 3 2 13 2 3 2 2" xfId="34658"/>
    <cellStyle name="Percent 3 2 13 2 3 3" xfId="20927"/>
    <cellStyle name="Percent 3 2 13 2 3 3 2" xfId="40810"/>
    <cellStyle name="Percent 3 2 13 2 3 4" xfId="28505"/>
    <cellStyle name="Percent 3 2 13 2 4" xfId="11709"/>
    <cellStyle name="Percent 3 2 13 2 4 2" xfId="31592"/>
    <cellStyle name="Percent 3 2 13 2 5" xfId="17861"/>
    <cellStyle name="Percent 3 2 13 2 5 2" xfId="37744"/>
    <cellStyle name="Percent 3 2 13 2 6" xfId="25439"/>
    <cellStyle name="Percent 3 2 13 3" xfId="6255"/>
    <cellStyle name="Percent 3 2 13 3 2" xfId="9347"/>
    <cellStyle name="Percent 3 2 13 3 2 2" xfId="15540"/>
    <cellStyle name="Percent 3 2 13 3 2 2 2" xfId="35423"/>
    <cellStyle name="Percent 3 2 13 3 2 3" xfId="21692"/>
    <cellStyle name="Percent 3 2 13 3 2 3 2" xfId="41575"/>
    <cellStyle name="Percent 3 2 13 3 2 4" xfId="29270"/>
    <cellStyle name="Percent 3 2 13 3 3" xfId="12474"/>
    <cellStyle name="Percent 3 2 13 3 3 2" xfId="32357"/>
    <cellStyle name="Percent 3 2 13 3 4" xfId="18626"/>
    <cellStyle name="Percent 3 2 13 3 4 2" xfId="38509"/>
    <cellStyle name="Percent 3 2 13 3 5" xfId="26204"/>
    <cellStyle name="Percent 3 2 13 4" xfId="7812"/>
    <cellStyle name="Percent 3 2 13 4 2" xfId="14006"/>
    <cellStyle name="Percent 3 2 13 4 2 2" xfId="33889"/>
    <cellStyle name="Percent 3 2 13 4 3" xfId="20158"/>
    <cellStyle name="Percent 3 2 13 4 3 2" xfId="40041"/>
    <cellStyle name="Percent 3 2 13 4 4" xfId="27736"/>
    <cellStyle name="Percent 3 2 13 5" xfId="10940"/>
    <cellStyle name="Percent 3 2 13 5 2" xfId="30823"/>
    <cellStyle name="Percent 3 2 13 6" xfId="17092"/>
    <cellStyle name="Percent 3 2 13 6 2" xfId="36975"/>
    <cellStyle name="Percent 3 2 13 7" xfId="24670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2 2" xfId="36193"/>
    <cellStyle name="Percent 3 2 14 2 2 2 3" xfId="22462"/>
    <cellStyle name="Percent 3 2 14 2 2 2 3 2" xfId="42345"/>
    <cellStyle name="Percent 3 2 14 2 2 2 4" xfId="30040"/>
    <cellStyle name="Percent 3 2 14 2 2 3" xfId="13244"/>
    <cellStyle name="Percent 3 2 14 2 2 3 2" xfId="33127"/>
    <cellStyle name="Percent 3 2 14 2 2 4" xfId="19396"/>
    <cellStyle name="Percent 3 2 14 2 2 4 2" xfId="39279"/>
    <cellStyle name="Percent 3 2 14 2 2 5" xfId="26974"/>
    <cellStyle name="Percent 3 2 14 2 3" xfId="8582"/>
    <cellStyle name="Percent 3 2 14 2 3 2" xfId="14776"/>
    <cellStyle name="Percent 3 2 14 2 3 2 2" xfId="34659"/>
    <cellStyle name="Percent 3 2 14 2 3 3" xfId="20928"/>
    <cellStyle name="Percent 3 2 14 2 3 3 2" xfId="40811"/>
    <cellStyle name="Percent 3 2 14 2 3 4" xfId="28506"/>
    <cellStyle name="Percent 3 2 14 2 4" xfId="11710"/>
    <cellStyle name="Percent 3 2 14 2 4 2" xfId="31593"/>
    <cellStyle name="Percent 3 2 14 2 5" xfId="17862"/>
    <cellStyle name="Percent 3 2 14 2 5 2" xfId="37745"/>
    <cellStyle name="Percent 3 2 14 2 6" xfId="25440"/>
    <cellStyle name="Percent 3 2 14 3" xfId="6256"/>
    <cellStyle name="Percent 3 2 14 3 2" xfId="9348"/>
    <cellStyle name="Percent 3 2 14 3 2 2" xfId="15541"/>
    <cellStyle name="Percent 3 2 14 3 2 2 2" xfId="35424"/>
    <cellStyle name="Percent 3 2 14 3 2 3" xfId="21693"/>
    <cellStyle name="Percent 3 2 14 3 2 3 2" xfId="41576"/>
    <cellStyle name="Percent 3 2 14 3 2 4" xfId="29271"/>
    <cellStyle name="Percent 3 2 14 3 3" xfId="12475"/>
    <cellStyle name="Percent 3 2 14 3 3 2" xfId="32358"/>
    <cellStyle name="Percent 3 2 14 3 4" xfId="18627"/>
    <cellStyle name="Percent 3 2 14 3 4 2" xfId="38510"/>
    <cellStyle name="Percent 3 2 14 3 5" xfId="26205"/>
    <cellStyle name="Percent 3 2 14 4" xfId="7813"/>
    <cellStyle name="Percent 3 2 14 4 2" xfId="14007"/>
    <cellStyle name="Percent 3 2 14 4 2 2" xfId="33890"/>
    <cellStyle name="Percent 3 2 14 4 3" xfId="20159"/>
    <cellStyle name="Percent 3 2 14 4 3 2" xfId="40042"/>
    <cellStyle name="Percent 3 2 14 4 4" xfId="27737"/>
    <cellStyle name="Percent 3 2 14 5" xfId="10941"/>
    <cellStyle name="Percent 3 2 14 5 2" xfId="30824"/>
    <cellStyle name="Percent 3 2 14 6" xfId="17093"/>
    <cellStyle name="Percent 3 2 14 6 2" xfId="36976"/>
    <cellStyle name="Percent 3 2 14 7" xfId="24671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2 2" xfId="36194"/>
    <cellStyle name="Percent 3 2 15 2 2 2 3" xfId="22463"/>
    <cellStyle name="Percent 3 2 15 2 2 2 3 2" xfId="42346"/>
    <cellStyle name="Percent 3 2 15 2 2 2 4" xfId="30041"/>
    <cellStyle name="Percent 3 2 15 2 2 3" xfId="13245"/>
    <cellStyle name="Percent 3 2 15 2 2 3 2" xfId="33128"/>
    <cellStyle name="Percent 3 2 15 2 2 4" xfId="19397"/>
    <cellStyle name="Percent 3 2 15 2 2 4 2" xfId="39280"/>
    <cellStyle name="Percent 3 2 15 2 2 5" xfId="26975"/>
    <cellStyle name="Percent 3 2 15 2 3" xfId="8583"/>
    <cellStyle name="Percent 3 2 15 2 3 2" xfId="14777"/>
    <cellStyle name="Percent 3 2 15 2 3 2 2" xfId="34660"/>
    <cellStyle name="Percent 3 2 15 2 3 3" xfId="20929"/>
    <cellStyle name="Percent 3 2 15 2 3 3 2" xfId="40812"/>
    <cellStyle name="Percent 3 2 15 2 3 4" xfId="28507"/>
    <cellStyle name="Percent 3 2 15 2 4" xfId="11711"/>
    <cellStyle name="Percent 3 2 15 2 4 2" xfId="31594"/>
    <cellStyle name="Percent 3 2 15 2 5" xfId="17863"/>
    <cellStyle name="Percent 3 2 15 2 5 2" xfId="37746"/>
    <cellStyle name="Percent 3 2 15 2 6" xfId="25441"/>
    <cellStyle name="Percent 3 2 15 3" xfId="6257"/>
    <cellStyle name="Percent 3 2 15 3 2" xfId="9349"/>
    <cellStyle name="Percent 3 2 15 3 2 2" xfId="15542"/>
    <cellStyle name="Percent 3 2 15 3 2 2 2" xfId="35425"/>
    <cellStyle name="Percent 3 2 15 3 2 3" xfId="21694"/>
    <cellStyle name="Percent 3 2 15 3 2 3 2" xfId="41577"/>
    <cellStyle name="Percent 3 2 15 3 2 4" xfId="29272"/>
    <cellStyle name="Percent 3 2 15 3 3" xfId="12476"/>
    <cellStyle name="Percent 3 2 15 3 3 2" xfId="32359"/>
    <cellStyle name="Percent 3 2 15 3 4" xfId="18628"/>
    <cellStyle name="Percent 3 2 15 3 4 2" xfId="38511"/>
    <cellStyle name="Percent 3 2 15 3 5" xfId="26206"/>
    <cellStyle name="Percent 3 2 15 4" xfId="7814"/>
    <cellStyle name="Percent 3 2 15 4 2" xfId="14008"/>
    <cellStyle name="Percent 3 2 15 4 2 2" xfId="33891"/>
    <cellStyle name="Percent 3 2 15 4 3" xfId="20160"/>
    <cellStyle name="Percent 3 2 15 4 3 2" xfId="40043"/>
    <cellStyle name="Percent 3 2 15 4 4" xfId="27738"/>
    <cellStyle name="Percent 3 2 15 5" xfId="10942"/>
    <cellStyle name="Percent 3 2 15 5 2" xfId="30825"/>
    <cellStyle name="Percent 3 2 15 6" xfId="17094"/>
    <cellStyle name="Percent 3 2 15 6 2" xfId="36977"/>
    <cellStyle name="Percent 3 2 15 7" xfId="24672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2 2" xfId="36195"/>
    <cellStyle name="Percent 3 2 16 2 2 2 3" xfId="22464"/>
    <cellStyle name="Percent 3 2 16 2 2 2 3 2" xfId="42347"/>
    <cellStyle name="Percent 3 2 16 2 2 2 4" xfId="30042"/>
    <cellStyle name="Percent 3 2 16 2 2 3" xfId="13246"/>
    <cellStyle name="Percent 3 2 16 2 2 3 2" xfId="33129"/>
    <cellStyle name="Percent 3 2 16 2 2 4" xfId="19398"/>
    <cellStyle name="Percent 3 2 16 2 2 4 2" xfId="39281"/>
    <cellStyle name="Percent 3 2 16 2 2 5" xfId="26976"/>
    <cellStyle name="Percent 3 2 16 2 3" xfId="8584"/>
    <cellStyle name="Percent 3 2 16 2 3 2" xfId="14778"/>
    <cellStyle name="Percent 3 2 16 2 3 2 2" xfId="34661"/>
    <cellStyle name="Percent 3 2 16 2 3 3" xfId="20930"/>
    <cellStyle name="Percent 3 2 16 2 3 3 2" xfId="40813"/>
    <cellStyle name="Percent 3 2 16 2 3 4" xfId="28508"/>
    <cellStyle name="Percent 3 2 16 2 4" xfId="11712"/>
    <cellStyle name="Percent 3 2 16 2 4 2" xfId="31595"/>
    <cellStyle name="Percent 3 2 16 2 5" xfId="17864"/>
    <cellStyle name="Percent 3 2 16 2 5 2" xfId="37747"/>
    <cellStyle name="Percent 3 2 16 2 6" xfId="25442"/>
    <cellStyle name="Percent 3 2 16 3" xfId="6258"/>
    <cellStyle name="Percent 3 2 16 3 2" xfId="9350"/>
    <cellStyle name="Percent 3 2 16 3 2 2" xfId="15543"/>
    <cellStyle name="Percent 3 2 16 3 2 2 2" xfId="35426"/>
    <cellStyle name="Percent 3 2 16 3 2 3" xfId="21695"/>
    <cellStyle name="Percent 3 2 16 3 2 3 2" xfId="41578"/>
    <cellStyle name="Percent 3 2 16 3 2 4" xfId="29273"/>
    <cellStyle name="Percent 3 2 16 3 3" xfId="12477"/>
    <cellStyle name="Percent 3 2 16 3 3 2" xfId="32360"/>
    <cellStyle name="Percent 3 2 16 3 4" xfId="18629"/>
    <cellStyle name="Percent 3 2 16 3 4 2" xfId="38512"/>
    <cellStyle name="Percent 3 2 16 3 5" xfId="26207"/>
    <cellStyle name="Percent 3 2 16 4" xfId="7815"/>
    <cellStyle name="Percent 3 2 16 4 2" xfId="14009"/>
    <cellStyle name="Percent 3 2 16 4 2 2" xfId="33892"/>
    <cellStyle name="Percent 3 2 16 4 3" xfId="20161"/>
    <cellStyle name="Percent 3 2 16 4 3 2" xfId="40044"/>
    <cellStyle name="Percent 3 2 16 4 4" xfId="27739"/>
    <cellStyle name="Percent 3 2 16 5" xfId="10943"/>
    <cellStyle name="Percent 3 2 16 5 2" xfId="30826"/>
    <cellStyle name="Percent 3 2 16 6" xfId="17095"/>
    <cellStyle name="Percent 3 2 16 6 2" xfId="36978"/>
    <cellStyle name="Percent 3 2 16 7" xfId="24673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2 2" xfId="36196"/>
    <cellStyle name="Percent 3 2 17 2 2 2 3" xfId="22465"/>
    <cellStyle name="Percent 3 2 17 2 2 2 3 2" xfId="42348"/>
    <cellStyle name="Percent 3 2 17 2 2 2 4" xfId="30043"/>
    <cellStyle name="Percent 3 2 17 2 2 3" xfId="13247"/>
    <cellStyle name="Percent 3 2 17 2 2 3 2" xfId="33130"/>
    <cellStyle name="Percent 3 2 17 2 2 4" xfId="19399"/>
    <cellStyle name="Percent 3 2 17 2 2 4 2" xfId="39282"/>
    <cellStyle name="Percent 3 2 17 2 2 5" xfId="26977"/>
    <cellStyle name="Percent 3 2 17 2 3" xfId="8585"/>
    <cellStyle name="Percent 3 2 17 2 3 2" xfId="14779"/>
    <cellStyle name="Percent 3 2 17 2 3 2 2" xfId="34662"/>
    <cellStyle name="Percent 3 2 17 2 3 3" xfId="20931"/>
    <cellStyle name="Percent 3 2 17 2 3 3 2" xfId="40814"/>
    <cellStyle name="Percent 3 2 17 2 3 4" xfId="28509"/>
    <cellStyle name="Percent 3 2 17 2 4" xfId="11713"/>
    <cellStyle name="Percent 3 2 17 2 4 2" xfId="31596"/>
    <cellStyle name="Percent 3 2 17 2 5" xfId="17865"/>
    <cellStyle name="Percent 3 2 17 2 5 2" xfId="37748"/>
    <cellStyle name="Percent 3 2 17 2 6" xfId="25443"/>
    <cellStyle name="Percent 3 2 17 3" xfId="6259"/>
    <cellStyle name="Percent 3 2 17 3 2" xfId="9351"/>
    <cellStyle name="Percent 3 2 17 3 2 2" xfId="15544"/>
    <cellStyle name="Percent 3 2 17 3 2 2 2" xfId="35427"/>
    <cellStyle name="Percent 3 2 17 3 2 3" xfId="21696"/>
    <cellStyle name="Percent 3 2 17 3 2 3 2" xfId="41579"/>
    <cellStyle name="Percent 3 2 17 3 2 4" xfId="29274"/>
    <cellStyle name="Percent 3 2 17 3 3" xfId="12478"/>
    <cellStyle name="Percent 3 2 17 3 3 2" xfId="32361"/>
    <cellStyle name="Percent 3 2 17 3 4" xfId="18630"/>
    <cellStyle name="Percent 3 2 17 3 4 2" xfId="38513"/>
    <cellStyle name="Percent 3 2 17 3 5" xfId="26208"/>
    <cellStyle name="Percent 3 2 17 4" xfId="7816"/>
    <cellStyle name="Percent 3 2 17 4 2" xfId="14010"/>
    <cellStyle name="Percent 3 2 17 4 2 2" xfId="33893"/>
    <cellStyle name="Percent 3 2 17 4 3" xfId="20162"/>
    <cellStyle name="Percent 3 2 17 4 3 2" xfId="40045"/>
    <cellStyle name="Percent 3 2 17 4 4" xfId="27740"/>
    <cellStyle name="Percent 3 2 17 5" xfId="10944"/>
    <cellStyle name="Percent 3 2 17 5 2" xfId="30827"/>
    <cellStyle name="Percent 3 2 17 6" xfId="17096"/>
    <cellStyle name="Percent 3 2 17 6 2" xfId="36979"/>
    <cellStyle name="Percent 3 2 17 7" xfId="24674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2 2" xfId="36197"/>
    <cellStyle name="Percent 3 2 18 2 2 2 3" xfId="22466"/>
    <cellStyle name="Percent 3 2 18 2 2 2 3 2" xfId="42349"/>
    <cellStyle name="Percent 3 2 18 2 2 2 4" xfId="30044"/>
    <cellStyle name="Percent 3 2 18 2 2 3" xfId="13248"/>
    <cellStyle name="Percent 3 2 18 2 2 3 2" xfId="33131"/>
    <cellStyle name="Percent 3 2 18 2 2 4" xfId="19400"/>
    <cellStyle name="Percent 3 2 18 2 2 4 2" xfId="39283"/>
    <cellStyle name="Percent 3 2 18 2 2 5" xfId="26978"/>
    <cellStyle name="Percent 3 2 18 2 3" xfId="8586"/>
    <cellStyle name="Percent 3 2 18 2 3 2" xfId="14780"/>
    <cellStyle name="Percent 3 2 18 2 3 2 2" xfId="34663"/>
    <cellStyle name="Percent 3 2 18 2 3 3" xfId="20932"/>
    <cellStyle name="Percent 3 2 18 2 3 3 2" xfId="40815"/>
    <cellStyle name="Percent 3 2 18 2 3 4" xfId="28510"/>
    <cellStyle name="Percent 3 2 18 2 4" xfId="11714"/>
    <cellStyle name="Percent 3 2 18 2 4 2" xfId="31597"/>
    <cellStyle name="Percent 3 2 18 2 5" xfId="17866"/>
    <cellStyle name="Percent 3 2 18 2 5 2" xfId="37749"/>
    <cellStyle name="Percent 3 2 18 2 6" xfId="25444"/>
    <cellStyle name="Percent 3 2 18 3" xfId="6260"/>
    <cellStyle name="Percent 3 2 18 3 2" xfId="9352"/>
    <cellStyle name="Percent 3 2 18 3 2 2" xfId="15545"/>
    <cellStyle name="Percent 3 2 18 3 2 2 2" xfId="35428"/>
    <cellStyle name="Percent 3 2 18 3 2 3" xfId="21697"/>
    <cellStyle name="Percent 3 2 18 3 2 3 2" xfId="41580"/>
    <cellStyle name="Percent 3 2 18 3 2 4" xfId="29275"/>
    <cellStyle name="Percent 3 2 18 3 3" xfId="12479"/>
    <cellStyle name="Percent 3 2 18 3 3 2" xfId="32362"/>
    <cellStyle name="Percent 3 2 18 3 4" xfId="18631"/>
    <cellStyle name="Percent 3 2 18 3 4 2" xfId="38514"/>
    <cellStyle name="Percent 3 2 18 3 5" xfId="26209"/>
    <cellStyle name="Percent 3 2 18 4" xfId="7817"/>
    <cellStyle name="Percent 3 2 18 4 2" xfId="14011"/>
    <cellStyle name="Percent 3 2 18 4 2 2" xfId="33894"/>
    <cellStyle name="Percent 3 2 18 4 3" xfId="20163"/>
    <cellStyle name="Percent 3 2 18 4 3 2" xfId="40046"/>
    <cellStyle name="Percent 3 2 18 4 4" xfId="27741"/>
    <cellStyle name="Percent 3 2 18 5" xfId="10945"/>
    <cellStyle name="Percent 3 2 18 5 2" xfId="30828"/>
    <cellStyle name="Percent 3 2 18 6" xfId="17097"/>
    <cellStyle name="Percent 3 2 18 6 2" xfId="36980"/>
    <cellStyle name="Percent 3 2 18 7" xfId="24675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2 2" xfId="36198"/>
    <cellStyle name="Percent 3 2 19 2 2 2 3" xfId="22467"/>
    <cellStyle name="Percent 3 2 19 2 2 2 3 2" xfId="42350"/>
    <cellStyle name="Percent 3 2 19 2 2 2 4" xfId="30045"/>
    <cellStyle name="Percent 3 2 19 2 2 3" xfId="13249"/>
    <cellStyle name="Percent 3 2 19 2 2 3 2" xfId="33132"/>
    <cellStyle name="Percent 3 2 19 2 2 4" xfId="19401"/>
    <cellStyle name="Percent 3 2 19 2 2 4 2" xfId="39284"/>
    <cellStyle name="Percent 3 2 19 2 2 5" xfId="26979"/>
    <cellStyle name="Percent 3 2 19 2 3" xfId="8587"/>
    <cellStyle name="Percent 3 2 19 2 3 2" xfId="14781"/>
    <cellStyle name="Percent 3 2 19 2 3 2 2" xfId="34664"/>
    <cellStyle name="Percent 3 2 19 2 3 3" xfId="20933"/>
    <cellStyle name="Percent 3 2 19 2 3 3 2" xfId="40816"/>
    <cellStyle name="Percent 3 2 19 2 3 4" xfId="28511"/>
    <cellStyle name="Percent 3 2 19 2 4" xfId="11715"/>
    <cellStyle name="Percent 3 2 19 2 4 2" xfId="31598"/>
    <cellStyle name="Percent 3 2 19 2 5" xfId="17867"/>
    <cellStyle name="Percent 3 2 19 2 5 2" xfId="37750"/>
    <cellStyle name="Percent 3 2 19 2 6" xfId="25445"/>
    <cellStyle name="Percent 3 2 19 3" xfId="6261"/>
    <cellStyle name="Percent 3 2 19 3 2" xfId="9353"/>
    <cellStyle name="Percent 3 2 19 3 2 2" xfId="15546"/>
    <cellStyle name="Percent 3 2 19 3 2 2 2" xfId="35429"/>
    <cellStyle name="Percent 3 2 19 3 2 3" xfId="21698"/>
    <cellStyle name="Percent 3 2 19 3 2 3 2" xfId="41581"/>
    <cellStyle name="Percent 3 2 19 3 2 4" xfId="29276"/>
    <cellStyle name="Percent 3 2 19 3 3" xfId="12480"/>
    <cellStyle name="Percent 3 2 19 3 3 2" xfId="32363"/>
    <cellStyle name="Percent 3 2 19 3 4" xfId="18632"/>
    <cellStyle name="Percent 3 2 19 3 4 2" xfId="38515"/>
    <cellStyle name="Percent 3 2 19 3 5" xfId="26210"/>
    <cellStyle name="Percent 3 2 19 4" xfId="7818"/>
    <cellStyle name="Percent 3 2 19 4 2" xfId="14012"/>
    <cellStyle name="Percent 3 2 19 4 2 2" xfId="33895"/>
    <cellStyle name="Percent 3 2 19 4 3" xfId="20164"/>
    <cellStyle name="Percent 3 2 19 4 3 2" xfId="40047"/>
    <cellStyle name="Percent 3 2 19 4 4" xfId="27742"/>
    <cellStyle name="Percent 3 2 19 5" xfId="10946"/>
    <cellStyle name="Percent 3 2 19 5 2" xfId="30829"/>
    <cellStyle name="Percent 3 2 19 6" xfId="17098"/>
    <cellStyle name="Percent 3 2 19 6 2" xfId="36981"/>
    <cellStyle name="Percent 3 2 19 7" xfId="24676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2 2" xfId="36199"/>
    <cellStyle name="Percent 3 2 2 2 2 2 2 3" xfId="22468"/>
    <cellStyle name="Percent 3 2 2 2 2 2 2 3 2" xfId="42351"/>
    <cellStyle name="Percent 3 2 2 2 2 2 2 4" xfId="30046"/>
    <cellStyle name="Percent 3 2 2 2 2 2 3" xfId="13250"/>
    <cellStyle name="Percent 3 2 2 2 2 2 3 2" xfId="33133"/>
    <cellStyle name="Percent 3 2 2 2 2 2 4" xfId="19402"/>
    <cellStyle name="Percent 3 2 2 2 2 2 4 2" xfId="39285"/>
    <cellStyle name="Percent 3 2 2 2 2 2 5" xfId="26980"/>
    <cellStyle name="Percent 3 2 2 2 2 3" xfId="8588"/>
    <cellStyle name="Percent 3 2 2 2 2 3 2" xfId="14782"/>
    <cellStyle name="Percent 3 2 2 2 2 3 2 2" xfId="34665"/>
    <cellStyle name="Percent 3 2 2 2 2 3 3" xfId="20934"/>
    <cellStyle name="Percent 3 2 2 2 2 3 3 2" xfId="40817"/>
    <cellStyle name="Percent 3 2 2 2 2 3 4" xfId="28512"/>
    <cellStyle name="Percent 3 2 2 2 2 4" xfId="11716"/>
    <cellStyle name="Percent 3 2 2 2 2 4 2" xfId="31599"/>
    <cellStyle name="Percent 3 2 2 2 2 5" xfId="17868"/>
    <cellStyle name="Percent 3 2 2 2 2 5 2" xfId="37751"/>
    <cellStyle name="Percent 3 2 2 2 2 6" xfId="25446"/>
    <cellStyle name="Percent 3 2 2 2 3" xfId="6262"/>
    <cellStyle name="Percent 3 2 2 2 3 2" xfId="9354"/>
    <cellStyle name="Percent 3 2 2 2 3 2 2" xfId="15547"/>
    <cellStyle name="Percent 3 2 2 2 3 2 2 2" xfId="35430"/>
    <cellStyle name="Percent 3 2 2 2 3 2 3" xfId="21699"/>
    <cellStyle name="Percent 3 2 2 2 3 2 3 2" xfId="41582"/>
    <cellStyle name="Percent 3 2 2 2 3 2 4" xfId="29277"/>
    <cellStyle name="Percent 3 2 2 2 3 3" xfId="12481"/>
    <cellStyle name="Percent 3 2 2 2 3 3 2" xfId="32364"/>
    <cellStyle name="Percent 3 2 2 2 3 4" xfId="18633"/>
    <cellStyle name="Percent 3 2 2 2 3 4 2" xfId="38516"/>
    <cellStyle name="Percent 3 2 2 2 3 5" xfId="26211"/>
    <cellStyle name="Percent 3 2 2 2 4" xfId="7819"/>
    <cellStyle name="Percent 3 2 2 2 4 2" xfId="14013"/>
    <cellStyle name="Percent 3 2 2 2 4 2 2" xfId="33896"/>
    <cellStyle name="Percent 3 2 2 2 4 3" xfId="20165"/>
    <cellStyle name="Percent 3 2 2 2 4 3 2" xfId="40048"/>
    <cellStyle name="Percent 3 2 2 2 4 4" xfId="27743"/>
    <cellStyle name="Percent 3 2 2 2 5" xfId="10947"/>
    <cellStyle name="Percent 3 2 2 2 5 2" xfId="30830"/>
    <cellStyle name="Percent 3 2 2 2 6" xfId="17099"/>
    <cellStyle name="Percent 3 2 2 2 6 2" xfId="36982"/>
    <cellStyle name="Percent 3 2 2 2 7" xfId="24677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2 2" xfId="36200"/>
    <cellStyle name="Percent 3 2 2 3 2 2 2 3" xfId="22469"/>
    <cellStyle name="Percent 3 2 2 3 2 2 2 3 2" xfId="42352"/>
    <cellStyle name="Percent 3 2 2 3 2 2 2 4" xfId="30047"/>
    <cellStyle name="Percent 3 2 2 3 2 2 3" xfId="13251"/>
    <cellStyle name="Percent 3 2 2 3 2 2 3 2" xfId="33134"/>
    <cellStyle name="Percent 3 2 2 3 2 2 4" xfId="19403"/>
    <cellStyle name="Percent 3 2 2 3 2 2 4 2" xfId="39286"/>
    <cellStyle name="Percent 3 2 2 3 2 2 5" xfId="26981"/>
    <cellStyle name="Percent 3 2 2 3 2 3" xfId="8589"/>
    <cellStyle name="Percent 3 2 2 3 2 3 2" xfId="14783"/>
    <cellStyle name="Percent 3 2 2 3 2 3 2 2" xfId="34666"/>
    <cellStyle name="Percent 3 2 2 3 2 3 3" xfId="20935"/>
    <cellStyle name="Percent 3 2 2 3 2 3 3 2" xfId="40818"/>
    <cellStyle name="Percent 3 2 2 3 2 3 4" xfId="28513"/>
    <cellStyle name="Percent 3 2 2 3 2 4" xfId="11717"/>
    <cellStyle name="Percent 3 2 2 3 2 4 2" xfId="31600"/>
    <cellStyle name="Percent 3 2 2 3 2 5" xfId="17869"/>
    <cellStyle name="Percent 3 2 2 3 2 5 2" xfId="37752"/>
    <cellStyle name="Percent 3 2 2 3 2 6" xfId="25447"/>
    <cellStyle name="Percent 3 2 2 3 3" xfId="6263"/>
    <cellStyle name="Percent 3 2 2 3 3 2" xfId="9355"/>
    <cellStyle name="Percent 3 2 2 3 3 2 2" xfId="15548"/>
    <cellStyle name="Percent 3 2 2 3 3 2 2 2" xfId="35431"/>
    <cellStyle name="Percent 3 2 2 3 3 2 3" xfId="21700"/>
    <cellStyle name="Percent 3 2 2 3 3 2 3 2" xfId="41583"/>
    <cellStyle name="Percent 3 2 2 3 3 2 4" xfId="29278"/>
    <cellStyle name="Percent 3 2 2 3 3 3" xfId="12482"/>
    <cellStyle name="Percent 3 2 2 3 3 3 2" xfId="32365"/>
    <cellStyle name="Percent 3 2 2 3 3 4" xfId="18634"/>
    <cellStyle name="Percent 3 2 2 3 3 4 2" xfId="38517"/>
    <cellStyle name="Percent 3 2 2 3 3 5" xfId="26212"/>
    <cellStyle name="Percent 3 2 2 3 4" xfId="7820"/>
    <cellStyle name="Percent 3 2 2 3 4 2" xfId="14014"/>
    <cellStyle name="Percent 3 2 2 3 4 2 2" xfId="33897"/>
    <cellStyle name="Percent 3 2 2 3 4 3" xfId="20166"/>
    <cellStyle name="Percent 3 2 2 3 4 3 2" xfId="40049"/>
    <cellStyle name="Percent 3 2 2 3 4 4" xfId="27744"/>
    <cellStyle name="Percent 3 2 2 3 5" xfId="10948"/>
    <cellStyle name="Percent 3 2 2 3 5 2" xfId="30831"/>
    <cellStyle name="Percent 3 2 2 3 6" xfId="17100"/>
    <cellStyle name="Percent 3 2 2 3 6 2" xfId="36983"/>
    <cellStyle name="Percent 3 2 2 3 7" xfId="24678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2 2" xfId="36201"/>
    <cellStyle name="Percent 3 2 2 4 2 2 2 3" xfId="22470"/>
    <cellStyle name="Percent 3 2 2 4 2 2 2 3 2" xfId="42353"/>
    <cellStyle name="Percent 3 2 2 4 2 2 2 4" xfId="30048"/>
    <cellStyle name="Percent 3 2 2 4 2 2 3" xfId="13252"/>
    <cellStyle name="Percent 3 2 2 4 2 2 3 2" xfId="33135"/>
    <cellStyle name="Percent 3 2 2 4 2 2 4" xfId="19404"/>
    <cellStyle name="Percent 3 2 2 4 2 2 4 2" xfId="39287"/>
    <cellStyle name="Percent 3 2 2 4 2 2 5" xfId="26982"/>
    <cellStyle name="Percent 3 2 2 4 2 3" xfId="8590"/>
    <cellStyle name="Percent 3 2 2 4 2 3 2" xfId="14784"/>
    <cellStyle name="Percent 3 2 2 4 2 3 2 2" xfId="34667"/>
    <cellStyle name="Percent 3 2 2 4 2 3 3" xfId="20936"/>
    <cellStyle name="Percent 3 2 2 4 2 3 3 2" xfId="40819"/>
    <cellStyle name="Percent 3 2 2 4 2 3 4" xfId="28514"/>
    <cellStyle name="Percent 3 2 2 4 2 4" xfId="11718"/>
    <cellStyle name="Percent 3 2 2 4 2 4 2" xfId="31601"/>
    <cellStyle name="Percent 3 2 2 4 2 5" xfId="17870"/>
    <cellStyle name="Percent 3 2 2 4 2 5 2" xfId="37753"/>
    <cellStyle name="Percent 3 2 2 4 2 6" xfId="25448"/>
    <cellStyle name="Percent 3 2 2 4 3" xfId="6264"/>
    <cellStyle name="Percent 3 2 2 4 3 2" xfId="9356"/>
    <cellStyle name="Percent 3 2 2 4 3 2 2" xfId="15549"/>
    <cellStyle name="Percent 3 2 2 4 3 2 2 2" xfId="35432"/>
    <cellStyle name="Percent 3 2 2 4 3 2 3" xfId="21701"/>
    <cellStyle name="Percent 3 2 2 4 3 2 3 2" xfId="41584"/>
    <cellStyle name="Percent 3 2 2 4 3 2 4" xfId="29279"/>
    <cellStyle name="Percent 3 2 2 4 3 3" xfId="12483"/>
    <cellStyle name="Percent 3 2 2 4 3 3 2" xfId="32366"/>
    <cellStyle name="Percent 3 2 2 4 3 4" xfId="18635"/>
    <cellStyle name="Percent 3 2 2 4 3 4 2" xfId="38518"/>
    <cellStyle name="Percent 3 2 2 4 3 5" xfId="26213"/>
    <cellStyle name="Percent 3 2 2 4 4" xfId="7821"/>
    <cellStyle name="Percent 3 2 2 4 4 2" xfId="14015"/>
    <cellStyle name="Percent 3 2 2 4 4 2 2" xfId="33898"/>
    <cellStyle name="Percent 3 2 2 4 4 3" xfId="20167"/>
    <cellStyle name="Percent 3 2 2 4 4 3 2" xfId="40050"/>
    <cellStyle name="Percent 3 2 2 4 4 4" xfId="27745"/>
    <cellStyle name="Percent 3 2 2 4 5" xfId="10949"/>
    <cellStyle name="Percent 3 2 2 4 5 2" xfId="30832"/>
    <cellStyle name="Percent 3 2 2 4 6" xfId="17101"/>
    <cellStyle name="Percent 3 2 2 4 6 2" xfId="36984"/>
    <cellStyle name="Percent 3 2 2 4 7" xfId="24679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2 2" xfId="36202"/>
    <cellStyle name="Percent 3 2 2 5 2 2 2 3" xfId="22471"/>
    <cellStyle name="Percent 3 2 2 5 2 2 2 3 2" xfId="42354"/>
    <cellStyle name="Percent 3 2 2 5 2 2 2 4" xfId="30049"/>
    <cellStyle name="Percent 3 2 2 5 2 2 3" xfId="13253"/>
    <cellStyle name="Percent 3 2 2 5 2 2 3 2" xfId="33136"/>
    <cellStyle name="Percent 3 2 2 5 2 2 4" xfId="19405"/>
    <cellStyle name="Percent 3 2 2 5 2 2 4 2" xfId="39288"/>
    <cellStyle name="Percent 3 2 2 5 2 2 5" xfId="26983"/>
    <cellStyle name="Percent 3 2 2 5 2 3" xfId="8591"/>
    <cellStyle name="Percent 3 2 2 5 2 3 2" xfId="14785"/>
    <cellStyle name="Percent 3 2 2 5 2 3 2 2" xfId="34668"/>
    <cellStyle name="Percent 3 2 2 5 2 3 3" xfId="20937"/>
    <cellStyle name="Percent 3 2 2 5 2 3 3 2" xfId="40820"/>
    <cellStyle name="Percent 3 2 2 5 2 3 4" xfId="28515"/>
    <cellStyle name="Percent 3 2 2 5 2 4" xfId="11719"/>
    <cellStyle name="Percent 3 2 2 5 2 4 2" xfId="31602"/>
    <cellStyle name="Percent 3 2 2 5 2 5" xfId="17871"/>
    <cellStyle name="Percent 3 2 2 5 2 5 2" xfId="37754"/>
    <cellStyle name="Percent 3 2 2 5 2 6" xfId="25449"/>
    <cellStyle name="Percent 3 2 2 5 3" xfId="6265"/>
    <cellStyle name="Percent 3 2 2 5 3 2" xfId="9357"/>
    <cellStyle name="Percent 3 2 2 5 3 2 2" xfId="15550"/>
    <cellStyle name="Percent 3 2 2 5 3 2 2 2" xfId="35433"/>
    <cellStyle name="Percent 3 2 2 5 3 2 3" xfId="21702"/>
    <cellStyle name="Percent 3 2 2 5 3 2 3 2" xfId="41585"/>
    <cellStyle name="Percent 3 2 2 5 3 2 4" xfId="29280"/>
    <cellStyle name="Percent 3 2 2 5 3 3" xfId="12484"/>
    <cellStyle name="Percent 3 2 2 5 3 3 2" xfId="32367"/>
    <cellStyle name="Percent 3 2 2 5 3 4" xfId="18636"/>
    <cellStyle name="Percent 3 2 2 5 3 4 2" xfId="38519"/>
    <cellStyle name="Percent 3 2 2 5 3 5" xfId="26214"/>
    <cellStyle name="Percent 3 2 2 5 4" xfId="7822"/>
    <cellStyle name="Percent 3 2 2 5 4 2" xfId="14016"/>
    <cellStyle name="Percent 3 2 2 5 4 2 2" xfId="33899"/>
    <cellStyle name="Percent 3 2 2 5 4 3" xfId="20168"/>
    <cellStyle name="Percent 3 2 2 5 4 3 2" xfId="40051"/>
    <cellStyle name="Percent 3 2 2 5 4 4" xfId="27746"/>
    <cellStyle name="Percent 3 2 2 5 5" xfId="10950"/>
    <cellStyle name="Percent 3 2 2 5 5 2" xfId="30833"/>
    <cellStyle name="Percent 3 2 2 5 6" xfId="17102"/>
    <cellStyle name="Percent 3 2 2 5 6 2" xfId="36985"/>
    <cellStyle name="Percent 3 2 2 5 7" xfId="24680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2 2" xfId="36203"/>
    <cellStyle name="Percent 3 2 20 2 2 2 3" xfId="22472"/>
    <cellStyle name="Percent 3 2 20 2 2 2 3 2" xfId="42355"/>
    <cellStyle name="Percent 3 2 20 2 2 2 4" xfId="30050"/>
    <cellStyle name="Percent 3 2 20 2 2 3" xfId="13254"/>
    <cellStyle name="Percent 3 2 20 2 2 3 2" xfId="33137"/>
    <cellStyle name="Percent 3 2 20 2 2 4" xfId="19406"/>
    <cellStyle name="Percent 3 2 20 2 2 4 2" xfId="39289"/>
    <cellStyle name="Percent 3 2 20 2 2 5" xfId="26984"/>
    <cellStyle name="Percent 3 2 20 2 3" xfId="8592"/>
    <cellStyle name="Percent 3 2 20 2 3 2" xfId="14786"/>
    <cellStyle name="Percent 3 2 20 2 3 2 2" xfId="34669"/>
    <cellStyle name="Percent 3 2 20 2 3 3" xfId="20938"/>
    <cellStyle name="Percent 3 2 20 2 3 3 2" xfId="40821"/>
    <cellStyle name="Percent 3 2 20 2 3 4" xfId="28516"/>
    <cellStyle name="Percent 3 2 20 2 4" xfId="11720"/>
    <cellStyle name="Percent 3 2 20 2 4 2" xfId="31603"/>
    <cellStyle name="Percent 3 2 20 2 5" xfId="17872"/>
    <cellStyle name="Percent 3 2 20 2 5 2" xfId="37755"/>
    <cellStyle name="Percent 3 2 20 2 6" xfId="25450"/>
    <cellStyle name="Percent 3 2 20 3" xfId="6266"/>
    <cellStyle name="Percent 3 2 20 3 2" xfId="9358"/>
    <cellStyle name="Percent 3 2 20 3 2 2" xfId="15551"/>
    <cellStyle name="Percent 3 2 20 3 2 2 2" xfId="35434"/>
    <cellStyle name="Percent 3 2 20 3 2 3" xfId="21703"/>
    <cellStyle name="Percent 3 2 20 3 2 3 2" xfId="41586"/>
    <cellStyle name="Percent 3 2 20 3 2 4" xfId="29281"/>
    <cellStyle name="Percent 3 2 20 3 3" xfId="12485"/>
    <cellStyle name="Percent 3 2 20 3 3 2" xfId="32368"/>
    <cellStyle name="Percent 3 2 20 3 4" xfId="18637"/>
    <cellStyle name="Percent 3 2 20 3 4 2" xfId="38520"/>
    <cellStyle name="Percent 3 2 20 3 5" xfId="26215"/>
    <cellStyle name="Percent 3 2 20 4" xfId="7823"/>
    <cellStyle name="Percent 3 2 20 4 2" xfId="14017"/>
    <cellStyle name="Percent 3 2 20 4 2 2" xfId="33900"/>
    <cellStyle name="Percent 3 2 20 4 3" xfId="20169"/>
    <cellStyle name="Percent 3 2 20 4 3 2" xfId="40052"/>
    <cellStyle name="Percent 3 2 20 4 4" xfId="27747"/>
    <cellStyle name="Percent 3 2 20 5" xfId="10951"/>
    <cellStyle name="Percent 3 2 20 5 2" xfId="30834"/>
    <cellStyle name="Percent 3 2 20 6" xfId="17103"/>
    <cellStyle name="Percent 3 2 20 6 2" xfId="36986"/>
    <cellStyle name="Percent 3 2 20 7" xfId="24681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2 2" xfId="36204"/>
    <cellStyle name="Percent 3 2 21 2 2 2 2 3" xfId="22473"/>
    <cellStyle name="Percent 3 2 21 2 2 2 2 3 2" xfId="42356"/>
    <cellStyle name="Percent 3 2 21 2 2 2 2 4" xfId="30051"/>
    <cellStyle name="Percent 3 2 21 2 2 2 3" xfId="13255"/>
    <cellStyle name="Percent 3 2 21 2 2 2 3 2" xfId="33138"/>
    <cellStyle name="Percent 3 2 21 2 2 2 4" xfId="19407"/>
    <cellStyle name="Percent 3 2 21 2 2 2 4 2" xfId="39290"/>
    <cellStyle name="Percent 3 2 21 2 2 2 5" xfId="26985"/>
    <cellStyle name="Percent 3 2 21 2 2 3" xfId="8593"/>
    <cellStyle name="Percent 3 2 21 2 2 3 2" xfId="14787"/>
    <cellStyle name="Percent 3 2 21 2 2 3 2 2" xfId="34670"/>
    <cellStyle name="Percent 3 2 21 2 2 3 3" xfId="20939"/>
    <cellStyle name="Percent 3 2 21 2 2 3 3 2" xfId="40822"/>
    <cellStyle name="Percent 3 2 21 2 2 3 4" xfId="28517"/>
    <cellStyle name="Percent 3 2 21 2 2 4" xfId="11721"/>
    <cellStyle name="Percent 3 2 21 2 2 4 2" xfId="31604"/>
    <cellStyle name="Percent 3 2 21 2 2 5" xfId="17873"/>
    <cellStyle name="Percent 3 2 21 2 2 5 2" xfId="37756"/>
    <cellStyle name="Percent 3 2 21 2 2 6" xfId="25451"/>
    <cellStyle name="Percent 3 2 21 2 3" xfId="6267"/>
    <cellStyle name="Percent 3 2 21 2 3 2" xfId="9359"/>
    <cellStyle name="Percent 3 2 21 2 3 2 2" xfId="15552"/>
    <cellStyle name="Percent 3 2 21 2 3 2 2 2" xfId="35435"/>
    <cellStyle name="Percent 3 2 21 2 3 2 3" xfId="21704"/>
    <cellStyle name="Percent 3 2 21 2 3 2 3 2" xfId="41587"/>
    <cellStyle name="Percent 3 2 21 2 3 2 4" xfId="29282"/>
    <cellStyle name="Percent 3 2 21 2 3 3" xfId="12486"/>
    <cellStyle name="Percent 3 2 21 2 3 3 2" xfId="32369"/>
    <cellStyle name="Percent 3 2 21 2 3 4" xfId="18638"/>
    <cellStyle name="Percent 3 2 21 2 3 4 2" xfId="38521"/>
    <cellStyle name="Percent 3 2 21 2 3 5" xfId="26216"/>
    <cellStyle name="Percent 3 2 21 2 4" xfId="7824"/>
    <cellStyle name="Percent 3 2 21 2 4 2" xfId="14018"/>
    <cellStyle name="Percent 3 2 21 2 4 2 2" xfId="33901"/>
    <cellStyle name="Percent 3 2 21 2 4 3" xfId="20170"/>
    <cellStyle name="Percent 3 2 21 2 4 3 2" xfId="40053"/>
    <cellStyle name="Percent 3 2 21 2 4 4" xfId="27748"/>
    <cellStyle name="Percent 3 2 21 2 5" xfId="10952"/>
    <cellStyle name="Percent 3 2 21 2 5 2" xfId="30835"/>
    <cellStyle name="Percent 3 2 21 2 6" xfId="17104"/>
    <cellStyle name="Percent 3 2 21 2 6 2" xfId="36987"/>
    <cellStyle name="Percent 3 2 21 2 7" xfId="24682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2 2" xfId="36188"/>
    <cellStyle name="Percent 3 2 23 2 2 3" xfId="22457"/>
    <cellStyle name="Percent 3 2 23 2 2 3 2" xfId="42340"/>
    <cellStyle name="Percent 3 2 23 2 2 4" xfId="30035"/>
    <cellStyle name="Percent 3 2 23 2 3" xfId="13239"/>
    <cellStyle name="Percent 3 2 23 2 3 2" xfId="33122"/>
    <cellStyle name="Percent 3 2 23 2 4" xfId="19391"/>
    <cellStyle name="Percent 3 2 23 2 4 2" xfId="39274"/>
    <cellStyle name="Percent 3 2 23 2 5" xfId="26969"/>
    <cellStyle name="Percent 3 2 23 3" xfId="8577"/>
    <cellStyle name="Percent 3 2 23 3 2" xfId="14771"/>
    <cellStyle name="Percent 3 2 23 3 2 2" xfId="34654"/>
    <cellStyle name="Percent 3 2 23 3 3" xfId="20923"/>
    <cellStyle name="Percent 3 2 23 3 3 2" xfId="40806"/>
    <cellStyle name="Percent 3 2 23 3 4" xfId="28501"/>
    <cellStyle name="Percent 3 2 23 4" xfId="11705"/>
    <cellStyle name="Percent 3 2 23 4 2" xfId="31588"/>
    <cellStyle name="Percent 3 2 23 5" xfId="17857"/>
    <cellStyle name="Percent 3 2 23 5 2" xfId="37740"/>
    <cellStyle name="Percent 3 2 23 6" xfId="25435"/>
    <cellStyle name="Percent 3 2 24" xfId="6251"/>
    <cellStyle name="Percent 3 2 24 2" xfId="9343"/>
    <cellStyle name="Percent 3 2 24 2 2" xfId="15536"/>
    <cellStyle name="Percent 3 2 24 2 2 2" xfId="35419"/>
    <cellStyle name="Percent 3 2 24 2 3" xfId="21688"/>
    <cellStyle name="Percent 3 2 24 2 3 2" xfId="41571"/>
    <cellStyle name="Percent 3 2 24 2 4" xfId="29266"/>
    <cellStyle name="Percent 3 2 24 3" xfId="12470"/>
    <cellStyle name="Percent 3 2 24 3 2" xfId="32353"/>
    <cellStyle name="Percent 3 2 24 4" xfId="18622"/>
    <cellStyle name="Percent 3 2 24 4 2" xfId="38505"/>
    <cellStyle name="Percent 3 2 24 5" xfId="26200"/>
    <cellStyle name="Percent 3 2 25" xfId="7808"/>
    <cellStyle name="Percent 3 2 25 2" xfId="14002"/>
    <cellStyle name="Percent 3 2 25 2 2" xfId="33885"/>
    <cellStyle name="Percent 3 2 25 3" xfId="20154"/>
    <cellStyle name="Percent 3 2 25 3 2" xfId="40037"/>
    <cellStyle name="Percent 3 2 25 4" xfId="27732"/>
    <cellStyle name="Percent 3 2 26" xfId="10936"/>
    <cellStyle name="Percent 3 2 26 2" xfId="30819"/>
    <cellStyle name="Percent 3 2 27" xfId="17088"/>
    <cellStyle name="Percent 3 2 27 2" xfId="36971"/>
    <cellStyle name="Percent 3 2 28" xfId="4360"/>
    <cellStyle name="Percent 3 2 28 2" xfId="24666"/>
    <cellStyle name="Percent 3 2 29" xfId="23313"/>
    <cellStyle name="Percent 3 2 3" xfId="4382"/>
    <cellStyle name="Percent 3 2 3 10" xfId="17105"/>
    <cellStyle name="Percent 3 2 3 10 2" xfId="36988"/>
    <cellStyle name="Percent 3 2 3 11" xfId="24683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2 2" xfId="36206"/>
    <cellStyle name="Percent 3 2 3 2 2 2 2 3" xfId="22475"/>
    <cellStyle name="Percent 3 2 3 2 2 2 2 3 2" xfId="42358"/>
    <cellStyle name="Percent 3 2 3 2 2 2 2 4" xfId="30053"/>
    <cellStyle name="Percent 3 2 3 2 2 2 3" xfId="13257"/>
    <cellStyle name="Percent 3 2 3 2 2 2 3 2" xfId="33140"/>
    <cellStyle name="Percent 3 2 3 2 2 2 4" xfId="19409"/>
    <cellStyle name="Percent 3 2 3 2 2 2 4 2" xfId="39292"/>
    <cellStyle name="Percent 3 2 3 2 2 2 5" xfId="26987"/>
    <cellStyle name="Percent 3 2 3 2 2 3" xfId="8595"/>
    <cellStyle name="Percent 3 2 3 2 2 3 2" xfId="14789"/>
    <cellStyle name="Percent 3 2 3 2 2 3 2 2" xfId="34672"/>
    <cellStyle name="Percent 3 2 3 2 2 3 3" xfId="20941"/>
    <cellStyle name="Percent 3 2 3 2 2 3 3 2" xfId="40824"/>
    <cellStyle name="Percent 3 2 3 2 2 3 4" xfId="28519"/>
    <cellStyle name="Percent 3 2 3 2 2 4" xfId="11723"/>
    <cellStyle name="Percent 3 2 3 2 2 4 2" xfId="31606"/>
    <cellStyle name="Percent 3 2 3 2 2 5" xfId="17875"/>
    <cellStyle name="Percent 3 2 3 2 2 5 2" xfId="37758"/>
    <cellStyle name="Percent 3 2 3 2 2 6" xfId="25453"/>
    <cellStyle name="Percent 3 2 3 2 3" xfId="6271"/>
    <cellStyle name="Percent 3 2 3 2 3 2" xfId="9361"/>
    <cellStyle name="Percent 3 2 3 2 3 2 2" xfId="15554"/>
    <cellStyle name="Percent 3 2 3 2 3 2 2 2" xfId="35437"/>
    <cellStyle name="Percent 3 2 3 2 3 2 3" xfId="21706"/>
    <cellStyle name="Percent 3 2 3 2 3 2 3 2" xfId="41589"/>
    <cellStyle name="Percent 3 2 3 2 3 2 4" xfId="29284"/>
    <cellStyle name="Percent 3 2 3 2 3 3" xfId="12488"/>
    <cellStyle name="Percent 3 2 3 2 3 3 2" xfId="32371"/>
    <cellStyle name="Percent 3 2 3 2 3 4" xfId="18640"/>
    <cellStyle name="Percent 3 2 3 2 3 4 2" xfId="38523"/>
    <cellStyle name="Percent 3 2 3 2 3 5" xfId="26218"/>
    <cellStyle name="Percent 3 2 3 2 4" xfId="7826"/>
    <cellStyle name="Percent 3 2 3 2 4 2" xfId="14020"/>
    <cellStyle name="Percent 3 2 3 2 4 2 2" xfId="33903"/>
    <cellStyle name="Percent 3 2 3 2 4 3" xfId="20172"/>
    <cellStyle name="Percent 3 2 3 2 4 3 2" xfId="40055"/>
    <cellStyle name="Percent 3 2 3 2 4 4" xfId="27750"/>
    <cellStyle name="Percent 3 2 3 2 5" xfId="10954"/>
    <cellStyle name="Percent 3 2 3 2 5 2" xfId="30837"/>
    <cellStyle name="Percent 3 2 3 2 6" xfId="17106"/>
    <cellStyle name="Percent 3 2 3 2 6 2" xfId="36989"/>
    <cellStyle name="Percent 3 2 3 2 7" xfId="24684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2 2" xfId="36207"/>
    <cellStyle name="Percent 3 2 3 3 2 2 2 3" xfId="22476"/>
    <cellStyle name="Percent 3 2 3 3 2 2 2 3 2" xfId="42359"/>
    <cellStyle name="Percent 3 2 3 3 2 2 2 4" xfId="30054"/>
    <cellStyle name="Percent 3 2 3 3 2 2 3" xfId="13258"/>
    <cellStyle name="Percent 3 2 3 3 2 2 3 2" xfId="33141"/>
    <cellStyle name="Percent 3 2 3 3 2 2 4" xfId="19410"/>
    <cellStyle name="Percent 3 2 3 3 2 2 4 2" xfId="39293"/>
    <cellStyle name="Percent 3 2 3 3 2 2 5" xfId="26988"/>
    <cellStyle name="Percent 3 2 3 3 2 3" xfId="8596"/>
    <cellStyle name="Percent 3 2 3 3 2 3 2" xfId="14790"/>
    <cellStyle name="Percent 3 2 3 3 2 3 2 2" xfId="34673"/>
    <cellStyle name="Percent 3 2 3 3 2 3 3" xfId="20942"/>
    <cellStyle name="Percent 3 2 3 3 2 3 3 2" xfId="40825"/>
    <cellStyle name="Percent 3 2 3 3 2 3 4" xfId="28520"/>
    <cellStyle name="Percent 3 2 3 3 2 4" xfId="11724"/>
    <cellStyle name="Percent 3 2 3 3 2 4 2" xfId="31607"/>
    <cellStyle name="Percent 3 2 3 3 2 5" xfId="17876"/>
    <cellStyle name="Percent 3 2 3 3 2 5 2" xfId="37759"/>
    <cellStyle name="Percent 3 2 3 3 2 6" xfId="25454"/>
    <cellStyle name="Percent 3 2 3 3 3" xfId="6272"/>
    <cellStyle name="Percent 3 2 3 3 3 2" xfId="9362"/>
    <cellStyle name="Percent 3 2 3 3 3 2 2" xfId="15555"/>
    <cellStyle name="Percent 3 2 3 3 3 2 2 2" xfId="35438"/>
    <cellStyle name="Percent 3 2 3 3 3 2 3" xfId="21707"/>
    <cellStyle name="Percent 3 2 3 3 3 2 3 2" xfId="41590"/>
    <cellStyle name="Percent 3 2 3 3 3 2 4" xfId="29285"/>
    <cellStyle name="Percent 3 2 3 3 3 3" xfId="12489"/>
    <cellStyle name="Percent 3 2 3 3 3 3 2" xfId="32372"/>
    <cellStyle name="Percent 3 2 3 3 3 4" xfId="18641"/>
    <cellStyle name="Percent 3 2 3 3 3 4 2" xfId="38524"/>
    <cellStyle name="Percent 3 2 3 3 3 5" xfId="26219"/>
    <cellStyle name="Percent 3 2 3 3 4" xfId="7827"/>
    <cellStyle name="Percent 3 2 3 3 4 2" xfId="14021"/>
    <cellStyle name="Percent 3 2 3 3 4 2 2" xfId="33904"/>
    <cellStyle name="Percent 3 2 3 3 4 3" xfId="20173"/>
    <cellStyle name="Percent 3 2 3 3 4 3 2" xfId="40056"/>
    <cellStyle name="Percent 3 2 3 3 4 4" xfId="27751"/>
    <cellStyle name="Percent 3 2 3 3 5" xfId="10955"/>
    <cellStyle name="Percent 3 2 3 3 5 2" xfId="30838"/>
    <cellStyle name="Percent 3 2 3 3 6" xfId="17107"/>
    <cellStyle name="Percent 3 2 3 3 6 2" xfId="36990"/>
    <cellStyle name="Percent 3 2 3 3 7" xfId="24685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2 2" xfId="36208"/>
    <cellStyle name="Percent 3 2 3 4 2 2 2 3" xfId="22477"/>
    <cellStyle name="Percent 3 2 3 4 2 2 2 3 2" xfId="42360"/>
    <cellStyle name="Percent 3 2 3 4 2 2 2 4" xfId="30055"/>
    <cellStyle name="Percent 3 2 3 4 2 2 3" xfId="13259"/>
    <cellStyle name="Percent 3 2 3 4 2 2 3 2" xfId="33142"/>
    <cellStyle name="Percent 3 2 3 4 2 2 4" xfId="19411"/>
    <cellStyle name="Percent 3 2 3 4 2 2 4 2" xfId="39294"/>
    <cellStyle name="Percent 3 2 3 4 2 2 5" xfId="26989"/>
    <cellStyle name="Percent 3 2 3 4 2 3" xfId="8597"/>
    <cellStyle name="Percent 3 2 3 4 2 3 2" xfId="14791"/>
    <cellStyle name="Percent 3 2 3 4 2 3 2 2" xfId="34674"/>
    <cellStyle name="Percent 3 2 3 4 2 3 3" xfId="20943"/>
    <cellStyle name="Percent 3 2 3 4 2 3 3 2" xfId="40826"/>
    <cellStyle name="Percent 3 2 3 4 2 3 4" xfId="28521"/>
    <cellStyle name="Percent 3 2 3 4 2 4" xfId="11725"/>
    <cellStyle name="Percent 3 2 3 4 2 4 2" xfId="31608"/>
    <cellStyle name="Percent 3 2 3 4 2 5" xfId="17877"/>
    <cellStyle name="Percent 3 2 3 4 2 5 2" xfId="37760"/>
    <cellStyle name="Percent 3 2 3 4 2 6" xfId="25455"/>
    <cellStyle name="Percent 3 2 3 4 3" xfId="6273"/>
    <cellStyle name="Percent 3 2 3 4 3 2" xfId="9363"/>
    <cellStyle name="Percent 3 2 3 4 3 2 2" xfId="15556"/>
    <cellStyle name="Percent 3 2 3 4 3 2 2 2" xfId="35439"/>
    <cellStyle name="Percent 3 2 3 4 3 2 3" xfId="21708"/>
    <cellStyle name="Percent 3 2 3 4 3 2 3 2" xfId="41591"/>
    <cellStyle name="Percent 3 2 3 4 3 2 4" xfId="29286"/>
    <cellStyle name="Percent 3 2 3 4 3 3" xfId="12490"/>
    <cellStyle name="Percent 3 2 3 4 3 3 2" xfId="32373"/>
    <cellStyle name="Percent 3 2 3 4 3 4" xfId="18642"/>
    <cellStyle name="Percent 3 2 3 4 3 4 2" xfId="38525"/>
    <cellStyle name="Percent 3 2 3 4 3 5" xfId="26220"/>
    <cellStyle name="Percent 3 2 3 4 4" xfId="7828"/>
    <cellStyle name="Percent 3 2 3 4 4 2" xfId="14022"/>
    <cellStyle name="Percent 3 2 3 4 4 2 2" xfId="33905"/>
    <cellStyle name="Percent 3 2 3 4 4 3" xfId="20174"/>
    <cellStyle name="Percent 3 2 3 4 4 3 2" xfId="40057"/>
    <cellStyle name="Percent 3 2 3 4 4 4" xfId="27752"/>
    <cellStyle name="Percent 3 2 3 4 5" xfId="10956"/>
    <cellStyle name="Percent 3 2 3 4 5 2" xfId="30839"/>
    <cellStyle name="Percent 3 2 3 4 6" xfId="17108"/>
    <cellStyle name="Percent 3 2 3 4 6 2" xfId="36991"/>
    <cellStyle name="Percent 3 2 3 4 7" xfId="24686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2 2" xfId="36209"/>
    <cellStyle name="Percent 3 2 3 5 2 2 2 3" xfId="22478"/>
    <cellStyle name="Percent 3 2 3 5 2 2 2 3 2" xfId="42361"/>
    <cellStyle name="Percent 3 2 3 5 2 2 2 4" xfId="30056"/>
    <cellStyle name="Percent 3 2 3 5 2 2 3" xfId="13260"/>
    <cellStyle name="Percent 3 2 3 5 2 2 3 2" xfId="33143"/>
    <cellStyle name="Percent 3 2 3 5 2 2 4" xfId="19412"/>
    <cellStyle name="Percent 3 2 3 5 2 2 4 2" xfId="39295"/>
    <cellStyle name="Percent 3 2 3 5 2 2 5" xfId="26990"/>
    <cellStyle name="Percent 3 2 3 5 2 3" xfId="8598"/>
    <cellStyle name="Percent 3 2 3 5 2 3 2" xfId="14792"/>
    <cellStyle name="Percent 3 2 3 5 2 3 2 2" xfId="34675"/>
    <cellStyle name="Percent 3 2 3 5 2 3 3" xfId="20944"/>
    <cellStyle name="Percent 3 2 3 5 2 3 3 2" xfId="40827"/>
    <cellStyle name="Percent 3 2 3 5 2 3 4" xfId="28522"/>
    <cellStyle name="Percent 3 2 3 5 2 4" xfId="11726"/>
    <cellStyle name="Percent 3 2 3 5 2 4 2" xfId="31609"/>
    <cellStyle name="Percent 3 2 3 5 2 5" xfId="17878"/>
    <cellStyle name="Percent 3 2 3 5 2 5 2" xfId="37761"/>
    <cellStyle name="Percent 3 2 3 5 2 6" xfId="25456"/>
    <cellStyle name="Percent 3 2 3 5 3" xfId="6274"/>
    <cellStyle name="Percent 3 2 3 5 3 2" xfId="9364"/>
    <cellStyle name="Percent 3 2 3 5 3 2 2" xfId="15557"/>
    <cellStyle name="Percent 3 2 3 5 3 2 2 2" xfId="35440"/>
    <cellStyle name="Percent 3 2 3 5 3 2 3" xfId="21709"/>
    <cellStyle name="Percent 3 2 3 5 3 2 3 2" xfId="41592"/>
    <cellStyle name="Percent 3 2 3 5 3 2 4" xfId="29287"/>
    <cellStyle name="Percent 3 2 3 5 3 3" xfId="12491"/>
    <cellStyle name="Percent 3 2 3 5 3 3 2" xfId="32374"/>
    <cellStyle name="Percent 3 2 3 5 3 4" xfId="18643"/>
    <cellStyle name="Percent 3 2 3 5 3 4 2" xfId="38526"/>
    <cellStyle name="Percent 3 2 3 5 3 5" xfId="26221"/>
    <cellStyle name="Percent 3 2 3 5 4" xfId="7829"/>
    <cellStyle name="Percent 3 2 3 5 4 2" xfId="14023"/>
    <cellStyle name="Percent 3 2 3 5 4 2 2" xfId="33906"/>
    <cellStyle name="Percent 3 2 3 5 4 3" xfId="20175"/>
    <cellStyle name="Percent 3 2 3 5 4 3 2" xfId="40058"/>
    <cellStyle name="Percent 3 2 3 5 4 4" xfId="27753"/>
    <cellStyle name="Percent 3 2 3 5 5" xfId="10957"/>
    <cellStyle name="Percent 3 2 3 5 5 2" xfId="30840"/>
    <cellStyle name="Percent 3 2 3 5 6" xfId="17109"/>
    <cellStyle name="Percent 3 2 3 5 6 2" xfId="36992"/>
    <cellStyle name="Percent 3 2 3 5 7" xfId="24687"/>
    <cellStyle name="Percent 3 2 3 6" xfId="5418"/>
    <cellStyle name="Percent 3 2 3 6 2" xfId="7043"/>
    <cellStyle name="Percent 3 2 3 6 2 2" xfId="10129"/>
    <cellStyle name="Percent 3 2 3 6 2 2 2" xfId="16322"/>
    <cellStyle name="Percent 3 2 3 6 2 2 2 2" xfId="36205"/>
    <cellStyle name="Percent 3 2 3 6 2 2 3" xfId="22474"/>
    <cellStyle name="Percent 3 2 3 6 2 2 3 2" xfId="42357"/>
    <cellStyle name="Percent 3 2 3 6 2 2 4" xfId="30052"/>
    <cellStyle name="Percent 3 2 3 6 2 3" xfId="13256"/>
    <cellStyle name="Percent 3 2 3 6 2 3 2" xfId="33139"/>
    <cellStyle name="Percent 3 2 3 6 2 4" xfId="19408"/>
    <cellStyle name="Percent 3 2 3 6 2 4 2" xfId="39291"/>
    <cellStyle name="Percent 3 2 3 6 2 5" xfId="26986"/>
    <cellStyle name="Percent 3 2 3 6 3" xfId="8594"/>
    <cellStyle name="Percent 3 2 3 6 3 2" xfId="14788"/>
    <cellStyle name="Percent 3 2 3 6 3 2 2" xfId="34671"/>
    <cellStyle name="Percent 3 2 3 6 3 3" xfId="20940"/>
    <cellStyle name="Percent 3 2 3 6 3 3 2" xfId="40823"/>
    <cellStyle name="Percent 3 2 3 6 3 4" xfId="28518"/>
    <cellStyle name="Percent 3 2 3 6 4" xfId="11722"/>
    <cellStyle name="Percent 3 2 3 6 4 2" xfId="31605"/>
    <cellStyle name="Percent 3 2 3 6 5" xfId="17874"/>
    <cellStyle name="Percent 3 2 3 6 5 2" xfId="37757"/>
    <cellStyle name="Percent 3 2 3 6 6" xfId="25452"/>
    <cellStyle name="Percent 3 2 3 7" xfId="6270"/>
    <cellStyle name="Percent 3 2 3 7 2" xfId="9360"/>
    <cellStyle name="Percent 3 2 3 7 2 2" xfId="15553"/>
    <cellStyle name="Percent 3 2 3 7 2 2 2" xfId="35436"/>
    <cellStyle name="Percent 3 2 3 7 2 3" xfId="21705"/>
    <cellStyle name="Percent 3 2 3 7 2 3 2" xfId="41588"/>
    <cellStyle name="Percent 3 2 3 7 2 4" xfId="29283"/>
    <cellStyle name="Percent 3 2 3 7 3" xfId="12487"/>
    <cellStyle name="Percent 3 2 3 7 3 2" xfId="32370"/>
    <cellStyle name="Percent 3 2 3 7 4" xfId="18639"/>
    <cellStyle name="Percent 3 2 3 7 4 2" xfId="38522"/>
    <cellStyle name="Percent 3 2 3 7 5" xfId="26217"/>
    <cellStyle name="Percent 3 2 3 8" xfId="7825"/>
    <cellStyle name="Percent 3 2 3 8 2" xfId="14019"/>
    <cellStyle name="Percent 3 2 3 8 2 2" xfId="33902"/>
    <cellStyle name="Percent 3 2 3 8 3" xfId="20171"/>
    <cellStyle name="Percent 3 2 3 8 3 2" xfId="40054"/>
    <cellStyle name="Percent 3 2 3 8 4" xfId="27749"/>
    <cellStyle name="Percent 3 2 3 9" xfId="10953"/>
    <cellStyle name="Percent 3 2 3 9 2" xfId="30836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2 2" xfId="36211"/>
    <cellStyle name="Percent 3 2 4 2 2 2 2 3" xfId="22480"/>
    <cellStyle name="Percent 3 2 4 2 2 2 2 3 2" xfId="42363"/>
    <cellStyle name="Percent 3 2 4 2 2 2 2 4" xfId="30058"/>
    <cellStyle name="Percent 3 2 4 2 2 2 3" xfId="13262"/>
    <cellStyle name="Percent 3 2 4 2 2 2 3 2" xfId="33145"/>
    <cellStyle name="Percent 3 2 4 2 2 2 4" xfId="19414"/>
    <cellStyle name="Percent 3 2 4 2 2 2 4 2" xfId="39297"/>
    <cellStyle name="Percent 3 2 4 2 2 2 5" xfId="26992"/>
    <cellStyle name="Percent 3 2 4 2 2 3" xfId="8600"/>
    <cellStyle name="Percent 3 2 4 2 2 3 2" xfId="14794"/>
    <cellStyle name="Percent 3 2 4 2 2 3 2 2" xfId="34677"/>
    <cellStyle name="Percent 3 2 4 2 2 3 3" xfId="20946"/>
    <cellStyle name="Percent 3 2 4 2 2 3 3 2" xfId="40829"/>
    <cellStyle name="Percent 3 2 4 2 2 3 4" xfId="28524"/>
    <cellStyle name="Percent 3 2 4 2 2 4" xfId="11728"/>
    <cellStyle name="Percent 3 2 4 2 2 4 2" xfId="31611"/>
    <cellStyle name="Percent 3 2 4 2 2 5" xfId="17880"/>
    <cellStyle name="Percent 3 2 4 2 2 5 2" xfId="37763"/>
    <cellStyle name="Percent 3 2 4 2 2 6" xfId="25458"/>
    <cellStyle name="Percent 3 2 4 2 3" xfId="6276"/>
    <cellStyle name="Percent 3 2 4 2 3 2" xfId="9366"/>
    <cellStyle name="Percent 3 2 4 2 3 2 2" xfId="15559"/>
    <cellStyle name="Percent 3 2 4 2 3 2 2 2" xfId="35442"/>
    <cellStyle name="Percent 3 2 4 2 3 2 3" xfId="21711"/>
    <cellStyle name="Percent 3 2 4 2 3 2 3 2" xfId="41594"/>
    <cellStyle name="Percent 3 2 4 2 3 2 4" xfId="29289"/>
    <cellStyle name="Percent 3 2 4 2 3 3" xfId="12493"/>
    <cellStyle name="Percent 3 2 4 2 3 3 2" xfId="32376"/>
    <cellStyle name="Percent 3 2 4 2 3 4" xfId="18645"/>
    <cellStyle name="Percent 3 2 4 2 3 4 2" xfId="38528"/>
    <cellStyle name="Percent 3 2 4 2 3 5" xfId="26223"/>
    <cellStyle name="Percent 3 2 4 2 4" xfId="7831"/>
    <cellStyle name="Percent 3 2 4 2 4 2" xfId="14025"/>
    <cellStyle name="Percent 3 2 4 2 4 2 2" xfId="33908"/>
    <cellStyle name="Percent 3 2 4 2 4 3" xfId="20177"/>
    <cellStyle name="Percent 3 2 4 2 4 3 2" xfId="40060"/>
    <cellStyle name="Percent 3 2 4 2 4 4" xfId="27755"/>
    <cellStyle name="Percent 3 2 4 2 5" xfId="10959"/>
    <cellStyle name="Percent 3 2 4 2 5 2" xfId="30842"/>
    <cellStyle name="Percent 3 2 4 2 6" xfId="17111"/>
    <cellStyle name="Percent 3 2 4 2 6 2" xfId="36994"/>
    <cellStyle name="Percent 3 2 4 2 7" xfId="24689"/>
    <cellStyle name="Percent 3 2 4 3" xfId="5423"/>
    <cellStyle name="Percent 3 2 4 3 2" xfId="7048"/>
    <cellStyle name="Percent 3 2 4 3 2 2" xfId="10134"/>
    <cellStyle name="Percent 3 2 4 3 2 2 2" xfId="16327"/>
    <cellStyle name="Percent 3 2 4 3 2 2 2 2" xfId="36210"/>
    <cellStyle name="Percent 3 2 4 3 2 2 3" xfId="22479"/>
    <cellStyle name="Percent 3 2 4 3 2 2 3 2" xfId="42362"/>
    <cellStyle name="Percent 3 2 4 3 2 2 4" xfId="30057"/>
    <cellStyle name="Percent 3 2 4 3 2 3" xfId="13261"/>
    <cellStyle name="Percent 3 2 4 3 2 3 2" xfId="33144"/>
    <cellStyle name="Percent 3 2 4 3 2 4" xfId="19413"/>
    <cellStyle name="Percent 3 2 4 3 2 4 2" xfId="39296"/>
    <cellStyle name="Percent 3 2 4 3 2 5" xfId="26991"/>
    <cellStyle name="Percent 3 2 4 3 3" xfId="8599"/>
    <cellStyle name="Percent 3 2 4 3 3 2" xfId="14793"/>
    <cellStyle name="Percent 3 2 4 3 3 2 2" xfId="34676"/>
    <cellStyle name="Percent 3 2 4 3 3 3" xfId="20945"/>
    <cellStyle name="Percent 3 2 4 3 3 3 2" xfId="40828"/>
    <cellStyle name="Percent 3 2 4 3 3 4" xfId="28523"/>
    <cellStyle name="Percent 3 2 4 3 4" xfId="11727"/>
    <cellStyle name="Percent 3 2 4 3 4 2" xfId="31610"/>
    <cellStyle name="Percent 3 2 4 3 5" xfId="17879"/>
    <cellStyle name="Percent 3 2 4 3 5 2" xfId="37762"/>
    <cellStyle name="Percent 3 2 4 3 6" xfId="25457"/>
    <cellStyle name="Percent 3 2 4 4" xfId="6275"/>
    <cellStyle name="Percent 3 2 4 4 2" xfId="9365"/>
    <cellStyle name="Percent 3 2 4 4 2 2" xfId="15558"/>
    <cellStyle name="Percent 3 2 4 4 2 2 2" xfId="35441"/>
    <cellStyle name="Percent 3 2 4 4 2 3" xfId="21710"/>
    <cellStyle name="Percent 3 2 4 4 2 3 2" xfId="41593"/>
    <cellStyle name="Percent 3 2 4 4 2 4" xfId="29288"/>
    <cellStyle name="Percent 3 2 4 4 3" xfId="12492"/>
    <cellStyle name="Percent 3 2 4 4 3 2" xfId="32375"/>
    <cellStyle name="Percent 3 2 4 4 4" xfId="18644"/>
    <cellStyle name="Percent 3 2 4 4 4 2" xfId="38527"/>
    <cellStyle name="Percent 3 2 4 4 5" xfId="26222"/>
    <cellStyle name="Percent 3 2 4 5" xfId="7830"/>
    <cellStyle name="Percent 3 2 4 5 2" xfId="14024"/>
    <cellStyle name="Percent 3 2 4 5 2 2" xfId="33907"/>
    <cellStyle name="Percent 3 2 4 5 3" xfId="20176"/>
    <cellStyle name="Percent 3 2 4 5 3 2" xfId="40059"/>
    <cellStyle name="Percent 3 2 4 5 4" xfId="27754"/>
    <cellStyle name="Percent 3 2 4 6" xfId="10958"/>
    <cellStyle name="Percent 3 2 4 6 2" xfId="30841"/>
    <cellStyle name="Percent 3 2 4 7" xfId="17110"/>
    <cellStyle name="Percent 3 2 4 7 2" xfId="36993"/>
    <cellStyle name="Percent 3 2 4 8" xfId="24688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2 2" xfId="36213"/>
    <cellStyle name="Percent 3 2 5 2 2 2 2 3" xfId="22482"/>
    <cellStyle name="Percent 3 2 5 2 2 2 2 3 2" xfId="42365"/>
    <cellStyle name="Percent 3 2 5 2 2 2 2 4" xfId="30060"/>
    <cellStyle name="Percent 3 2 5 2 2 2 3" xfId="13264"/>
    <cellStyle name="Percent 3 2 5 2 2 2 3 2" xfId="33147"/>
    <cellStyle name="Percent 3 2 5 2 2 2 4" xfId="19416"/>
    <cellStyle name="Percent 3 2 5 2 2 2 4 2" xfId="39299"/>
    <cellStyle name="Percent 3 2 5 2 2 2 5" xfId="26994"/>
    <cellStyle name="Percent 3 2 5 2 2 3" xfId="8602"/>
    <cellStyle name="Percent 3 2 5 2 2 3 2" xfId="14796"/>
    <cellStyle name="Percent 3 2 5 2 2 3 2 2" xfId="34679"/>
    <cellStyle name="Percent 3 2 5 2 2 3 3" xfId="20948"/>
    <cellStyle name="Percent 3 2 5 2 2 3 3 2" xfId="40831"/>
    <cellStyle name="Percent 3 2 5 2 2 3 4" xfId="28526"/>
    <cellStyle name="Percent 3 2 5 2 2 4" xfId="11730"/>
    <cellStyle name="Percent 3 2 5 2 2 4 2" xfId="31613"/>
    <cellStyle name="Percent 3 2 5 2 2 5" xfId="17882"/>
    <cellStyle name="Percent 3 2 5 2 2 5 2" xfId="37765"/>
    <cellStyle name="Percent 3 2 5 2 2 6" xfId="25460"/>
    <cellStyle name="Percent 3 2 5 2 3" xfId="6278"/>
    <cellStyle name="Percent 3 2 5 2 3 2" xfId="9368"/>
    <cellStyle name="Percent 3 2 5 2 3 2 2" xfId="15561"/>
    <cellStyle name="Percent 3 2 5 2 3 2 2 2" xfId="35444"/>
    <cellStyle name="Percent 3 2 5 2 3 2 3" xfId="21713"/>
    <cellStyle name="Percent 3 2 5 2 3 2 3 2" xfId="41596"/>
    <cellStyle name="Percent 3 2 5 2 3 2 4" xfId="29291"/>
    <cellStyle name="Percent 3 2 5 2 3 3" xfId="12495"/>
    <cellStyle name="Percent 3 2 5 2 3 3 2" xfId="32378"/>
    <cellStyle name="Percent 3 2 5 2 3 4" xfId="18647"/>
    <cellStyle name="Percent 3 2 5 2 3 4 2" xfId="38530"/>
    <cellStyle name="Percent 3 2 5 2 3 5" xfId="26225"/>
    <cellStyle name="Percent 3 2 5 2 4" xfId="7833"/>
    <cellStyle name="Percent 3 2 5 2 4 2" xfId="14027"/>
    <cellStyle name="Percent 3 2 5 2 4 2 2" xfId="33910"/>
    <cellStyle name="Percent 3 2 5 2 4 3" xfId="20179"/>
    <cellStyle name="Percent 3 2 5 2 4 3 2" xfId="40062"/>
    <cellStyle name="Percent 3 2 5 2 4 4" xfId="27757"/>
    <cellStyle name="Percent 3 2 5 2 5" xfId="10961"/>
    <cellStyle name="Percent 3 2 5 2 5 2" xfId="30844"/>
    <cellStyle name="Percent 3 2 5 2 6" xfId="17113"/>
    <cellStyle name="Percent 3 2 5 2 6 2" xfId="36996"/>
    <cellStyle name="Percent 3 2 5 2 7" xfId="24691"/>
    <cellStyle name="Percent 3 2 5 3" xfId="5425"/>
    <cellStyle name="Percent 3 2 5 3 2" xfId="7050"/>
    <cellStyle name="Percent 3 2 5 3 2 2" xfId="10136"/>
    <cellStyle name="Percent 3 2 5 3 2 2 2" xfId="16329"/>
    <cellStyle name="Percent 3 2 5 3 2 2 2 2" xfId="36212"/>
    <cellStyle name="Percent 3 2 5 3 2 2 3" xfId="22481"/>
    <cellStyle name="Percent 3 2 5 3 2 2 3 2" xfId="42364"/>
    <cellStyle name="Percent 3 2 5 3 2 2 4" xfId="30059"/>
    <cellStyle name="Percent 3 2 5 3 2 3" xfId="13263"/>
    <cellStyle name="Percent 3 2 5 3 2 3 2" xfId="33146"/>
    <cellStyle name="Percent 3 2 5 3 2 4" xfId="19415"/>
    <cellStyle name="Percent 3 2 5 3 2 4 2" xfId="39298"/>
    <cellStyle name="Percent 3 2 5 3 2 5" xfId="26993"/>
    <cellStyle name="Percent 3 2 5 3 3" xfId="8601"/>
    <cellStyle name="Percent 3 2 5 3 3 2" xfId="14795"/>
    <cellStyle name="Percent 3 2 5 3 3 2 2" xfId="34678"/>
    <cellStyle name="Percent 3 2 5 3 3 3" xfId="20947"/>
    <cellStyle name="Percent 3 2 5 3 3 3 2" xfId="40830"/>
    <cellStyle name="Percent 3 2 5 3 3 4" xfId="28525"/>
    <cellStyle name="Percent 3 2 5 3 4" xfId="11729"/>
    <cellStyle name="Percent 3 2 5 3 4 2" xfId="31612"/>
    <cellStyle name="Percent 3 2 5 3 5" xfId="17881"/>
    <cellStyle name="Percent 3 2 5 3 5 2" xfId="37764"/>
    <cellStyle name="Percent 3 2 5 3 6" xfId="25459"/>
    <cellStyle name="Percent 3 2 5 4" xfId="6277"/>
    <cellStyle name="Percent 3 2 5 4 2" xfId="9367"/>
    <cellStyle name="Percent 3 2 5 4 2 2" xfId="15560"/>
    <cellStyle name="Percent 3 2 5 4 2 2 2" xfId="35443"/>
    <cellStyle name="Percent 3 2 5 4 2 3" xfId="21712"/>
    <cellStyle name="Percent 3 2 5 4 2 3 2" xfId="41595"/>
    <cellStyle name="Percent 3 2 5 4 2 4" xfId="29290"/>
    <cellStyle name="Percent 3 2 5 4 3" xfId="12494"/>
    <cellStyle name="Percent 3 2 5 4 3 2" xfId="32377"/>
    <cellStyle name="Percent 3 2 5 4 4" xfId="18646"/>
    <cellStyle name="Percent 3 2 5 4 4 2" xfId="38529"/>
    <cellStyle name="Percent 3 2 5 4 5" xfId="26224"/>
    <cellStyle name="Percent 3 2 5 5" xfId="7832"/>
    <cellStyle name="Percent 3 2 5 5 2" xfId="14026"/>
    <cellStyle name="Percent 3 2 5 5 2 2" xfId="33909"/>
    <cellStyle name="Percent 3 2 5 5 3" xfId="20178"/>
    <cellStyle name="Percent 3 2 5 5 3 2" xfId="40061"/>
    <cellStyle name="Percent 3 2 5 5 4" xfId="27756"/>
    <cellStyle name="Percent 3 2 5 6" xfId="10960"/>
    <cellStyle name="Percent 3 2 5 6 2" xfId="30843"/>
    <cellStyle name="Percent 3 2 5 7" xfId="17112"/>
    <cellStyle name="Percent 3 2 5 7 2" xfId="36995"/>
    <cellStyle name="Percent 3 2 5 8" xfId="24690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2 2" xfId="36215"/>
    <cellStyle name="Percent 3 2 6 2 2 2 2 3" xfId="22484"/>
    <cellStyle name="Percent 3 2 6 2 2 2 2 3 2" xfId="42367"/>
    <cellStyle name="Percent 3 2 6 2 2 2 2 4" xfId="30062"/>
    <cellStyle name="Percent 3 2 6 2 2 2 3" xfId="13266"/>
    <cellStyle name="Percent 3 2 6 2 2 2 3 2" xfId="33149"/>
    <cellStyle name="Percent 3 2 6 2 2 2 4" xfId="19418"/>
    <cellStyle name="Percent 3 2 6 2 2 2 4 2" xfId="39301"/>
    <cellStyle name="Percent 3 2 6 2 2 2 5" xfId="26996"/>
    <cellStyle name="Percent 3 2 6 2 2 3" xfId="8604"/>
    <cellStyle name="Percent 3 2 6 2 2 3 2" xfId="14798"/>
    <cellStyle name="Percent 3 2 6 2 2 3 2 2" xfId="34681"/>
    <cellStyle name="Percent 3 2 6 2 2 3 3" xfId="20950"/>
    <cellStyle name="Percent 3 2 6 2 2 3 3 2" xfId="40833"/>
    <cellStyle name="Percent 3 2 6 2 2 3 4" xfId="28528"/>
    <cellStyle name="Percent 3 2 6 2 2 4" xfId="11732"/>
    <cellStyle name="Percent 3 2 6 2 2 4 2" xfId="31615"/>
    <cellStyle name="Percent 3 2 6 2 2 5" xfId="17884"/>
    <cellStyle name="Percent 3 2 6 2 2 5 2" xfId="37767"/>
    <cellStyle name="Percent 3 2 6 2 2 6" xfId="25462"/>
    <cellStyle name="Percent 3 2 6 2 3" xfId="6280"/>
    <cellStyle name="Percent 3 2 6 2 3 2" xfId="9370"/>
    <cellStyle name="Percent 3 2 6 2 3 2 2" xfId="15563"/>
    <cellStyle name="Percent 3 2 6 2 3 2 2 2" xfId="35446"/>
    <cellStyle name="Percent 3 2 6 2 3 2 3" xfId="21715"/>
    <cellStyle name="Percent 3 2 6 2 3 2 3 2" xfId="41598"/>
    <cellStyle name="Percent 3 2 6 2 3 2 4" xfId="29293"/>
    <cellStyle name="Percent 3 2 6 2 3 3" xfId="12497"/>
    <cellStyle name="Percent 3 2 6 2 3 3 2" xfId="32380"/>
    <cellStyle name="Percent 3 2 6 2 3 4" xfId="18649"/>
    <cellStyle name="Percent 3 2 6 2 3 4 2" xfId="38532"/>
    <cellStyle name="Percent 3 2 6 2 3 5" xfId="26227"/>
    <cellStyle name="Percent 3 2 6 2 4" xfId="7835"/>
    <cellStyle name="Percent 3 2 6 2 4 2" xfId="14029"/>
    <cellStyle name="Percent 3 2 6 2 4 2 2" xfId="33912"/>
    <cellStyle name="Percent 3 2 6 2 4 3" xfId="20181"/>
    <cellStyle name="Percent 3 2 6 2 4 3 2" xfId="40064"/>
    <cellStyle name="Percent 3 2 6 2 4 4" xfId="27759"/>
    <cellStyle name="Percent 3 2 6 2 5" xfId="10963"/>
    <cellStyle name="Percent 3 2 6 2 5 2" xfId="30846"/>
    <cellStyle name="Percent 3 2 6 2 6" xfId="17115"/>
    <cellStyle name="Percent 3 2 6 2 6 2" xfId="36998"/>
    <cellStyle name="Percent 3 2 6 2 7" xfId="24693"/>
    <cellStyle name="Percent 3 2 6 3" xfId="5427"/>
    <cellStyle name="Percent 3 2 6 3 2" xfId="7052"/>
    <cellStyle name="Percent 3 2 6 3 2 2" xfId="10138"/>
    <cellStyle name="Percent 3 2 6 3 2 2 2" xfId="16331"/>
    <cellStyle name="Percent 3 2 6 3 2 2 2 2" xfId="36214"/>
    <cellStyle name="Percent 3 2 6 3 2 2 3" xfId="22483"/>
    <cellStyle name="Percent 3 2 6 3 2 2 3 2" xfId="42366"/>
    <cellStyle name="Percent 3 2 6 3 2 2 4" xfId="30061"/>
    <cellStyle name="Percent 3 2 6 3 2 3" xfId="13265"/>
    <cellStyle name="Percent 3 2 6 3 2 3 2" xfId="33148"/>
    <cellStyle name="Percent 3 2 6 3 2 4" xfId="19417"/>
    <cellStyle name="Percent 3 2 6 3 2 4 2" xfId="39300"/>
    <cellStyle name="Percent 3 2 6 3 2 5" xfId="26995"/>
    <cellStyle name="Percent 3 2 6 3 3" xfId="8603"/>
    <cellStyle name="Percent 3 2 6 3 3 2" xfId="14797"/>
    <cellStyle name="Percent 3 2 6 3 3 2 2" xfId="34680"/>
    <cellStyle name="Percent 3 2 6 3 3 3" xfId="20949"/>
    <cellStyle name="Percent 3 2 6 3 3 3 2" xfId="40832"/>
    <cellStyle name="Percent 3 2 6 3 3 4" xfId="28527"/>
    <cellStyle name="Percent 3 2 6 3 4" xfId="11731"/>
    <cellStyle name="Percent 3 2 6 3 4 2" xfId="31614"/>
    <cellStyle name="Percent 3 2 6 3 5" xfId="17883"/>
    <cellStyle name="Percent 3 2 6 3 5 2" xfId="37766"/>
    <cellStyle name="Percent 3 2 6 3 6" xfId="25461"/>
    <cellStyle name="Percent 3 2 6 4" xfId="6279"/>
    <cellStyle name="Percent 3 2 6 4 2" xfId="9369"/>
    <cellStyle name="Percent 3 2 6 4 2 2" xfId="15562"/>
    <cellStyle name="Percent 3 2 6 4 2 2 2" xfId="35445"/>
    <cellStyle name="Percent 3 2 6 4 2 3" xfId="21714"/>
    <cellStyle name="Percent 3 2 6 4 2 3 2" xfId="41597"/>
    <cellStyle name="Percent 3 2 6 4 2 4" xfId="29292"/>
    <cellStyle name="Percent 3 2 6 4 3" xfId="12496"/>
    <cellStyle name="Percent 3 2 6 4 3 2" xfId="32379"/>
    <cellStyle name="Percent 3 2 6 4 4" xfId="18648"/>
    <cellStyle name="Percent 3 2 6 4 4 2" xfId="38531"/>
    <cellStyle name="Percent 3 2 6 4 5" xfId="26226"/>
    <cellStyle name="Percent 3 2 6 5" xfId="7834"/>
    <cellStyle name="Percent 3 2 6 5 2" xfId="14028"/>
    <cellStyle name="Percent 3 2 6 5 2 2" xfId="33911"/>
    <cellStyle name="Percent 3 2 6 5 3" xfId="20180"/>
    <cellStyle name="Percent 3 2 6 5 3 2" xfId="40063"/>
    <cellStyle name="Percent 3 2 6 5 4" xfId="27758"/>
    <cellStyle name="Percent 3 2 6 6" xfId="10962"/>
    <cellStyle name="Percent 3 2 6 6 2" xfId="30845"/>
    <cellStyle name="Percent 3 2 6 7" xfId="17114"/>
    <cellStyle name="Percent 3 2 6 7 2" xfId="36997"/>
    <cellStyle name="Percent 3 2 6 8" xfId="24692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2 2" xfId="36216"/>
    <cellStyle name="Percent 3 2 7 2 2 2 3" xfId="22485"/>
    <cellStyle name="Percent 3 2 7 2 2 2 3 2" xfId="42368"/>
    <cellStyle name="Percent 3 2 7 2 2 2 4" xfId="30063"/>
    <cellStyle name="Percent 3 2 7 2 2 3" xfId="13267"/>
    <cellStyle name="Percent 3 2 7 2 2 3 2" xfId="33150"/>
    <cellStyle name="Percent 3 2 7 2 2 4" xfId="19419"/>
    <cellStyle name="Percent 3 2 7 2 2 4 2" xfId="39302"/>
    <cellStyle name="Percent 3 2 7 2 2 5" xfId="26997"/>
    <cellStyle name="Percent 3 2 7 2 3" xfId="8605"/>
    <cellStyle name="Percent 3 2 7 2 3 2" xfId="14799"/>
    <cellStyle name="Percent 3 2 7 2 3 2 2" xfId="34682"/>
    <cellStyle name="Percent 3 2 7 2 3 3" xfId="20951"/>
    <cellStyle name="Percent 3 2 7 2 3 3 2" xfId="40834"/>
    <cellStyle name="Percent 3 2 7 2 3 4" xfId="28529"/>
    <cellStyle name="Percent 3 2 7 2 4" xfId="11733"/>
    <cellStyle name="Percent 3 2 7 2 4 2" xfId="31616"/>
    <cellStyle name="Percent 3 2 7 2 5" xfId="17885"/>
    <cellStyle name="Percent 3 2 7 2 5 2" xfId="37768"/>
    <cellStyle name="Percent 3 2 7 2 6" xfId="25463"/>
    <cellStyle name="Percent 3 2 7 3" xfId="6281"/>
    <cellStyle name="Percent 3 2 7 3 2" xfId="9371"/>
    <cellStyle name="Percent 3 2 7 3 2 2" xfId="15564"/>
    <cellStyle name="Percent 3 2 7 3 2 2 2" xfId="35447"/>
    <cellStyle name="Percent 3 2 7 3 2 3" xfId="21716"/>
    <cellStyle name="Percent 3 2 7 3 2 3 2" xfId="41599"/>
    <cellStyle name="Percent 3 2 7 3 2 4" xfId="29294"/>
    <cellStyle name="Percent 3 2 7 3 3" xfId="12498"/>
    <cellStyle name="Percent 3 2 7 3 3 2" xfId="32381"/>
    <cellStyle name="Percent 3 2 7 3 4" xfId="18650"/>
    <cellStyle name="Percent 3 2 7 3 4 2" xfId="38533"/>
    <cellStyle name="Percent 3 2 7 3 5" xfId="26228"/>
    <cellStyle name="Percent 3 2 7 4" xfId="7836"/>
    <cellStyle name="Percent 3 2 7 4 2" xfId="14030"/>
    <cellStyle name="Percent 3 2 7 4 2 2" xfId="33913"/>
    <cellStyle name="Percent 3 2 7 4 3" xfId="20182"/>
    <cellStyle name="Percent 3 2 7 4 3 2" xfId="40065"/>
    <cellStyle name="Percent 3 2 7 4 4" xfId="27760"/>
    <cellStyle name="Percent 3 2 7 5" xfId="10964"/>
    <cellStyle name="Percent 3 2 7 5 2" xfId="30847"/>
    <cellStyle name="Percent 3 2 7 6" xfId="17116"/>
    <cellStyle name="Percent 3 2 7 6 2" xfId="36999"/>
    <cellStyle name="Percent 3 2 7 7" xfId="24694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2 2" xfId="36217"/>
    <cellStyle name="Percent 3 2 8 2 2 2 3" xfId="22486"/>
    <cellStyle name="Percent 3 2 8 2 2 2 3 2" xfId="42369"/>
    <cellStyle name="Percent 3 2 8 2 2 2 4" xfId="30064"/>
    <cellStyle name="Percent 3 2 8 2 2 3" xfId="13268"/>
    <cellStyle name="Percent 3 2 8 2 2 3 2" xfId="33151"/>
    <cellStyle name="Percent 3 2 8 2 2 4" xfId="19420"/>
    <cellStyle name="Percent 3 2 8 2 2 4 2" xfId="39303"/>
    <cellStyle name="Percent 3 2 8 2 2 5" xfId="26998"/>
    <cellStyle name="Percent 3 2 8 2 3" xfId="8606"/>
    <cellStyle name="Percent 3 2 8 2 3 2" xfId="14800"/>
    <cellStyle name="Percent 3 2 8 2 3 2 2" xfId="34683"/>
    <cellStyle name="Percent 3 2 8 2 3 3" xfId="20952"/>
    <cellStyle name="Percent 3 2 8 2 3 3 2" xfId="40835"/>
    <cellStyle name="Percent 3 2 8 2 3 4" xfId="28530"/>
    <cellStyle name="Percent 3 2 8 2 4" xfId="11734"/>
    <cellStyle name="Percent 3 2 8 2 4 2" xfId="31617"/>
    <cellStyle name="Percent 3 2 8 2 5" xfId="17886"/>
    <cellStyle name="Percent 3 2 8 2 5 2" xfId="37769"/>
    <cellStyle name="Percent 3 2 8 2 6" xfId="25464"/>
    <cellStyle name="Percent 3 2 8 3" xfId="6282"/>
    <cellStyle name="Percent 3 2 8 3 2" xfId="9372"/>
    <cellStyle name="Percent 3 2 8 3 2 2" xfId="15565"/>
    <cellStyle name="Percent 3 2 8 3 2 2 2" xfId="35448"/>
    <cellStyle name="Percent 3 2 8 3 2 3" xfId="21717"/>
    <cellStyle name="Percent 3 2 8 3 2 3 2" xfId="41600"/>
    <cellStyle name="Percent 3 2 8 3 2 4" xfId="29295"/>
    <cellStyle name="Percent 3 2 8 3 3" xfId="12499"/>
    <cellStyle name="Percent 3 2 8 3 3 2" xfId="32382"/>
    <cellStyle name="Percent 3 2 8 3 4" xfId="18651"/>
    <cellStyle name="Percent 3 2 8 3 4 2" xfId="38534"/>
    <cellStyle name="Percent 3 2 8 3 5" xfId="26229"/>
    <cellStyle name="Percent 3 2 8 4" xfId="7837"/>
    <cellStyle name="Percent 3 2 8 4 2" xfId="14031"/>
    <cellStyle name="Percent 3 2 8 4 2 2" xfId="33914"/>
    <cellStyle name="Percent 3 2 8 4 3" xfId="20183"/>
    <cellStyle name="Percent 3 2 8 4 3 2" xfId="40066"/>
    <cellStyle name="Percent 3 2 8 4 4" xfId="27761"/>
    <cellStyle name="Percent 3 2 8 5" xfId="10965"/>
    <cellStyle name="Percent 3 2 8 5 2" xfId="30848"/>
    <cellStyle name="Percent 3 2 8 6" xfId="17117"/>
    <cellStyle name="Percent 3 2 8 6 2" xfId="37000"/>
    <cellStyle name="Percent 3 2 8 7" xfId="24695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2 2" xfId="36218"/>
    <cellStyle name="Percent 3 2 9 2 2 2 3" xfId="22487"/>
    <cellStyle name="Percent 3 2 9 2 2 2 3 2" xfId="42370"/>
    <cellStyle name="Percent 3 2 9 2 2 2 4" xfId="30065"/>
    <cellStyle name="Percent 3 2 9 2 2 3" xfId="13269"/>
    <cellStyle name="Percent 3 2 9 2 2 3 2" xfId="33152"/>
    <cellStyle name="Percent 3 2 9 2 2 4" xfId="19421"/>
    <cellStyle name="Percent 3 2 9 2 2 4 2" xfId="39304"/>
    <cellStyle name="Percent 3 2 9 2 2 5" xfId="26999"/>
    <cellStyle name="Percent 3 2 9 2 3" xfId="8607"/>
    <cellStyle name="Percent 3 2 9 2 3 2" xfId="14801"/>
    <cellStyle name="Percent 3 2 9 2 3 2 2" xfId="34684"/>
    <cellStyle name="Percent 3 2 9 2 3 3" xfId="20953"/>
    <cellStyle name="Percent 3 2 9 2 3 3 2" xfId="40836"/>
    <cellStyle name="Percent 3 2 9 2 3 4" xfId="28531"/>
    <cellStyle name="Percent 3 2 9 2 4" xfId="11735"/>
    <cellStyle name="Percent 3 2 9 2 4 2" xfId="31618"/>
    <cellStyle name="Percent 3 2 9 2 5" xfId="17887"/>
    <cellStyle name="Percent 3 2 9 2 5 2" xfId="37770"/>
    <cellStyle name="Percent 3 2 9 2 6" xfId="25465"/>
    <cellStyle name="Percent 3 2 9 3" xfId="6283"/>
    <cellStyle name="Percent 3 2 9 3 2" xfId="9373"/>
    <cellStyle name="Percent 3 2 9 3 2 2" xfId="15566"/>
    <cellStyle name="Percent 3 2 9 3 2 2 2" xfId="35449"/>
    <cellStyle name="Percent 3 2 9 3 2 3" xfId="21718"/>
    <cellStyle name="Percent 3 2 9 3 2 3 2" xfId="41601"/>
    <cellStyle name="Percent 3 2 9 3 2 4" xfId="29296"/>
    <cellStyle name="Percent 3 2 9 3 3" xfId="12500"/>
    <cellStyle name="Percent 3 2 9 3 3 2" xfId="32383"/>
    <cellStyle name="Percent 3 2 9 3 4" xfId="18652"/>
    <cellStyle name="Percent 3 2 9 3 4 2" xfId="38535"/>
    <cellStyle name="Percent 3 2 9 3 5" xfId="26230"/>
    <cellStyle name="Percent 3 2 9 4" xfId="7838"/>
    <cellStyle name="Percent 3 2 9 4 2" xfId="14032"/>
    <cellStyle name="Percent 3 2 9 4 2 2" xfId="33915"/>
    <cellStyle name="Percent 3 2 9 4 3" xfId="20184"/>
    <cellStyle name="Percent 3 2 9 4 3 2" xfId="40067"/>
    <cellStyle name="Percent 3 2 9 4 4" xfId="27762"/>
    <cellStyle name="Percent 3 2 9 5" xfId="10966"/>
    <cellStyle name="Percent 3 2 9 5 2" xfId="30849"/>
    <cellStyle name="Percent 3 2 9 6" xfId="17118"/>
    <cellStyle name="Percent 3 2 9 6 2" xfId="37001"/>
    <cellStyle name="Percent 3 2 9 7" xfId="24696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2 2" xfId="36219"/>
    <cellStyle name="Percent 3 20 2 2 2 3" xfId="22488"/>
    <cellStyle name="Percent 3 20 2 2 2 3 2" xfId="42371"/>
    <cellStyle name="Percent 3 20 2 2 2 4" xfId="30066"/>
    <cellStyle name="Percent 3 20 2 2 3" xfId="13270"/>
    <cellStyle name="Percent 3 20 2 2 3 2" xfId="33153"/>
    <cellStyle name="Percent 3 20 2 2 4" xfId="19422"/>
    <cellStyle name="Percent 3 20 2 2 4 2" xfId="39305"/>
    <cellStyle name="Percent 3 20 2 2 5" xfId="27000"/>
    <cellStyle name="Percent 3 20 2 3" xfId="8608"/>
    <cellStyle name="Percent 3 20 2 3 2" xfId="14802"/>
    <cellStyle name="Percent 3 20 2 3 2 2" xfId="34685"/>
    <cellStyle name="Percent 3 20 2 3 3" xfId="20954"/>
    <cellStyle name="Percent 3 20 2 3 3 2" xfId="40837"/>
    <cellStyle name="Percent 3 20 2 3 4" xfId="28532"/>
    <cellStyle name="Percent 3 20 2 4" xfId="11736"/>
    <cellStyle name="Percent 3 20 2 4 2" xfId="31619"/>
    <cellStyle name="Percent 3 20 2 5" xfId="17888"/>
    <cellStyle name="Percent 3 20 2 5 2" xfId="37771"/>
    <cellStyle name="Percent 3 20 2 6" xfId="25466"/>
    <cellStyle name="Percent 3 20 3" xfId="6284"/>
    <cellStyle name="Percent 3 20 3 2" xfId="9374"/>
    <cellStyle name="Percent 3 20 3 2 2" xfId="15567"/>
    <cellStyle name="Percent 3 20 3 2 2 2" xfId="35450"/>
    <cellStyle name="Percent 3 20 3 2 3" xfId="21719"/>
    <cellStyle name="Percent 3 20 3 2 3 2" xfId="41602"/>
    <cellStyle name="Percent 3 20 3 2 4" xfId="29297"/>
    <cellStyle name="Percent 3 20 3 3" xfId="12501"/>
    <cellStyle name="Percent 3 20 3 3 2" xfId="32384"/>
    <cellStyle name="Percent 3 20 3 4" xfId="18653"/>
    <cellStyle name="Percent 3 20 3 4 2" xfId="38536"/>
    <cellStyle name="Percent 3 20 3 5" xfId="26231"/>
    <cellStyle name="Percent 3 20 4" xfId="7839"/>
    <cellStyle name="Percent 3 20 4 2" xfId="14033"/>
    <cellStyle name="Percent 3 20 4 2 2" xfId="33916"/>
    <cellStyle name="Percent 3 20 4 3" xfId="20185"/>
    <cellStyle name="Percent 3 20 4 3 2" xfId="40068"/>
    <cellStyle name="Percent 3 20 4 4" xfId="27763"/>
    <cellStyle name="Percent 3 20 5" xfId="10967"/>
    <cellStyle name="Percent 3 20 5 2" xfId="30850"/>
    <cellStyle name="Percent 3 20 6" xfId="17119"/>
    <cellStyle name="Percent 3 20 6 2" xfId="37002"/>
    <cellStyle name="Percent 3 20 7" xfId="4396"/>
    <cellStyle name="Percent 3 20 7 2" xfId="24697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2 2" xfId="36220"/>
    <cellStyle name="Percent 3 21 2 2 2 3" xfId="22489"/>
    <cellStyle name="Percent 3 21 2 2 2 3 2" xfId="42372"/>
    <cellStyle name="Percent 3 21 2 2 2 4" xfId="30067"/>
    <cellStyle name="Percent 3 21 2 2 3" xfId="13271"/>
    <cellStyle name="Percent 3 21 2 2 3 2" xfId="33154"/>
    <cellStyle name="Percent 3 21 2 2 4" xfId="19423"/>
    <cellStyle name="Percent 3 21 2 2 4 2" xfId="39306"/>
    <cellStyle name="Percent 3 21 2 2 5" xfId="27001"/>
    <cellStyle name="Percent 3 21 2 3" xfId="8609"/>
    <cellStyle name="Percent 3 21 2 3 2" xfId="14803"/>
    <cellStyle name="Percent 3 21 2 3 2 2" xfId="34686"/>
    <cellStyle name="Percent 3 21 2 3 3" xfId="20955"/>
    <cellStyle name="Percent 3 21 2 3 3 2" xfId="40838"/>
    <cellStyle name="Percent 3 21 2 3 4" xfId="28533"/>
    <cellStyle name="Percent 3 21 2 4" xfId="11737"/>
    <cellStyle name="Percent 3 21 2 4 2" xfId="31620"/>
    <cellStyle name="Percent 3 21 2 5" xfId="17889"/>
    <cellStyle name="Percent 3 21 2 5 2" xfId="37772"/>
    <cellStyle name="Percent 3 21 2 6" xfId="25467"/>
    <cellStyle name="Percent 3 21 3" xfId="6285"/>
    <cellStyle name="Percent 3 21 3 2" xfId="9375"/>
    <cellStyle name="Percent 3 21 3 2 2" xfId="15568"/>
    <cellStyle name="Percent 3 21 3 2 2 2" xfId="35451"/>
    <cellStyle name="Percent 3 21 3 2 3" xfId="21720"/>
    <cellStyle name="Percent 3 21 3 2 3 2" xfId="41603"/>
    <cellStyle name="Percent 3 21 3 2 4" xfId="29298"/>
    <cellStyle name="Percent 3 21 3 3" xfId="12502"/>
    <cellStyle name="Percent 3 21 3 3 2" xfId="32385"/>
    <cellStyle name="Percent 3 21 3 4" xfId="18654"/>
    <cellStyle name="Percent 3 21 3 4 2" xfId="38537"/>
    <cellStyle name="Percent 3 21 3 5" xfId="26232"/>
    <cellStyle name="Percent 3 21 4" xfId="7840"/>
    <cellStyle name="Percent 3 21 4 2" xfId="14034"/>
    <cellStyle name="Percent 3 21 4 2 2" xfId="33917"/>
    <cellStyle name="Percent 3 21 4 3" xfId="20186"/>
    <cellStyle name="Percent 3 21 4 3 2" xfId="40069"/>
    <cellStyle name="Percent 3 21 4 4" xfId="27764"/>
    <cellStyle name="Percent 3 21 5" xfId="10968"/>
    <cellStyle name="Percent 3 21 5 2" xfId="30851"/>
    <cellStyle name="Percent 3 21 6" xfId="17120"/>
    <cellStyle name="Percent 3 21 6 2" xfId="37003"/>
    <cellStyle name="Percent 3 21 7" xfId="4397"/>
    <cellStyle name="Percent 3 21 7 2" xfId="24698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2 2" xfId="36221"/>
    <cellStyle name="Percent 3 3 2 2 2 2 3" xfId="22490"/>
    <cellStyle name="Percent 3 3 2 2 2 2 3 2" xfId="42373"/>
    <cellStyle name="Percent 3 3 2 2 2 2 4" xfId="30068"/>
    <cellStyle name="Percent 3 3 2 2 2 3" xfId="13272"/>
    <cellStyle name="Percent 3 3 2 2 2 3 2" xfId="33155"/>
    <cellStyle name="Percent 3 3 2 2 2 4" xfId="19424"/>
    <cellStyle name="Percent 3 3 2 2 2 4 2" xfId="39307"/>
    <cellStyle name="Percent 3 3 2 2 2 5" xfId="27002"/>
    <cellStyle name="Percent 3 3 2 2 3" xfId="8610"/>
    <cellStyle name="Percent 3 3 2 2 3 2" xfId="14804"/>
    <cellStyle name="Percent 3 3 2 2 3 2 2" xfId="34687"/>
    <cellStyle name="Percent 3 3 2 2 3 3" xfId="20956"/>
    <cellStyle name="Percent 3 3 2 2 3 3 2" xfId="40839"/>
    <cellStyle name="Percent 3 3 2 2 3 4" xfId="28534"/>
    <cellStyle name="Percent 3 3 2 2 4" xfId="11738"/>
    <cellStyle name="Percent 3 3 2 2 4 2" xfId="31621"/>
    <cellStyle name="Percent 3 3 2 2 5" xfId="17890"/>
    <cellStyle name="Percent 3 3 2 2 5 2" xfId="37773"/>
    <cellStyle name="Percent 3 3 2 2 6" xfId="25468"/>
    <cellStyle name="Percent 3 3 2 3" xfId="6286"/>
    <cellStyle name="Percent 3 3 2 3 2" xfId="9376"/>
    <cellStyle name="Percent 3 3 2 3 2 2" xfId="15569"/>
    <cellStyle name="Percent 3 3 2 3 2 2 2" xfId="35452"/>
    <cellStyle name="Percent 3 3 2 3 2 3" xfId="21721"/>
    <cellStyle name="Percent 3 3 2 3 2 3 2" xfId="41604"/>
    <cellStyle name="Percent 3 3 2 3 2 4" xfId="29299"/>
    <cellStyle name="Percent 3 3 2 3 3" xfId="12503"/>
    <cellStyle name="Percent 3 3 2 3 3 2" xfId="32386"/>
    <cellStyle name="Percent 3 3 2 3 4" xfId="18655"/>
    <cellStyle name="Percent 3 3 2 3 4 2" xfId="38538"/>
    <cellStyle name="Percent 3 3 2 3 5" xfId="26233"/>
    <cellStyle name="Percent 3 3 2 4" xfId="7841"/>
    <cellStyle name="Percent 3 3 2 4 2" xfId="14035"/>
    <cellStyle name="Percent 3 3 2 4 2 2" xfId="33918"/>
    <cellStyle name="Percent 3 3 2 4 3" xfId="20187"/>
    <cellStyle name="Percent 3 3 2 4 3 2" xfId="40070"/>
    <cellStyle name="Percent 3 3 2 4 4" xfId="27765"/>
    <cellStyle name="Percent 3 3 2 5" xfId="10969"/>
    <cellStyle name="Percent 3 3 2 5 2" xfId="30852"/>
    <cellStyle name="Percent 3 3 2 6" xfId="17121"/>
    <cellStyle name="Percent 3 3 2 6 2" xfId="37004"/>
    <cellStyle name="Percent 3 3 2 7" xfId="4399"/>
    <cellStyle name="Percent 3 3 2 7 2" xfId="246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2 2" xfId="36222"/>
    <cellStyle name="Percent 3 3 3 2 2 2 3" xfId="22491"/>
    <cellStyle name="Percent 3 3 3 2 2 2 3 2" xfId="42374"/>
    <cellStyle name="Percent 3 3 3 2 2 2 4" xfId="30069"/>
    <cellStyle name="Percent 3 3 3 2 2 3" xfId="13273"/>
    <cellStyle name="Percent 3 3 3 2 2 3 2" xfId="33156"/>
    <cellStyle name="Percent 3 3 3 2 2 4" xfId="19425"/>
    <cellStyle name="Percent 3 3 3 2 2 4 2" xfId="39308"/>
    <cellStyle name="Percent 3 3 3 2 2 5" xfId="27003"/>
    <cellStyle name="Percent 3 3 3 2 3" xfId="8611"/>
    <cellStyle name="Percent 3 3 3 2 3 2" xfId="14805"/>
    <cellStyle name="Percent 3 3 3 2 3 2 2" xfId="34688"/>
    <cellStyle name="Percent 3 3 3 2 3 3" xfId="20957"/>
    <cellStyle name="Percent 3 3 3 2 3 3 2" xfId="40840"/>
    <cellStyle name="Percent 3 3 3 2 3 4" xfId="28535"/>
    <cellStyle name="Percent 3 3 3 2 4" xfId="11739"/>
    <cellStyle name="Percent 3 3 3 2 4 2" xfId="31622"/>
    <cellStyle name="Percent 3 3 3 2 5" xfId="17891"/>
    <cellStyle name="Percent 3 3 3 2 5 2" xfId="37774"/>
    <cellStyle name="Percent 3 3 3 2 6" xfId="25469"/>
    <cellStyle name="Percent 3 3 3 3" xfId="6287"/>
    <cellStyle name="Percent 3 3 3 3 2" xfId="9377"/>
    <cellStyle name="Percent 3 3 3 3 2 2" xfId="15570"/>
    <cellStyle name="Percent 3 3 3 3 2 2 2" xfId="35453"/>
    <cellStyle name="Percent 3 3 3 3 2 3" xfId="21722"/>
    <cellStyle name="Percent 3 3 3 3 2 3 2" xfId="41605"/>
    <cellStyle name="Percent 3 3 3 3 2 4" xfId="29300"/>
    <cellStyle name="Percent 3 3 3 3 3" xfId="12504"/>
    <cellStyle name="Percent 3 3 3 3 3 2" xfId="32387"/>
    <cellStyle name="Percent 3 3 3 3 4" xfId="18656"/>
    <cellStyle name="Percent 3 3 3 3 4 2" xfId="38539"/>
    <cellStyle name="Percent 3 3 3 3 5" xfId="26234"/>
    <cellStyle name="Percent 3 3 3 4" xfId="7842"/>
    <cellStyle name="Percent 3 3 3 4 2" xfId="14036"/>
    <cellStyle name="Percent 3 3 3 4 2 2" xfId="33919"/>
    <cellStyle name="Percent 3 3 3 4 3" xfId="20188"/>
    <cellStyle name="Percent 3 3 3 4 3 2" xfId="40071"/>
    <cellStyle name="Percent 3 3 3 4 4" xfId="27766"/>
    <cellStyle name="Percent 3 3 3 5" xfId="10970"/>
    <cellStyle name="Percent 3 3 3 5 2" xfId="30853"/>
    <cellStyle name="Percent 3 3 3 6" xfId="17122"/>
    <cellStyle name="Percent 3 3 3 6 2" xfId="37005"/>
    <cellStyle name="Percent 3 3 3 7" xfId="24700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2 2" xfId="36223"/>
    <cellStyle name="Percent 3 3 4 2 2 2 3" xfId="22492"/>
    <cellStyle name="Percent 3 3 4 2 2 2 3 2" xfId="42375"/>
    <cellStyle name="Percent 3 3 4 2 2 2 4" xfId="30070"/>
    <cellStyle name="Percent 3 3 4 2 2 3" xfId="13274"/>
    <cellStyle name="Percent 3 3 4 2 2 3 2" xfId="33157"/>
    <cellStyle name="Percent 3 3 4 2 2 4" xfId="19426"/>
    <cellStyle name="Percent 3 3 4 2 2 4 2" xfId="39309"/>
    <cellStyle name="Percent 3 3 4 2 2 5" xfId="27004"/>
    <cellStyle name="Percent 3 3 4 2 3" xfId="8612"/>
    <cellStyle name="Percent 3 3 4 2 3 2" xfId="14806"/>
    <cellStyle name="Percent 3 3 4 2 3 2 2" xfId="34689"/>
    <cellStyle name="Percent 3 3 4 2 3 3" xfId="20958"/>
    <cellStyle name="Percent 3 3 4 2 3 3 2" xfId="40841"/>
    <cellStyle name="Percent 3 3 4 2 3 4" xfId="28536"/>
    <cellStyle name="Percent 3 3 4 2 4" xfId="11740"/>
    <cellStyle name="Percent 3 3 4 2 4 2" xfId="31623"/>
    <cellStyle name="Percent 3 3 4 2 5" xfId="17892"/>
    <cellStyle name="Percent 3 3 4 2 5 2" xfId="37775"/>
    <cellStyle name="Percent 3 3 4 2 6" xfId="25470"/>
    <cellStyle name="Percent 3 3 4 3" xfId="6288"/>
    <cellStyle name="Percent 3 3 4 3 2" xfId="9378"/>
    <cellStyle name="Percent 3 3 4 3 2 2" xfId="15571"/>
    <cellStyle name="Percent 3 3 4 3 2 2 2" xfId="35454"/>
    <cellStyle name="Percent 3 3 4 3 2 3" xfId="21723"/>
    <cellStyle name="Percent 3 3 4 3 2 3 2" xfId="41606"/>
    <cellStyle name="Percent 3 3 4 3 2 4" xfId="29301"/>
    <cellStyle name="Percent 3 3 4 3 3" xfId="12505"/>
    <cellStyle name="Percent 3 3 4 3 3 2" xfId="32388"/>
    <cellStyle name="Percent 3 3 4 3 4" xfId="18657"/>
    <cellStyle name="Percent 3 3 4 3 4 2" xfId="38540"/>
    <cellStyle name="Percent 3 3 4 3 5" xfId="26235"/>
    <cellStyle name="Percent 3 3 4 4" xfId="7843"/>
    <cellStyle name="Percent 3 3 4 4 2" xfId="14037"/>
    <cellStyle name="Percent 3 3 4 4 2 2" xfId="33920"/>
    <cellStyle name="Percent 3 3 4 4 3" xfId="20189"/>
    <cellStyle name="Percent 3 3 4 4 3 2" xfId="40072"/>
    <cellStyle name="Percent 3 3 4 4 4" xfId="27767"/>
    <cellStyle name="Percent 3 3 4 5" xfId="10971"/>
    <cellStyle name="Percent 3 3 4 5 2" xfId="30854"/>
    <cellStyle name="Percent 3 3 4 6" xfId="17123"/>
    <cellStyle name="Percent 3 3 4 6 2" xfId="37006"/>
    <cellStyle name="Percent 3 3 4 7" xfId="24701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2 2" xfId="36224"/>
    <cellStyle name="Percent 3 3 5 2 2 2 3" xfId="22493"/>
    <cellStyle name="Percent 3 3 5 2 2 2 3 2" xfId="42376"/>
    <cellStyle name="Percent 3 3 5 2 2 2 4" xfId="30071"/>
    <cellStyle name="Percent 3 3 5 2 2 3" xfId="13275"/>
    <cellStyle name="Percent 3 3 5 2 2 3 2" xfId="33158"/>
    <cellStyle name="Percent 3 3 5 2 2 4" xfId="19427"/>
    <cellStyle name="Percent 3 3 5 2 2 4 2" xfId="39310"/>
    <cellStyle name="Percent 3 3 5 2 2 5" xfId="27005"/>
    <cellStyle name="Percent 3 3 5 2 3" xfId="8613"/>
    <cellStyle name="Percent 3 3 5 2 3 2" xfId="14807"/>
    <cellStyle name="Percent 3 3 5 2 3 2 2" xfId="34690"/>
    <cellStyle name="Percent 3 3 5 2 3 3" xfId="20959"/>
    <cellStyle name="Percent 3 3 5 2 3 3 2" xfId="40842"/>
    <cellStyle name="Percent 3 3 5 2 3 4" xfId="28537"/>
    <cellStyle name="Percent 3 3 5 2 4" xfId="11741"/>
    <cellStyle name="Percent 3 3 5 2 4 2" xfId="31624"/>
    <cellStyle name="Percent 3 3 5 2 5" xfId="17893"/>
    <cellStyle name="Percent 3 3 5 2 5 2" xfId="37776"/>
    <cellStyle name="Percent 3 3 5 2 6" xfId="25471"/>
    <cellStyle name="Percent 3 3 5 3" xfId="6289"/>
    <cellStyle name="Percent 3 3 5 3 2" xfId="9379"/>
    <cellStyle name="Percent 3 3 5 3 2 2" xfId="15572"/>
    <cellStyle name="Percent 3 3 5 3 2 2 2" xfId="35455"/>
    <cellStyle name="Percent 3 3 5 3 2 3" xfId="21724"/>
    <cellStyle name="Percent 3 3 5 3 2 3 2" xfId="41607"/>
    <cellStyle name="Percent 3 3 5 3 2 4" xfId="29302"/>
    <cellStyle name="Percent 3 3 5 3 3" xfId="12506"/>
    <cellStyle name="Percent 3 3 5 3 3 2" xfId="32389"/>
    <cellStyle name="Percent 3 3 5 3 4" xfId="18658"/>
    <cellStyle name="Percent 3 3 5 3 4 2" xfId="38541"/>
    <cellStyle name="Percent 3 3 5 3 5" xfId="26236"/>
    <cellStyle name="Percent 3 3 5 4" xfId="7844"/>
    <cellStyle name="Percent 3 3 5 4 2" xfId="14038"/>
    <cellStyle name="Percent 3 3 5 4 2 2" xfId="33921"/>
    <cellStyle name="Percent 3 3 5 4 3" xfId="20190"/>
    <cellStyle name="Percent 3 3 5 4 3 2" xfId="40073"/>
    <cellStyle name="Percent 3 3 5 4 4" xfId="27768"/>
    <cellStyle name="Percent 3 3 5 5" xfId="10972"/>
    <cellStyle name="Percent 3 3 5 5 2" xfId="30855"/>
    <cellStyle name="Percent 3 3 5 6" xfId="17124"/>
    <cellStyle name="Percent 3 3 5 6 2" xfId="37007"/>
    <cellStyle name="Percent 3 3 5 7" xfId="24702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1 2" xfId="23697"/>
    <cellStyle name="Percent 3 32" xfId="22817"/>
    <cellStyle name="Percent 3 32 2" xfId="42691"/>
    <cellStyle name="Percent 3 33" xfId="196"/>
    <cellStyle name="Percent 3 33 2" xfId="23406"/>
    <cellStyle name="Percent 3 4" xfId="99"/>
    <cellStyle name="Percent 3 4 10" xfId="17125"/>
    <cellStyle name="Percent 3 4 10 2" xfId="37008"/>
    <cellStyle name="Percent 3 4 11" xfId="4403"/>
    <cellStyle name="Percent 3 4 11 2" xfId="247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2 2" xfId="36226"/>
    <cellStyle name="Percent 3 4 2 2 2 2 3" xfId="22495"/>
    <cellStyle name="Percent 3 4 2 2 2 2 3 2" xfId="42378"/>
    <cellStyle name="Percent 3 4 2 2 2 2 4" xfId="30073"/>
    <cellStyle name="Percent 3 4 2 2 2 3" xfId="13277"/>
    <cellStyle name="Percent 3 4 2 2 2 3 2" xfId="33160"/>
    <cellStyle name="Percent 3 4 2 2 2 4" xfId="19429"/>
    <cellStyle name="Percent 3 4 2 2 2 4 2" xfId="39312"/>
    <cellStyle name="Percent 3 4 2 2 2 5" xfId="27007"/>
    <cellStyle name="Percent 3 4 2 2 3" xfId="8615"/>
    <cellStyle name="Percent 3 4 2 2 3 2" xfId="14809"/>
    <cellStyle name="Percent 3 4 2 2 3 2 2" xfId="34692"/>
    <cellStyle name="Percent 3 4 2 2 3 3" xfId="20961"/>
    <cellStyle name="Percent 3 4 2 2 3 3 2" xfId="40844"/>
    <cellStyle name="Percent 3 4 2 2 3 4" xfId="28539"/>
    <cellStyle name="Percent 3 4 2 2 4" xfId="11743"/>
    <cellStyle name="Percent 3 4 2 2 4 2" xfId="31626"/>
    <cellStyle name="Percent 3 4 2 2 5" xfId="17895"/>
    <cellStyle name="Percent 3 4 2 2 5 2" xfId="37778"/>
    <cellStyle name="Percent 3 4 2 2 6" xfId="25473"/>
    <cellStyle name="Percent 3 4 2 3" xfId="6291"/>
    <cellStyle name="Percent 3 4 2 3 2" xfId="9381"/>
    <cellStyle name="Percent 3 4 2 3 2 2" xfId="15574"/>
    <cellStyle name="Percent 3 4 2 3 2 2 2" xfId="35457"/>
    <cellStyle name="Percent 3 4 2 3 2 3" xfId="21726"/>
    <cellStyle name="Percent 3 4 2 3 2 3 2" xfId="41609"/>
    <cellStyle name="Percent 3 4 2 3 2 4" xfId="29304"/>
    <cellStyle name="Percent 3 4 2 3 3" xfId="12508"/>
    <cellStyle name="Percent 3 4 2 3 3 2" xfId="32391"/>
    <cellStyle name="Percent 3 4 2 3 4" xfId="18660"/>
    <cellStyle name="Percent 3 4 2 3 4 2" xfId="38543"/>
    <cellStyle name="Percent 3 4 2 3 5" xfId="26238"/>
    <cellStyle name="Percent 3 4 2 4" xfId="7846"/>
    <cellStyle name="Percent 3 4 2 4 2" xfId="14040"/>
    <cellStyle name="Percent 3 4 2 4 2 2" xfId="33923"/>
    <cellStyle name="Percent 3 4 2 4 3" xfId="20192"/>
    <cellStyle name="Percent 3 4 2 4 3 2" xfId="40075"/>
    <cellStyle name="Percent 3 4 2 4 4" xfId="27770"/>
    <cellStyle name="Percent 3 4 2 5" xfId="10974"/>
    <cellStyle name="Percent 3 4 2 5 2" xfId="30857"/>
    <cellStyle name="Percent 3 4 2 6" xfId="17126"/>
    <cellStyle name="Percent 3 4 2 6 2" xfId="37009"/>
    <cellStyle name="Percent 3 4 2 7" xfId="4404"/>
    <cellStyle name="Percent 3 4 2 7 2" xfId="247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2 2" xfId="36227"/>
    <cellStyle name="Percent 3 4 3 2 2 2 3" xfId="22496"/>
    <cellStyle name="Percent 3 4 3 2 2 2 3 2" xfId="42379"/>
    <cellStyle name="Percent 3 4 3 2 2 2 4" xfId="30074"/>
    <cellStyle name="Percent 3 4 3 2 2 3" xfId="13278"/>
    <cellStyle name="Percent 3 4 3 2 2 3 2" xfId="33161"/>
    <cellStyle name="Percent 3 4 3 2 2 4" xfId="19430"/>
    <cellStyle name="Percent 3 4 3 2 2 4 2" xfId="39313"/>
    <cellStyle name="Percent 3 4 3 2 2 5" xfId="27008"/>
    <cellStyle name="Percent 3 4 3 2 3" xfId="8616"/>
    <cellStyle name="Percent 3 4 3 2 3 2" xfId="14810"/>
    <cellStyle name="Percent 3 4 3 2 3 2 2" xfId="34693"/>
    <cellStyle name="Percent 3 4 3 2 3 3" xfId="20962"/>
    <cellStyle name="Percent 3 4 3 2 3 3 2" xfId="40845"/>
    <cellStyle name="Percent 3 4 3 2 3 4" xfId="28540"/>
    <cellStyle name="Percent 3 4 3 2 4" xfId="11744"/>
    <cellStyle name="Percent 3 4 3 2 4 2" xfId="31627"/>
    <cellStyle name="Percent 3 4 3 2 5" xfId="17896"/>
    <cellStyle name="Percent 3 4 3 2 5 2" xfId="37779"/>
    <cellStyle name="Percent 3 4 3 2 6" xfId="25474"/>
    <cellStyle name="Percent 3 4 3 3" xfId="6292"/>
    <cellStyle name="Percent 3 4 3 3 2" xfId="9382"/>
    <cellStyle name="Percent 3 4 3 3 2 2" xfId="15575"/>
    <cellStyle name="Percent 3 4 3 3 2 2 2" xfId="35458"/>
    <cellStyle name="Percent 3 4 3 3 2 3" xfId="21727"/>
    <cellStyle name="Percent 3 4 3 3 2 3 2" xfId="41610"/>
    <cellStyle name="Percent 3 4 3 3 2 4" xfId="29305"/>
    <cellStyle name="Percent 3 4 3 3 3" xfId="12509"/>
    <cellStyle name="Percent 3 4 3 3 3 2" xfId="32392"/>
    <cellStyle name="Percent 3 4 3 3 4" xfId="18661"/>
    <cellStyle name="Percent 3 4 3 3 4 2" xfId="38544"/>
    <cellStyle name="Percent 3 4 3 3 5" xfId="26239"/>
    <cellStyle name="Percent 3 4 3 4" xfId="7847"/>
    <cellStyle name="Percent 3 4 3 4 2" xfId="14041"/>
    <cellStyle name="Percent 3 4 3 4 2 2" xfId="33924"/>
    <cellStyle name="Percent 3 4 3 4 3" xfId="20193"/>
    <cellStyle name="Percent 3 4 3 4 3 2" xfId="40076"/>
    <cellStyle name="Percent 3 4 3 4 4" xfId="27771"/>
    <cellStyle name="Percent 3 4 3 5" xfId="10975"/>
    <cellStyle name="Percent 3 4 3 5 2" xfId="30858"/>
    <cellStyle name="Percent 3 4 3 6" xfId="17127"/>
    <cellStyle name="Percent 3 4 3 6 2" xfId="37010"/>
    <cellStyle name="Percent 3 4 3 7" xfId="24705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2 2" xfId="36228"/>
    <cellStyle name="Percent 3 4 4 2 2 2 3" xfId="22497"/>
    <cellStyle name="Percent 3 4 4 2 2 2 3 2" xfId="42380"/>
    <cellStyle name="Percent 3 4 4 2 2 2 4" xfId="30075"/>
    <cellStyle name="Percent 3 4 4 2 2 3" xfId="13279"/>
    <cellStyle name="Percent 3 4 4 2 2 3 2" xfId="33162"/>
    <cellStyle name="Percent 3 4 4 2 2 4" xfId="19431"/>
    <cellStyle name="Percent 3 4 4 2 2 4 2" xfId="39314"/>
    <cellStyle name="Percent 3 4 4 2 2 5" xfId="27009"/>
    <cellStyle name="Percent 3 4 4 2 3" xfId="8617"/>
    <cellStyle name="Percent 3 4 4 2 3 2" xfId="14811"/>
    <cellStyle name="Percent 3 4 4 2 3 2 2" xfId="34694"/>
    <cellStyle name="Percent 3 4 4 2 3 3" xfId="20963"/>
    <cellStyle name="Percent 3 4 4 2 3 3 2" xfId="40846"/>
    <cellStyle name="Percent 3 4 4 2 3 4" xfId="28541"/>
    <cellStyle name="Percent 3 4 4 2 4" xfId="11745"/>
    <cellStyle name="Percent 3 4 4 2 4 2" xfId="31628"/>
    <cellStyle name="Percent 3 4 4 2 5" xfId="17897"/>
    <cellStyle name="Percent 3 4 4 2 5 2" xfId="37780"/>
    <cellStyle name="Percent 3 4 4 2 6" xfId="25475"/>
    <cellStyle name="Percent 3 4 4 3" xfId="6293"/>
    <cellStyle name="Percent 3 4 4 3 2" xfId="9383"/>
    <cellStyle name="Percent 3 4 4 3 2 2" xfId="15576"/>
    <cellStyle name="Percent 3 4 4 3 2 2 2" xfId="35459"/>
    <cellStyle name="Percent 3 4 4 3 2 3" xfId="21728"/>
    <cellStyle name="Percent 3 4 4 3 2 3 2" xfId="41611"/>
    <cellStyle name="Percent 3 4 4 3 2 4" xfId="29306"/>
    <cellStyle name="Percent 3 4 4 3 3" xfId="12510"/>
    <cellStyle name="Percent 3 4 4 3 3 2" xfId="32393"/>
    <cellStyle name="Percent 3 4 4 3 4" xfId="18662"/>
    <cellStyle name="Percent 3 4 4 3 4 2" xfId="38545"/>
    <cellStyle name="Percent 3 4 4 3 5" xfId="26240"/>
    <cellStyle name="Percent 3 4 4 4" xfId="7848"/>
    <cellStyle name="Percent 3 4 4 4 2" xfId="14042"/>
    <cellStyle name="Percent 3 4 4 4 2 2" xfId="33925"/>
    <cellStyle name="Percent 3 4 4 4 3" xfId="20194"/>
    <cellStyle name="Percent 3 4 4 4 3 2" xfId="40077"/>
    <cellStyle name="Percent 3 4 4 4 4" xfId="27772"/>
    <cellStyle name="Percent 3 4 4 5" xfId="10976"/>
    <cellStyle name="Percent 3 4 4 5 2" xfId="30859"/>
    <cellStyle name="Percent 3 4 4 6" xfId="17128"/>
    <cellStyle name="Percent 3 4 4 6 2" xfId="37011"/>
    <cellStyle name="Percent 3 4 4 7" xfId="24706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2 2" xfId="36229"/>
    <cellStyle name="Percent 3 4 5 2 2 2 3" xfId="22498"/>
    <cellStyle name="Percent 3 4 5 2 2 2 3 2" xfId="42381"/>
    <cellStyle name="Percent 3 4 5 2 2 2 4" xfId="30076"/>
    <cellStyle name="Percent 3 4 5 2 2 3" xfId="13280"/>
    <cellStyle name="Percent 3 4 5 2 2 3 2" xfId="33163"/>
    <cellStyle name="Percent 3 4 5 2 2 4" xfId="19432"/>
    <cellStyle name="Percent 3 4 5 2 2 4 2" xfId="39315"/>
    <cellStyle name="Percent 3 4 5 2 2 5" xfId="27010"/>
    <cellStyle name="Percent 3 4 5 2 3" xfId="8618"/>
    <cellStyle name="Percent 3 4 5 2 3 2" xfId="14812"/>
    <cellStyle name="Percent 3 4 5 2 3 2 2" xfId="34695"/>
    <cellStyle name="Percent 3 4 5 2 3 3" xfId="20964"/>
    <cellStyle name="Percent 3 4 5 2 3 3 2" xfId="40847"/>
    <cellStyle name="Percent 3 4 5 2 3 4" xfId="28542"/>
    <cellStyle name="Percent 3 4 5 2 4" xfId="11746"/>
    <cellStyle name="Percent 3 4 5 2 4 2" xfId="31629"/>
    <cellStyle name="Percent 3 4 5 2 5" xfId="17898"/>
    <cellStyle name="Percent 3 4 5 2 5 2" xfId="37781"/>
    <cellStyle name="Percent 3 4 5 2 6" xfId="25476"/>
    <cellStyle name="Percent 3 4 5 3" xfId="6294"/>
    <cellStyle name="Percent 3 4 5 3 2" xfId="9384"/>
    <cellStyle name="Percent 3 4 5 3 2 2" xfId="15577"/>
    <cellStyle name="Percent 3 4 5 3 2 2 2" xfId="35460"/>
    <cellStyle name="Percent 3 4 5 3 2 3" xfId="21729"/>
    <cellStyle name="Percent 3 4 5 3 2 3 2" xfId="41612"/>
    <cellStyle name="Percent 3 4 5 3 2 4" xfId="29307"/>
    <cellStyle name="Percent 3 4 5 3 3" xfId="12511"/>
    <cellStyle name="Percent 3 4 5 3 3 2" xfId="32394"/>
    <cellStyle name="Percent 3 4 5 3 4" xfId="18663"/>
    <cellStyle name="Percent 3 4 5 3 4 2" xfId="38546"/>
    <cellStyle name="Percent 3 4 5 3 5" xfId="26241"/>
    <cellStyle name="Percent 3 4 5 4" xfId="7849"/>
    <cellStyle name="Percent 3 4 5 4 2" xfId="14043"/>
    <cellStyle name="Percent 3 4 5 4 2 2" xfId="33926"/>
    <cellStyle name="Percent 3 4 5 4 3" xfId="20195"/>
    <cellStyle name="Percent 3 4 5 4 3 2" xfId="40078"/>
    <cellStyle name="Percent 3 4 5 4 4" xfId="27773"/>
    <cellStyle name="Percent 3 4 5 5" xfId="10977"/>
    <cellStyle name="Percent 3 4 5 5 2" xfId="30860"/>
    <cellStyle name="Percent 3 4 5 6" xfId="17129"/>
    <cellStyle name="Percent 3 4 5 6 2" xfId="37012"/>
    <cellStyle name="Percent 3 4 5 7" xfId="24707"/>
    <cellStyle name="Percent 3 4 6" xfId="5438"/>
    <cellStyle name="Percent 3 4 6 2" xfId="7063"/>
    <cellStyle name="Percent 3 4 6 2 2" xfId="10149"/>
    <cellStyle name="Percent 3 4 6 2 2 2" xfId="16342"/>
    <cellStyle name="Percent 3 4 6 2 2 2 2" xfId="36225"/>
    <cellStyle name="Percent 3 4 6 2 2 3" xfId="22494"/>
    <cellStyle name="Percent 3 4 6 2 2 3 2" xfId="42377"/>
    <cellStyle name="Percent 3 4 6 2 2 4" xfId="30072"/>
    <cellStyle name="Percent 3 4 6 2 3" xfId="13276"/>
    <cellStyle name="Percent 3 4 6 2 3 2" xfId="33159"/>
    <cellStyle name="Percent 3 4 6 2 4" xfId="19428"/>
    <cellStyle name="Percent 3 4 6 2 4 2" xfId="39311"/>
    <cellStyle name="Percent 3 4 6 2 5" xfId="27006"/>
    <cellStyle name="Percent 3 4 6 3" xfId="8614"/>
    <cellStyle name="Percent 3 4 6 3 2" xfId="14808"/>
    <cellStyle name="Percent 3 4 6 3 2 2" xfId="34691"/>
    <cellStyle name="Percent 3 4 6 3 3" xfId="20960"/>
    <cellStyle name="Percent 3 4 6 3 3 2" xfId="40843"/>
    <cellStyle name="Percent 3 4 6 3 4" xfId="28538"/>
    <cellStyle name="Percent 3 4 6 4" xfId="11742"/>
    <cellStyle name="Percent 3 4 6 4 2" xfId="31625"/>
    <cellStyle name="Percent 3 4 6 5" xfId="17894"/>
    <cellStyle name="Percent 3 4 6 5 2" xfId="37777"/>
    <cellStyle name="Percent 3 4 6 6" xfId="25472"/>
    <cellStyle name="Percent 3 4 7" xfId="6290"/>
    <cellStyle name="Percent 3 4 7 2" xfId="9380"/>
    <cellStyle name="Percent 3 4 7 2 2" xfId="15573"/>
    <cellStyle name="Percent 3 4 7 2 2 2" xfId="35456"/>
    <cellStyle name="Percent 3 4 7 2 3" xfId="21725"/>
    <cellStyle name="Percent 3 4 7 2 3 2" xfId="41608"/>
    <cellStyle name="Percent 3 4 7 2 4" xfId="29303"/>
    <cellStyle name="Percent 3 4 7 3" xfId="12507"/>
    <cellStyle name="Percent 3 4 7 3 2" xfId="32390"/>
    <cellStyle name="Percent 3 4 7 4" xfId="18659"/>
    <cellStyle name="Percent 3 4 7 4 2" xfId="38542"/>
    <cellStyle name="Percent 3 4 7 5" xfId="26237"/>
    <cellStyle name="Percent 3 4 8" xfId="7845"/>
    <cellStyle name="Percent 3 4 8 2" xfId="14039"/>
    <cellStyle name="Percent 3 4 8 2 2" xfId="33922"/>
    <cellStyle name="Percent 3 4 8 3" xfId="20191"/>
    <cellStyle name="Percent 3 4 8 3 2" xfId="40074"/>
    <cellStyle name="Percent 3 4 8 4" xfId="27769"/>
    <cellStyle name="Percent 3 4 9" xfId="10973"/>
    <cellStyle name="Percent 3 4 9 2" xfId="30856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2 2" xfId="36231"/>
    <cellStyle name="Percent 3 5 2 2 2 2 3" xfId="22500"/>
    <cellStyle name="Percent 3 5 2 2 2 2 3 2" xfId="42383"/>
    <cellStyle name="Percent 3 5 2 2 2 2 4" xfId="30078"/>
    <cellStyle name="Percent 3 5 2 2 2 3" xfId="13282"/>
    <cellStyle name="Percent 3 5 2 2 2 3 2" xfId="33165"/>
    <cellStyle name="Percent 3 5 2 2 2 4" xfId="19434"/>
    <cellStyle name="Percent 3 5 2 2 2 4 2" xfId="39317"/>
    <cellStyle name="Percent 3 5 2 2 2 5" xfId="27012"/>
    <cellStyle name="Percent 3 5 2 2 3" xfId="8620"/>
    <cellStyle name="Percent 3 5 2 2 3 2" xfId="14814"/>
    <cellStyle name="Percent 3 5 2 2 3 2 2" xfId="34697"/>
    <cellStyle name="Percent 3 5 2 2 3 3" xfId="20966"/>
    <cellStyle name="Percent 3 5 2 2 3 3 2" xfId="40849"/>
    <cellStyle name="Percent 3 5 2 2 3 4" xfId="28544"/>
    <cellStyle name="Percent 3 5 2 2 4" xfId="11748"/>
    <cellStyle name="Percent 3 5 2 2 4 2" xfId="31631"/>
    <cellStyle name="Percent 3 5 2 2 5" xfId="17900"/>
    <cellStyle name="Percent 3 5 2 2 5 2" xfId="37783"/>
    <cellStyle name="Percent 3 5 2 2 6" xfId="25478"/>
    <cellStyle name="Percent 3 5 2 3" xfId="6296"/>
    <cellStyle name="Percent 3 5 2 3 2" xfId="9386"/>
    <cellStyle name="Percent 3 5 2 3 2 2" xfId="15579"/>
    <cellStyle name="Percent 3 5 2 3 2 2 2" xfId="35462"/>
    <cellStyle name="Percent 3 5 2 3 2 3" xfId="21731"/>
    <cellStyle name="Percent 3 5 2 3 2 3 2" xfId="41614"/>
    <cellStyle name="Percent 3 5 2 3 2 4" xfId="29309"/>
    <cellStyle name="Percent 3 5 2 3 3" xfId="12513"/>
    <cellStyle name="Percent 3 5 2 3 3 2" xfId="32396"/>
    <cellStyle name="Percent 3 5 2 3 4" xfId="18665"/>
    <cellStyle name="Percent 3 5 2 3 4 2" xfId="38548"/>
    <cellStyle name="Percent 3 5 2 3 5" xfId="26243"/>
    <cellStyle name="Percent 3 5 2 4" xfId="7851"/>
    <cellStyle name="Percent 3 5 2 4 2" xfId="14045"/>
    <cellStyle name="Percent 3 5 2 4 2 2" xfId="33928"/>
    <cellStyle name="Percent 3 5 2 4 3" xfId="20197"/>
    <cellStyle name="Percent 3 5 2 4 3 2" xfId="40080"/>
    <cellStyle name="Percent 3 5 2 4 4" xfId="27775"/>
    <cellStyle name="Percent 3 5 2 5" xfId="10979"/>
    <cellStyle name="Percent 3 5 2 5 2" xfId="30862"/>
    <cellStyle name="Percent 3 5 2 6" xfId="17131"/>
    <cellStyle name="Percent 3 5 2 6 2" xfId="37014"/>
    <cellStyle name="Percent 3 5 2 7" xfId="24709"/>
    <cellStyle name="Percent 3 5 3" xfId="5443"/>
    <cellStyle name="Percent 3 5 3 2" xfId="7068"/>
    <cellStyle name="Percent 3 5 3 2 2" xfId="10154"/>
    <cellStyle name="Percent 3 5 3 2 2 2" xfId="16347"/>
    <cellStyle name="Percent 3 5 3 2 2 2 2" xfId="36230"/>
    <cellStyle name="Percent 3 5 3 2 2 3" xfId="22499"/>
    <cellStyle name="Percent 3 5 3 2 2 3 2" xfId="42382"/>
    <cellStyle name="Percent 3 5 3 2 2 4" xfId="30077"/>
    <cellStyle name="Percent 3 5 3 2 3" xfId="13281"/>
    <cellStyle name="Percent 3 5 3 2 3 2" xfId="33164"/>
    <cellStyle name="Percent 3 5 3 2 4" xfId="19433"/>
    <cellStyle name="Percent 3 5 3 2 4 2" xfId="39316"/>
    <cellStyle name="Percent 3 5 3 2 5" xfId="27011"/>
    <cellStyle name="Percent 3 5 3 3" xfId="8619"/>
    <cellStyle name="Percent 3 5 3 3 2" xfId="14813"/>
    <cellStyle name="Percent 3 5 3 3 2 2" xfId="34696"/>
    <cellStyle name="Percent 3 5 3 3 3" xfId="20965"/>
    <cellStyle name="Percent 3 5 3 3 3 2" xfId="40848"/>
    <cellStyle name="Percent 3 5 3 3 4" xfId="28543"/>
    <cellStyle name="Percent 3 5 3 4" xfId="11747"/>
    <cellStyle name="Percent 3 5 3 4 2" xfId="31630"/>
    <cellStyle name="Percent 3 5 3 5" xfId="17899"/>
    <cellStyle name="Percent 3 5 3 5 2" xfId="37782"/>
    <cellStyle name="Percent 3 5 3 6" xfId="25477"/>
    <cellStyle name="Percent 3 5 4" xfId="6295"/>
    <cellStyle name="Percent 3 5 4 2" xfId="9385"/>
    <cellStyle name="Percent 3 5 4 2 2" xfId="15578"/>
    <cellStyle name="Percent 3 5 4 2 2 2" xfId="35461"/>
    <cellStyle name="Percent 3 5 4 2 3" xfId="21730"/>
    <cellStyle name="Percent 3 5 4 2 3 2" xfId="41613"/>
    <cellStyle name="Percent 3 5 4 2 4" xfId="29308"/>
    <cellStyle name="Percent 3 5 4 3" xfId="12512"/>
    <cellStyle name="Percent 3 5 4 3 2" xfId="32395"/>
    <cellStyle name="Percent 3 5 4 4" xfId="18664"/>
    <cellStyle name="Percent 3 5 4 4 2" xfId="38547"/>
    <cellStyle name="Percent 3 5 4 5" xfId="26242"/>
    <cellStyle name="Percent 3 5 5" xfId="7850"/>
    <cellStyle name="Percent 3 5 5 2" xfId="14044"/>
    <cellStyle name="Percent 3 5 5 2 2" xfId="33927"/>
    <cellStyle name="Percent 3 5 5 3" xfId="20196"/>
    <cellStyle name="Percent 3 5 5 3 2" xfId="40079"/>
    <cellStyle name="Percent 3 5 5 4" xfId="27774"/>
    <cellStyle name="Percent 3 5 6" xfId="10978"/>
    <cellStyle name="Percent 3 5 6 2" xfId="30861"/>
    <cellStyle name="Percent 3 5 7" xfId="17130"/>
    <cellStyle name="Percent 3 5 7 2" xfId="37013"/>
    <cellStyle name="Percent 3 5 8" xfId="4408"/>
    <cellStyle name="Percent 3 5 8 2" xfId="247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2 2" xfId="36233"/>
    <cellStyle name="Percent 3 6 2 2 2 2 3" xfId="22502"/>
    <cellStyle name="Percent 3 6 2 2 2 2 3 2" xfId="42385"/>
    <cellStyle name="Percent 3 6 2 2 2 2 4" xfId="30080"/>
    <cellStyle name="Percent 3 6 2 2 2 3" xfId="13284"/>
    <cellStyle name="Percent 3 6 2 2 2 3 2" xfId="33167"/>
    <cellStyle name="Percent 3 6 2 2 2 4" xfId="19436"/>
    <cellStyle name="Percent 3 6 2 2 2 4 2" xfId="39319"/>
    <cellStyle name="Percent 3 6 2 2 2 5" xfId="27014"/>
    <cellStyle name="Percent 3 6 2 2 3" xfId="8622"/>
    <cellStyle name="Percent 3 6 2 2 3 2" xfId="14816"/>
    <cellStyle name="Percent 3 6 2 2 3 2 2" xfId="34699"/>
    <cellStyle name="Percent 3 6 2 2 3 3" xfId="20968"/>
    <cellStyle name="Percent 3 6 2 2 3 3 2" xfId="40851"/>
    <cellStyle name="Percent 3 6 2 2 3 4" xfId="28546"/>
    <cellStyle name="Percent 3 6 2 2 4" xfId="11750"/>
    <cellStyle name="Percent 3 6 2 2 4 2" xfId="31633"/>
    <cellStyle name="Percent 3 6 2 2 5" xfId="17902"/>
    <cellStyle name="Percent 3 6 2 2 5 2" xfId="37785"/>
    <cellStyle name="Percent 3 6 2 2 6" xfId="25480"/>
    <cellStyle name="Percent 3 6 2 3" xfId="6298"/>
    <cellStyle name="Percent 3 6 2 3 2" xfId="9388"/>
    <cellStyle name="Percent 3 6 2 3 2 2" xfId="15581"/>
    <cellStyle name="Percent 3 6 2 3 2 2 2" xfId="35464"/>
    <cellStyle name="Percent 3 6 2 3 2 3" xfId="21733"/>
    <cellStyle name="Percent 3 6 2 3 2 3 2" xfId="41616"/>
    <cellStyle name="Percent 3 6 2 3 2 4" xfId="29311"/>
    <cellStyle name="Percent 3 6 2 3 3" xfId="12515"/>
    <cellStyle name="Percent 3 6 2 3 3 2" xfId="32398"/>
    <cellStyle name="Percent 3 6 2 3 4" xfId="18667"/>
    <cellStyle name="Percent 3 6 2 3 4 2" xfId="38550"/>
    <cellStyle name="Percent 3 6 2 3 5" xfId="26245"/>
    <cellStyle name="Percent 3 6 2 4" xfId="7853"/>
    <cellStyle name="Percent 3 6 2 4 2" xfId="14047"/>
    <cellStyle name="Percent 3 6 2 4 2 2" xfId="33930"/>
    <cellStyle name="Percent 3 6 2 4 3" xfId="20199"/>
    <cellStyle name="Percent 3 6 2 4 3 2" xfId="40082"/>
    <cellStyle name="Percent 3 6 2 4 4" xfId="27777"/>
    <cellStyle name="Percent 3 6 2 5" xfId="10981"/>
    <cellStyle name="Percent 3 6 2 5 2" xfId="30864"/>
    <cellStyle name="Percent 3 6 2 6" xfId="17133"/>
    <cellStyle name="Percent 3 6 2 6 2" xfId="37016"/>
    <cellStyle name="Percent 3 6 2 7" xfId="24711"/>
    <cellStyle name="Percent 3 6 3" xfId="5445"/>
    <cellStyle name="Percent 3 6 3 2" xfId="7070"/>
    <cellStyle name="Percent 3 6 3 2 2" xfId="10156"/>
    <cellStyle name="Percent 3 6 3 2 2 2" xfId="16349"/>
    <cellStyle name="Percent 3 6 3 2 2 2 2" xfId="36232"/>
    <cellStyle name="Percent 3 6 3 2 2 3" xfId="22501"/>
    <cellStyle name="Percent 3 6 3 2 2 3 2" xfId="42384"/>
    <cellStyle name="Percent 3 6 3 2 2 4" xfId="30079"/>
    <cellStyle name="Percent 3 6 3 2 3" xfId="13283"/>
    <cellStyle name="Percent 3 6 3 2 3 2" xfId="33166"/>
    <cellStyle name="Percent 3 6 3 2 4" xfId="19435"/>
    <cellStyle name="Percent 3 6 3 2 4 2" xfId="39318"/>
    <cellStyle name="Percent 3 6 3 2 5" xfId="27013"/>
    <cellStyle name="Percent 3 6 3 3" xfId="8621"/>
    <cellStyle name="Percent 3 6 3 3 2" xfId="14815"/>
    <cellStyle name="Percent 3 6 3 3 2 2" xfId="34698"/>
    <cellStyle name="Percent 3 6 3 3 3" xfId="20967"/>
    <cellStyle name="Percent 3 6 3 3 3 2" xfId="40850"/>
    <cellStyle name="Percent 3 6 3 3 4" xfId="28545"/>
    <cellStyle name="Percent 3 6 3 4" xfId="11749"/>
    <cellStyle name="Percent 3 6 3 4 2" xfId="31632"/>
    <cellStyle name="Percent 3 6 3 5" xfId="17901"/>
    <cellStyle name="Percent 3 6 3 5 2" xfId="37784"/>
    <cellStyle name="Percent 3 6 3 6" xfId="25479"/>
    <cellStyle name="Percent 3 6 4" xfId="6297"/>
    <cellStyle name="Percent 3 6 4 2" xfId="9387"/>
    <cellStyle name="Percent 3 6 4 2 2" xfId="15580"/>
    <cellStyle name="Percent 3 6 4 2 2 2" xfId="35463"/>
    <cellStyle name="Percent 3 6 4 2 3" xfId="21732"/>
    <cellStyle name="Percent 3 6 4 2 3 2" xfId="41615"/>
    <cellStyle name="Percent 3 6 4 2 4" xfId="29310"/>
    <cellStyle name="Percent 3 6 4 3" xfId="12514"/>
    <cellStyle name="Percent 3 6 4 3 2" xfId="32397"/>
    <cellStyle name="Percent 3 6 4 4" xfId="18666"/>
    <cellStyle name="Percent 3 6 4 4 2" xfId="38549"/>
    <cellStyle name="Percent 3 6 4 5" xfId="26244"/>
    <cellStyle name="Percent 3 6 5" xfId="7852"/>
    <cellStyle name="Percent 3 6 5 2" xfId="14046"/>
    <cellStyle name="Percent 3 6 5 2 2" xfId="33929"/>
    <cellStyle name="Percent 3 6 5 3" xfId="20198"/>
    <cellStyle name="Percent 3 6 5 3 2" xfId="40081"/>
    <cellStyle name="Percent 3 6 5 4" xfId="27776"/>
    <cellStyle name="Percent 3 6 6" xfId="10980"/>
    <cellStyle name="Percent 3 6 6 2" xfId="30863"/>
    <cellStyle name="Percent 3 6 7" xfId="17132"/>
    <cellStyle name="Percent 3 6 7 2" xfId="37015"/>
    <cellStyle name="Percent 3 6 8" xfId="4410"/>
    <cellStyle name="Percent 3 6 8 2" xfId="247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2 2" xfId="36235"/>
    <cellStyle name="Percent 3 7 2 2 2 2 3" xfId="22504"/>
    <cellStyle name="Percent 3 7 2 2 2 2 3 2" xfId="42387"/>
    <cellStyle name="Percent 3 7 2 2 2 2 4" xfId="30082"/>
    <cellStyle name="Percent 3 7 2 2 2 3" xfId="13286"/>
    <cellStyle name="Percent 3 7 2 2 2 3 2" xfId="33169"/>
    <cellStyle name="Percent 3 7 2 2 2 4" xfId="19438"/>
    <cellStyle name="Percent 3 7 2 2 2 4 2" xfId="39321"/>
    <cellStyle name="Percent 3 7 2 2 2 5" xfId="27016"/>
    <cellStyle name="Percent 3 7 2 2 3" xfId="8624"/>
    <cellStyle name="Percent 3 7 2 2 3 2" xfId="14818"/>
    <cellStyle name="Percent 3 7 2 2 3 2 2" xfId="34701"/>
    <cellStyle name="Percent 3 7 2 2 3 3" xfId="20970"/>
    <cellStyle name="Percent 3 7 2 2 3 3 2" xfId="40853"/>
    <cellStyle name="Percent 3 7 2 2 3 4" xfId="28548"/>
    <cellStyle name="Percent 3 7 2 2 4" xfId="11752"/>
    <cellStyle name="Percent 3 7 2 2 4 2" xfId="31635"/>
    <cellStyle name="Percent 3 7 2 2 5" xfId="17904"/>
    <cellStyle name="Percent 3 7 2 2 5 2" xfId="37787"/>
    <cellStyle name="Percent 3 7 2 2 6" xfId="25482"/>
    <cellStyle name="Percent 3 7 2 3" xfId="6300"/>
    <cellStyle name="Percent 3 7 2 3 2" xfId="9390"/>
    <cellStyle name="Percent 3 7 2 3 2 2" xfId="15583"/>
    <cellStyle name="Percent 3 7 2 3 2 2 2" xfId="35466"/>
    <cellStyle name="Percent 3 7 2 3 2 3" xfId="21735"/>
    <cellStyle name="Percent 3 7 2 3 2 3 2" xfId="41618"/>
    <cellStyle name="Percent 3 7 2 3 2 4" xfId="29313"/>
    <cellStyle name="Percent 3 7 2 3 3" xfId="12517"/>
    <cellStyle name="Percent 3 7 2 3 3 2" xfId="32400"/>
    <cellStyle name="Percent 3 7 2 3 4" xfId="18669"/>
    <cellStyle name="Percent 3 7 2 3 4 2" xfId="38552"/>
    <cellStyle name="Percent 3 7 2 3 5" xfId="26247"/>
    <cellStyle name="Percent 3 7 2 4" xfId="7855"/>
    <cellStyle name="Percent 3 7 2 4 2" xfId="14049"/>
    <cellStyle name="Percent 3 7 2 4 2 2" xfId="33932"/>
    <cellStyle name="Percent 3 7 2 4 3" xfId="20201"/>
    <cellStyle name="Percent 3 7 2 4 3 2" xfId="40084"/>
    <cellStyle name="Percent 3 7 2 4 4" xfId="27779"/>
    <cellStyle name="Percent 3 7 2 5" xfId="10983"/>
    <cellStyle name="Percent 3 7 2 5 2" xfId="30866"/>
    <cellStyle name="Percent 3 7 2 6" xfId="17135"/>
    <cellStyle name="Percent 3 7 2 6 2" xfId="37018"/>
    <cellStyle name="Percent 3 7 2 7" xfId="24713"/>
    <cellStyle name="Percent 3 7 3" xfId="5447"/>
    <cellStyle name="Percent 3 7 3 2" xfId="7072"/>
    <cellStyle name="Percent 3 7 3 2 2" xfId="10158"/>
    <cellStyle name="Percent 3 7 3 2 2 2" xfId="16351"/>
    <cellStyle name="Percent 3 7 3 2 2 2 2" xfId="36234"/>
    <cellStyle name="Percent 3 7 3 2 2 3" xfId="22503"/>
    <cellStyle name="Percent 3 7 3 2 2 3 2" xfId="42386"/>
    <cellStyle name="Percent 3 7 3 2 2 4" xfId="30081"/>
    <cellStyle name="Percent 3 7 3 2 3" xfId="13285"/>
    <cellStyle name="Percent 3 7 3 2 3 2" xfId="33168"/>
    <cellStyle name="Percent 3 7 3 2 4" xfId="19437"/>
    <cellStyle name="Percent 3 7 3 2 4 2" xfId="39320"/>
    <cellStyle name="Percent 3 7 3 2 5" xfId="27015"/>
    <cellStyle name="Percent 3 7 3 3" xfId="8623"/>
    <cellStyle name="Percent 3 7 3 3 2" xfId="14817"/>
    <cellStyle name="Percent 3 7 3 3 2 2" xfId="34700"/>
    <cellStyle name="Percent 3 7 3 3 3" xfId="20969"/>
    <cellStyle name="Percent 3 7 3 3 3 2" xfId="40852"/>
    <cellStyle name="Percent 3 7 3 3 4" xfId="28547"/>
    <cellStyle name="Percent 3 7 3 4" xfId="11751"/>
    <cellStyle name="Percent 3 7 3 4 2" xfId="31634"/>
    <cellStyle name="Percent 3 7 3 5" xfId="17903"/>
    <cellStyle name="Percent 3 7 3 5 2" xfId="37786"/>
    <cellStyle name="Percent 3 7 3 6" xfId="25481"/>
    <cellStyle name="Percent 3 7 4" xfId="6299"/>
    <cellStyle name="Percent 3 7 4 2" xfId="9389"/>
    <cellStyle name="Percent 3 7 4 2 2" xfId="15582"/>
    <cellStyle name="Percent 3 7 4 2 2 2" xfId="35465"/>
    <cellStyle name="Percent 3 7 4 2 3" xfId="21734"/>
    <cellStyle name="Percent 3 7 4 2 3 2" xfId="41617"/>
    <cellStyle name="Percent 3 7 4 2 4" xfId="29312"/>
    <cellStyle name="Percent 3 7 4 3" xfId="12516"/>
    <cellStyle name="Percent 3 7 4 3 2" xfId="32399"/>
    <cellStyle name="Percent 3 7 4 4" xfId="18668"/>
    <cellStyle name="Percent 3 7 4 4 2" xfId="38551"/>
    <cellStyle name="Percent 3 7 4 5" xfId="26246"/>
    <cellStyle name="Percent 3 7 5" xfId="7854"/>
    <cellStyle name="Percent 3 7 5 2" xfId="14048"/>
    <cellStyle name="Percent 3 7 5 2 2" xfId="33931"/>
    <cellStyle name="Percent 3 7 5 3" xfId="20200"/>
    <cellStyle name="Percent 3 7 5 3 2" xfId="40083"/>
    <cellStyle name="Percent 3 7 5 4" xfId="27778"/>
    <cellStyle name="Percent 3 7 6" xfId="10982"/>
    <cellStyle name="Percent 3 7 6 2" xfId="30865"/>
    <cellStyle name="Percent 3 7 7" xfId="17134"/>
    <cellStyle name="Percent 3 7 7 2" xfId="37017"/>
    <cellStyle name="Percent 3 7 8" xfId="4412"/>
    <cellStyle name="Percent 3 7 8 2" xfId="247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2 2" xfId="36236"/>
    <cellStyle name="Percent 3 8 2 2 2 3" xfId="22505"/>
    <cellStyle name="Percent 3 8 2 2 2 3 2" xfId="42388"/>
    <cellStyle name="Percent 3 8 2 2 2 4" xfId="30083"/>
    <cellStyle name="Percent 3 8 2 2 3" xfId="13287"/>
    <cellStyle name="Percent 3 8 2 2 3 2" xfId="33170"/>
    <cellStyle name="Percent 3 8 2 2 4" xfId="19439"/>
    <cellStyle name="Percent 3 8 2 2 4 2" xfId="39322"/>
    <cellStyle name="Percent 3 8 2 2 5" xfId="27017"/>
    <cellStyle name="Percent 3 8 2 3" xfId="8625"/>
    <cellStyle name="Percent 3 8 2 3 2" xfId="14819"/>
    <cellStyle name="Percent 3 8 2 3 2 2" xfId="34702"/>
    <cellStyle name="Percent 3 8 2 3 3" xfId="20971"/>
    <cellStyle name="Percent 3 8 2 3 3 2" xfId="40854"/>
    <cellStyle name="Percent 3 8 2 3 4" xfId="28549"/>
    <cellStyle name="Percent 3 8 2 4" xfId="11753"/>
    <cellStyle name="Percent 3 8 2 4 2" xfId="31636"/>
    <cellStyle name="Percent 3 8 2 5" xfId="17905"/>
    <cellStyle name="Percent 3 8 2 5 2" xfId="37788"/>
    <cellStyle name="Percent 3 8 2 6" xfId="25483"/>
    <cellStyle name="Percent 3 8 3" xfId="6301"/>
    <cellStyle name="Percent 3 8 3 2" xfId="9391"/>
    <cellStyle name="Percent 3 8 3 2 2" xfId="15584"/>
    <cellStyle name="Percent 3 8 3 2 2 2" xfId="35467"/>
    <cellStyle name="Percent 3 8 3 2 3" xfId="21736"/>
    <cellStyle name="Percent 3 8 3 2 3 2" xfId="41619"/>
    <cellStyle name="Percent 3 8 3 2 4" xfId="29314"/>
    <cellStyle name="Percent 3 8 3 3" xfId="12518"/>
    <cellStyle name="Percent 3 8 3 3 2" xfId="32401"/>
    <cellStyle name="Percent 3 8 3 4" xfId="18670"/>
    <cellStyle name="Percent 3 8 3 4 2" xfId="38553"/>
    <cellStyle name="Percent 3 8 3 5" xfId="26248"/>
    <cellStyle name="Percent 3 8 4" xfId="7856"/>
    <cellStyle name="Percent 3 8 4 2" xfId="14050"/>
    <cellStyle name="Percent 3 8 4 2 2" xfId="33933"/>
    <cellStyle name="Percent 3 8 4 3" xfId="20202"/>
    <cellStyle name="Percent 3 8 4 3 2" xfId="40085"/>
    <cellStyle name="Percent 3 8 4 4" xfId="27780"/>
    <cellStyle name="Percent 3 8 5" xfId="10984"/>
    <cellStyle name="Percent 3 8 5 2" xfId="30867"/>
    <cellStyle name="Percent 3 8 6" xfId="17136"/>
    <cellStyle name="Percent 3 8 6 2" xfId="37019"/>
    <cellStyle name="Percent 3 8 7" xfId="4414"/>
    <cellStyle name="Percent 3 8 7 2" xfId="247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2 2" xfId="36237"/>
    <cellStyle name="Percent 3 9 2 2 2 3" xfId="22506"/>
    <cellStyle name="Percent 3 9 2 2 2 3 2" xfId="42389"/>
    <cellStyle name="Percent 3 9 2 2 2 4" xfId="30084"/>
    <cellStyle name="Percent 3 9 2 2 3" xfId="13288"/>
    <cellStyle name="Percent 3 9 2 2 3 2" xfId="33171"/>
    <cellStyle name="Percent 3 9 2 2 4" xfId="19440"/>
    <cellStyle name="Percent 3 9 2 2 4 2" xfId="39323"/>
    <cellStyle name="Percent 3 9 2 2 5" xfId="27018"/>
    <cellStyle name="Percent 3 9 2 3" xfId="8626"/>
    <cellStyle name="Percent 3 9 2 3 2" xfId="14820"/>
    <cellStyle name="Percent 3 9 2 3 2 2" xfId="34703"/>
    <cellStyle name="Percent 3 9 2 3 3" xfId="20972"/>
    <cellStyle name="Percent 3 9 2 3 3 2" xfId="40855"/>
    <cellStyle name="Percent 3 9 2 3 4" xfId="28550"/>
    <cellStyle name="Percent 3 9 2 4" xfId="11754"/>
    <cellStyle name="Percent 3 9 2 4 2" xfId="31637"/>
    <cellStyle name="Percent 3 9 2 5" xfId="17906"/>
    <cellStyle name="Percent 3 9 2 5 2" xfId="37789"/>
    <cellStyle name="Percent 3 9 2 6" xfId="25484"/>
    <cellStyle name="Percent 3 9 3" xfId="6302"/>
    <cellStyle name="Percent 3 9 3 2" xfId="9392"/>
    <cellStyle name="Percent 3 9 3 2 2" xfId="15585"/>
    <cellStyle name="Percent 3 9 3 2 2 2" xfId="35468"/>
    <cellStyle name="Percent 3 9 3 2 3" xfId="21737"/>
    <cellStyle name="Percent 3 9 3 2 3 2" xfId="41620"/>
    <cellStyle name="Percent 3 9 3 2 4" xfId="29315"/>
    <cellStyle name="Percent 3 9 3 3" xfId="12519"/>
    <cellStyle name="Percent 3 9 3 3 2" xfId="32402"/>
    <cellStyle name="Percent 3 9 3 4" xfId="18671"/>
    <cellStyle name="Percent 3 9 3 4 2" xfId="38554"/>
    <cellStyle name="Percent 3 9 3 5" xfId="26249"/>
    <cellStyle name="Percent 3 9 4" xfId="7857"/>
    <cellStyle name="Percent 3 9 4 2" xfId="14051"/>
    <cellStyle name="Percent 3 9 4 2 2" xfId="33934"/>
    <cellStyle name="Percent 3 9 4 3" xfId="20203"/>
    <cellStyle name="Percent 3 9 4 3 2" xfId="40086"/>
    <cellStyle name="Percent 3 9 4 4" xfId="27781"/>
    <cellStyle name="Percent 3 9 5" xfId="10985"/>
    <cellStyle name="Percent 3 9 5 2" xfId="30868"/>
    <cellStyle name="Percent 3 9 6" xfId="17137"/>
    <cellStyle name="Percent 3 9 6 2" xfId="37020"/>
    <cellStyle name="Percent 3 9 7" xfId="4415"/>
    <cellStyle name="Percent 3 9 7 2" xfId="247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2 2" xfId="36239"/>
    <cellStyle name="Percent 30 2 2 2 2 2 3" xfId="22508"/>
    <cellStyle name="Percent 30 2 2 2 2 2 3 2" xfId="42391"/>
    <cellStyle name="Percent 30 2 2 2 2 2 4" xfId="30086"/>
    <cellStyle name="Percent 30 2 2 2 2 3" xfId="13290"/>
    <cellStyle name="Percent 30 2 2 2 2 3 2" xfId="33173"/>
    <cellStyle name="Percent 30 2 2 2 2 4" xfId="19442"/>
    <cellStyle name="Percent 30 2 2 2 2 4 2" xfId="39325"/>
    <cellStyle name="Percent 30 2 2 2 2 5" xfId="27020"/>
    <cellStyle name="Percent 30 2 2 2 3" xfId="8628"/>
    <cellStyle name="Percent 30 2 2 2 3 2" xfId="14822"/>
    <cellStyle name="Percent 30 2 2 2 3 2 2" xfId="34705"/>
    <cellStyle name="Percent 30 2 2 2 3 3" xfId="20974"/>
    <cellStyle name="Percent 30 2 2 2 3 3 2" xfId="40857"/>
    <cellStyle name="Percent 30 2 2 2 3 4" xfId="28552"/>
    <cellStyle name="Percent 30 2 2 2 4" xfId="11756"/>
    <cellStyle name="Percent 30 2 2 2 4 2" xfId="31639"/>
    <cellStyle name="Percent 30 2 2 2 5" xfId="17908"/>
    <cellStyle name="Percent 30 2 2 2 5 2" xfId="37791"/>
    <cellStyle name="Percent 30 2 2 2 6" xfId="25486"/>
    <cellStyle name="Percent 30 2 2 3" xfId="6305"/>
    <cellStyle name="Percent 30 2 2 3 2" xfId="9394"/>
    <cellStyle name="Percent 30 2 2 3 2 2" xfId="15587"/>
    <cellStyle name="Percent 30 2 2 3 2 2 2" xfId="35470"/>
    <cellStyle name="Percent 30 2 2 3 2 3" xfId="21739"/>
    <cellStyle name="Percent 30 2 2 3 2 3 2" xfId="41622"/>
    <cellStyle name="Percent 30 2 2 3 2 4" xfId="29317"/>
    <cellStyle name="Percent 30 2 2 3 3" xfId="12521"/>
    <cellStyle name="Percent 30 2 2 3 3 2" xfId="32404"/>
    <cellStyle name="Percent 30 2 2 3 4" xfId="18673"/>
    <cellStyle name="Percent 30 2 2 3 4 2" xfId="38556"/>
    <cellStyle name="Percent 30 2 2 3 5" xfId="26251"/>
    <cellStyle name="Percent 30 2 2 4" xfId="7859"/>
    <cellStyle name="Percent 30 2 2 4 2" xfId="14053"/>
    <cellStyle name="Percent 30 2 2 4 2 2" xfId="33936"/>
    <cellStyle name="Percent 30 2 2 4 3" xfId="20205"/>
    <cellStyle name="Percent 30 2 2 4 3 2" xfId="40088"/>
    <cellStyle name="Percent 30 2 2 4 4" xfId="27783"/>
    <cellStyle name="Percent 30 2 2 5" xfId="10987"/>
    <cellStyle name="Percent 30 2 2 5 2" xfId="30870"/>
    <cellStyle name="Percent 30 2 2 6" xfId="17139"/>
    <cellStyle name="Percent 30 2 2 6 2" xfId="37022"/>
    <cellStyle name="Percent 30 2 2 7" xfId="24717"/>
    <cellStyle name="Percent 30 2 3" xfId="5451"/>
    <cellStyle name="Percent 30 2 3 2" xfId="7076"/>
    <cellStyle name="Percent 30 2 3 2 2" xfId="10162"/>
    <cellStyle name="Percent 30 2 3 2 2 2" xfId="16355"/>
    <cellStyle name="Percent 30 2 3 2 2 2 2" xfId="36238"/>
    <cellStyle name="Percent 30 2 3 2 2 3" xfId="22507"/>
    <cellStyle name="Percent 30 2 3 2 2 3 2" xfId="42390"/>
    <cellStyle name="Percent 30 2 3 2 2 4" xfId="30085"/>
    <cellStyle name="Percent 30 2 3 2 3" xfId="13289"/>
    <cellStyle name="Percent 30 2 3 2 3 2" xfId="33172"/>
    <cellStyle name="Percent 30 2 3 2 4" xfId="19441"/>
    <cellStyle name="Percent 30 2 3 2 4 2" xfId="39324"/>
    <cellStyle name="Percent 30 2 3 2 5" xfId="27019"/>
    <cellStyle name="Percent 30 2 3 3" xfId="8627"/>
    <cellStyle name="Percent 30 2 3 3 2" xfId="14821"/>
    <cellStyle name="Percent 30 2 3 3 2 2" xfId="34704"/>
    <cellStyle name="Percent 30 2 3 3 3" xfId="20973"/>
    <cellStyle name="Percent 30 2 3 3 3 2" xfId="40856"/>
    <cellStyle name="Percent 30 2 3 3 4" xfId="28551"/>
    <cellStyle name="Percent 30 2 3 4" xfId="11755"/>
    <cellStyle name="Percent 30 2 3 4 2" xfId="31638"/>
    <cellStyle name="Percent 30 2 3 5" xfId="17907"/>
    <cellStyle name="Percent 30 2 3 5 2" xfId="37790"/>
    <cellStyle name="Percent 30 2 3 6" xfId="25485"/>
    <cellStyle name="Percent 30 2 4" xfId="6304"/>
    <cellStyle name="Percent 30 2 4 2" xfId="9393"/>
    <cellStyle name="Percent 30 2 4 2 2" xfId="15586"/>
    <cellStyle name="Percent 30 2 4 2 2 2" xfId="35469"/>
    <cellStyle name="Percent 30 2 4 2 3" xfId="21738"/>
    <cellStyle name="Percent 30 2 4 2 3 2" xfId="41621"/>
    <cellStyle name="Percent 30 2 4 2 4" xfId="29316"/>
    <cellStyle name="Percent 30 2 4 3" xfId="12520"/>
    <cellStyle name="Percent 30 2 4 3 2" xfId="32403"/>
    <cellStyle name="Percent 30 2 4 4" xfId="18672"/>
    <cellStyle name="Percent 30 2 4 4 2" xfId="38555"/>
    <cellStyle name="Percent 30 2 4 5" xfId="26250"/>
    <cellStyle name="Percent 30 2 5" xfId="7858"/>
    <cellStyle name="Percent 30 2 5 2" xfId="14052"/>
    <cellStyle name="Percent 30 2 5 2 2" xfId="33935"/>
    <cellStyle name="Percent 30 2 5 3" xfId="20204"/>
    <cellStyle name="Percent 30 2 5 3 2" xfId="40087"/>
    <cellStyle name="Percent 30 2 5 4" xfId="27782"/>
    <cellStyle name="Percent 30 2 6" xfId="10986"/>
    <cellStyle name="Percent 30 2 6 2" xfId="30869"/>
    <cellStyle name="Percent 30 2 7" xfId="17138"/>
    <cellStyle name="Percent 30 2 7 2" xfId="37021"/>
    <cellStyle name="Percent 30 2 8" xfId="24716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2 2" xfId="36241"/>
    <cellStyle name="Percent 30 3 2 2 2 2 3" xfId="22510"/>
    <cellStyle name="Percent 30 3 2 2 2 2 3 2" xfId="42393"/>
    <cellStyle name="Percent 30 3 2 2 2 2 4" xfId="30088"/>
    <cellStyle name="Percent 30 3 2 2 2 3" xfId="13292"/>
    <cellStyle name="Percent 30 3 2 2 2 3 2" xfId="33175"/>
    <cellStyle name="Percent 30 3 2 2 2 4" xfId="19444"/>
    <cellStyle name="Percent 30 3 2 2 2 4 2" xfId="39327"/>
    <cellStyle name="Percent 30 3 2 2 2 5" xfId="27022"/>
    <cellStyle name="Percent 30 3 2 2 3" xfId="8630"/>
    <cellStyle name="Percent 30 3 2 2 3 2" xfId="14824"/>
    <cellStyle name="Percent 30 3 2 2 3 2 2" xfId="34707"/>
    <cellStyle name="Percent 30 3 2 2 3 3" xfId="20976"/>
    <cellStyle name="Percent 30 3 2 2 3 3 2" xfId="40859"/>
    <cellStyle name="Percent 30 3 2 2 3 4" xfId="28554"/>
    <cellStyle name="Percent 30 3 2 2 4" xfId="11758"/>
    <cellStyle name="Percent 30 3 2 2 4 2" xfId="31641"/>
    <cellStyle name="Percent 30 3 2 2 5" xfId="17910"/>
    <cellStyle name="Percent 30 3 2 2 5 2" xfId="37793"/>
    <cellStyle name="Percent 30 3 2 2 6" xfId="25488"/>
    <cellStyle name="Percent 30 3 2 3" xfId="6307"/>
    <cellStyle name="Percent 30 3 2 3 2" xfId="9396"/>
    <cellStyle name="Percent 30 3 2 3 2 2" xfId="15589"/>
    <cellStyle name="Percent 30 3 2 3 2 2 2" xfId="35472"/>
    <cellStyle name="Percent 30 3 2 3 2 3" xfId="21741"/>
    <cellStyle name="Percent 30 3 2 3 2 3 2" xfId="41624"/>
    <cellStyle name="Percent 30 3 2 3 2 4" xfId="29319"/>
    <cellStyle name="Percent 30 3 2 3 3" xfId="12523"/>
    <cellStyle name="Percent 30 3 2 3 3 2" xfId="32406"/>
    <cellStyle name="Percent 30 3 2 3 4" xfId="18675"/>
    <cellStyle name="Percent 30 3 2 3 4 2" xfId="38558"/>
    <cellStyle name="Percent 30 3 2 3 5" xfId="26253"/>
    <cellStyle name="Percent 30 3 2 4" xfId="7861"/>
    <cellStyle name="Percent 30 3 2 4 2" xfId="14055"/>
    <cellStyle name="Percent 30 3 2 4 2 2" xfId="33938"/>
    <cellStyle name="Percent 30 3 2 4 3" xfId="20207"/>
    <cellStyle name="Percent 30 3 2 4 3 2" xfId="40090"/>
    <cellStyle name="Percent 30 3 2 4 4" xfId="27785"/>
    <cellStyle name="Percent 30 3 2 5" xfId="10989"/>
    <cellStyle name="Percent 30 3 2 5 2" xfId="30872"/>
    <cellStyle name="Percent 30 3 2 6" xfId="17141"/>
    <cellStyle name="Percent 30 3 2 6 2" xfId="37024"/>
    <cellStyle name="Percent 30 3 2 7" xfId="24719"/>
    <cellStyle name="Percent 30 3 3" xfId="5453"/>
    <cellStyle name="Percent 30 3 3 2" xfId="7078"/>
    <cellStyle name="Percent 30 3 3 2 2" xfId="10164"/>
    <cellStyle name="Percent 30 3 3 2 2 2" xfId="16357"/>
    <cellStyle name="Percent 30 3 3 2 2 2 2" xfId="36240"/>
    <cellStyle name="Percent 30 3 3 2 2 3" xfId="22509"/>
    <cellStyle name="Percent 30 3 3 2 2 3 2" xfId="42392"/>
    <cellStyle name="Percent 30 3 3 2 2 4" xfId="30087"/>
    <cellStyle name="Percent 30 3 3 2 3" xfId="13291"/>
    <cellStyle name="Percent 30 3 3 2 3 2" xfId="33174"/>
    <cellStyle name="Percent 30 3 3 2 4" xfId="19443"/>
    <cellStyle name="Percent 30 3 3 2 4 2" xfId="39326"/>
    <cellStyle name="Percent 30 3 3 2 5" xfId="27021"/>
    <cellStyle name="Percent 30 3 3 3" xfId="8629"/>
    <cellStyle name="Percent 30 3 3 3 2" xfId="14823"/>
    <cellStyle name="Percent 30 3 3 3 2 2" xfId="34706"/>
    <cellStyle name="Percent 30 3 3 3 3" xfId="20975"/>
    <cellStyle name="Percent 30 3 3 3 3 2" xfId="40858"/>
    <cellStyle name="Percent 30 3 3 3 4" xfId="28553"/>
    <cellStyle name="Percent 30 3 3 4" xfId="11757"/>
    <cellStyle name="Percent 30 3 3 4 2" xfId="31640"/>
    <cellStyle name="Percent 30 3 3 5" xfId="17909"/>
    <cellStyle name="Percent 30 3 3 5 2" xfId="37792"/>
    <cellStyle name="Percent 30 3 3 6" xfId="25487"/>
    <cellStyle name="Percent 30 3 4" xfId="6306"/>
    <cellStyle name="Percent 30 3 4 2" xfId="9395"/>
    <cellStyle name="Percent 30 3 4 2 2" xfId="15588"/>
    <cellStyle name="Percent 30 3 4 2 2 2" xfId="35471"/>
    <cellStyle name="Percent 30 3 4 2 3" xfId="21740"/>
    <cellStyle name="Percent 30 3 4 2 3 2" xfId="41623"/>
    <cellStyle name="Percent 30 3 4 2 4" xfId="29318"/>
    <cellStyle name="Percent 30 3 4 3" xfId="12522"/>
    <cellStyle name="Percent 30 3 4 3 2" xfId="32405"/>
    <cellStyle name="Percent 30 3 4 4" xfId="18674"/>
    <cellStyle name="Percent 30 3 4 4 2" xfId="38557"/>
    <cellStyle name="Percent 30 3 4 5" xfId="26252"/>
    <cellStyle name="Percent 30 3 5" xfId="7860"/>
    <cellStyle name="Percent 30 3 5 2" xfId="14054"/>
    <cellStyle name="Percent 30 3 5 2 2" xfId="33937"/>
    <cellStyle name="Percent 30 3 5 3" xfId="20206"/>
    <cellStyle name="Percent 30 3 5 3 2" xfId="40089"/>
    <cellStyle name="Percent 30 3 5 4" xfId="27784"/>
    <cellStyle name="Percent 30 3 6" xfId="10988"/>
    <cellStyle name="Percent 30 3 6 2" xfId="30871"/>
    <cellStyle name="Percent 30 3 7" xfId="17140"/>
    <cellStyle name="Percent 30 3 7 2" xfId="37023"/>
    <cellStyle name="Percent 30 3 8" xfId="24718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2 2" xfId="36242"/>
    <cellStyle name="Percent 30 4 2 2 2 2 3" xfId="22511"/>
    <cellStyle name="Percent 30 4 2 2 2 2 3 2" xfId="42394"/>
    <cellStyle name="Percent 30 4 2 2 2 2 4" xfId="30089"/>
    <cellStyle name="Percent 30 4 2 2 2 3" xfId="13293"/>
    <cellStyle name="Percent 30 4 2 2 2 3 2" xfId="33176"/>
    <cellStyle name="Percent 30 4 2 2 2 4" xfId="19445"/>
    <cellStyle name="Percent 30 4 2 2 2 4 2" xfId="39328"/>
    <cellStyle name="Percent 30 4 2 2 2 5" xfId="27023"/>
    <cellStyle name="Percent 30 4 2 2 3" xfId="8631"/>
    <cellStyle name="Percent 30 4 2 2 3 2" xfId="14825"/>
    <cellStyle name="Percent 30 4 2 2 3 2 2" xfId="34708"/>
    <cellStyle name="Percent 30 4 2 2 3 3" xfId="20977"/>
    <cellStyle name="Percent 30 4 2 2 3 3 2" xfId="40860"/>
    <cellStyle name="Percent 30 4 2 2 3 4" xfId="28555"/>
    <cellStyle name="Percent 30 4 2 2 4" xfId="11759"/>
    <cellStyle name="Percent 30 4 2 2 4 2" xfId="31642"/>
    <cellStyle name="Percent 30 4 2 2 5" xfId="17911"/>
    <cellStyle name="Percent 30 4 2 2 5 2" xfId="37794"/>
    <cellStyle name="Percent 30 4 2 2 6" xfId="25489"/>
    <cellStyle name="Percent 30 4 2 3" xfId="6308"/>
    <cellStyle name="Percent 30 4 2 3 2" xfId="9397"/>
    <cellStyle name="Percent 30 4 2 3 2 2" xfId="15590"/>
    <cellStyle name="Percent 30 4 2 3 2 2 2" xfId="35473"/>
    <cellStyle name="Percent 30 4 2 3 2 3" xfId="21742"/>
    <cellStyle name="Percent 30 4 2 3 2 3 2" xfId="41625"/>
    <cellStyle name="Percent 30 4 2 3 2 4" xfId="29320"/>
    <cellStyle name="Percent 30 4 2 3 3" xfId="12524"/>
    <cellStyle name="Percent 30 4 2 3 3 2" xfId="32407"/>
    <cellStyle name="Percent 30 4 2 3 4" xfId="18676"/>
    <cellStyle name="Percent 30 4 2 3 4 2" xfId="38559"/>
    <cellStyle name="Percent 30 4 2 3 5" xfId="26254"/>
    <cellStyle name="Percent 30 4 2 4" xfId="7862"/>
    <cellStyle name="Percent 30 4 2 4 2" xfId="14056"/>
    <cellStyle name="Percent 30 4 2 4 2 2" xfId="33939"/>
    <cellStyle name="Percent 30 4 2 4 3" xfId="20208"/>
    <cellStyle name="Percent 30 4 2 4 3 2" xfId="40091"/>
    <cellStyle name="Percent 30 4 2 4 4" xfId="27786"/>
    <cellStyle name="Percent 30 4 2 5" xfId="10990"/>
    <cellStyle name="Percent 30 4 2 5 2" xfId="30873"/>
    <cellStyle name="Percent 30 4 2 6" xfId="17142"/>
    <cellStyle name="Percent 30 4 2 6 2" xfId="37025"/>
    <cellStyle name="Percent 30 4 2 7" xfId="24720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2 2" xfId="36243"/>
    <cellStyle name="Percent 30 5 2 2 2 3" xfId="22512"/>
    <cellStyle name="Percent 30 5 2 2 2 3 2" xfId="42395"/>
    <cellStyle name="Percent 30 5 2 2 2 4" xfId="30090"/>
    <cellStyle name="Percent 30 5 2 2 3" xfId="13294"/>
    <cellStyle name="Percent 30 5 2 2 3 2" xfId="33177"/>
    <cellStyle name="Percent 30 5 2 2 4" xfId="19446"/>
    <cellStyle name="Percent 30 5 2 2 4 2" xfId="39329"/>
    <cellStyle name="Percent 30 5 2 2 5" xfId="27024"/>
    <cellStyle name="Percent 30 5 2 3" xfId="8632"/>
    <cellStyle name="Percent 30 5 2 3 2" xfId="14826"/>
    <cellStyle name="Percent 30 5 2 3 2 2" xfId="34709"/>
    <cellStyle name="Percent 30 5 2 3 3" xfId="20978"/>
    <cellStyle name="Percent 30 5 2 3 3 2" xfId="40861"/>
    <cellStyle name="Percent 30 5 2 3 4" xfId="28556"/>
    <cellStyle name="Percent 30 5 2 4" xfId="11760"/>
    <cellStyle name="Percent 30 5 2 4 2" xfId="31643"/>
    <cellStyle name="Percent 30 5 2 5" xfId="17912"/>
    <cellStyle name="Percent 30 5 2 5 2" xfId="37795"/>
    <cellStyle name="Percent 30 5 2 6" xfId="25490"/>
    <cellStyle name="Percent 30 5 3" xfId="6309"/>
    <cellStyle name="Percent 30 5 3 2" xfId="9398"/>
    <cellStyle name="Percent 30 5 3 2 2" xfId="15591"/>
    <cellStyle name="Percent 30 5 3 2 2 2" xfId="35474"/>
    <cellStyle name="Percent 30 5 3 2 3" xfId="21743"/>
    <cellStyle name="Percent 30 5 3 2 3 2" xfId="41626"/>
    <cellStyle name="Percent 30 5 3 2 4" xfId="29321"/>
    <cellStyle name="Percent 30 5 3 3" xfId="12525"/>
    <cellStyle name="Percent 30 5 3 3 2" xfId="32408"/>
    <cellStyle name="Percent 30 5 3 4" xfId="18677"/>
    <cellStyle name="Percent 30 5 3 4 2" xfId="38560"/>
    <cellStyle name="Percent 30 5 3 5" xfId="26255"/>
    <cellStyle name="Percent 30 5 4" xfId="7863"/>
    <cellStyle name="Percent 30 5 4 2" xfId="14057"/>
    <cellStyle name="Percent 30 5 4 2 2" xfId="33940"/>
    <cellStyle name="Percent 30 5 4 3" xfId="20209"/>
    <cellStyle name="Percent 30 5 4 3 2" xfId="40092"/>
    <cellStyle name="Percent 30 5 4 4" xfId="27787"/>
    <cellStyle name="Percent 30 5 5" xfId="10991"/>
    <cellStyle name="Percent 30 5 5 2" xfId="30874"/>
    <cellStyle name="Percent 30 5 6" xfId="17143"/>
    <cellStyle name="Percent 30 5 6 2" xfId="37026"/>
    <cellStyle name="Percent 30 5 7" xfId="24721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2 2" xfId="36245"/>
    <cellStyle name="Percent 31 2 2 2 2 2 3" xfId="22514"/>
    <cellStyle name="Percent 31 2 2 2 2 2 3 2" xfId="42397"/>
    <cellStyle name="Percent 31 2 2 2 2 2 4" xfId="30092"/>
    <cellStyle name="Percent 31 2 2 2 2 3" xfId="13296"/>
    <cellStyle name="Percent 31 2 2 2 2 3 2" xfId="33179"/>
    <cellStyle name="Percent 31 2 2 2 2 4" xfId="19448"/>
    <cellStyle name="Percent 31 2 2 2 2 4 2" xfId="39331"/>
    <cellStyle name="Percent 31 2 2 2 2 5" xfId="27026"/>
    <cellStyle name="Percent 31 2 2 2 3" xfId="8634"/>
    <cellStyle name="Percent 31 2 2 2 3 2" xfId="14828"/>
    <cellStyle name="Percent 31 2 2 2 3 2 2" xfId="34711"/>
    <cellStyle name="Percent 31 2 2 2 3 3" xfId="20980"/>
    <cellStyle name="Percent 31 2 2 2 3 3 2" xfId="40863"/>
    <cellStyle name="Percent 31 2 2 2 3 4" xfId="28558"/>
    <cellStyle name="Percent 31 2 2 2 4" xfId="11762"/>
    <cellStyle name="Percent 31 2 2 2 4 2" xfId="31645"/>
    <cellStyle name="Percent 31 2 2 2 5" xfId="17914"/>
    <cellStyle name="Percent 31 2 2 2 5 2" xfId="37797"/>
    <cellStyle name="Percent 31 2 2 2 6" xfId="25492"/>
    <cellStyle name="Percent 31 2 2 3" xfId="6311"/>
    <cellStyle name="Percent 31 2 2 3 2" xfId="9400"/>
    <cellStyle name="Percent 31 2 2 3 2 2" xfId="15593"/>
    <cellStyle name="Percent 31 2 2 3 2 2 2" xfId="35476"/>
    <cellStyle name="Percent 31 2 2 3 2 3" xfId="21745"/>
    <cellStyle name="Percent 31 2 2 3 2 3 2" xfId="41628"/>
    <cellStyle name="Percent 31 2 2 3 2 4" xfId="29323"/>
    <cellStyle name="Percent 31 2 2 3 3" xfId="12527"/>
    <cellStyle name="Percent 31 2 2 3 3 2" xfId="32410"/>
    <cellStyle name="Percent 31 2 2 3 4" xfId="18679"/>
    <cellStyle name="Percent 31 2 2 3 4 2" xfId="38562"/>
    <cellStyle name="Percent 31 2 2 3 5" xfId="26257"/>
    <cellStyle name="Percent 31 2 2 4" xfId="7865"/>
    <cellStyle name="Percent 31 2 2 4 2" xfId="14059"/>
    <cellStyle name="Percent 31 2 2 4 2 2" xfId="33942"/>
    <cellStyle name="Percent 31 2 2 4 3" xfId="20211"/>
    <cellStyle name="Percent 31 2 2 4 3 2" xfId="40094"/>
    <cellStyle name="Percent 31 2 2 4 4" xfId="27789"/>
    <cellStyle name="Percent 31 2 2 5" xfId="10993"/>
    <cellStyle name="Percent 31 2 2 5 2" xfId="30876"/>
    <cellStyle name="Percent 31 2 2 6" xfId="17145"/>
    <cellStyle name="Percent 31 2 2 6 2" xfId="37028"/>
    <cellStyle name="Percent 31 2 2 7" xfId="24723"/>
    <cellStyle name="Percent 31 2 3" xfId="5457"/>
    <cellStyle name="Percent 31 2 3 2" xfId="7082"/>
    <cellStyle name="Percent 31 2 3 2 2" xfId="10168"/>
    <cellStyle name="Percent 31 2 3 2 2 2" xfId="16361"/>
    <cellStyle name="Percent 31 2 3 2 2 2 2" xfId="36244"/>
    <cellStyle name="Percent 31 2 3 2 2 3" xfId="22513"/>
    <cellStyle name="Percent 31 2 3 2 2 3 2" xfId="42396"/>
    <cellStyle name="Percent 31 2 3 2 2 4" xfId="30091"/>
    <cellStyle name="Percent 31 2 3 2 3" xfId="13295"/>
    <cellStyle name="Percent 31 2 3 2 3 2" xfId="33178"/>
    <cellStyle name="Percent 31 2 3 2 4" xfId="19447"/>
    <cellStyle name="Percent 31 2 3 2 4 2" xfId="39330"/>
    <cellStyle name="Percent 31 2 3 2 5" xfId="27025"/>
    <cellStyle name="Percent 31 2 3 3" xfId="8633"/>
    <cellStyle name="Percent 31 2 3 3 2" xfId="14827"/>
    <cellStyle name="Percent 31 2 3 3 2 2" xfId="34710"/>
    <cellStyle name="Percent 31 2 3 3 3" xfId="20979"/>
    <cellStyle name="Percent 31 2 3 3 3 2" xfId="40862"/>
    <cellStyle name="Percent 31 2 3 3 4" xfId="28557"/>
    <cellStyle name="Percent 31 2 3 4" xfId="11761"/>
    <cellStyle name="Percent 31 2 3 4 2" xfId="31644"/>
    <cellStyle name="Percent 31 2 3 5" xfId="17913"/>
    <cellStyle name="Percent 31 2 3 5 2" xfId="37796"/>
    <cellStyle name="Percent 31 2 3 6" xfId="25491"/>
    <cellStyle name="Percent 31 2 4" xfId="6310"/>
    <cellStyle name="Percent 31 2 4 2" xfId="9399"/>
    <cellStyle name="Percent 31 2 4 2 2" xfId="15592"/>
    <cellStyle name="Percent 31 2 4 2 2 2" xfId="35475"/>
    <cellStyle name="Percent 31 2 4 2 3" xfId="21744"/>
    <cellStyle name="Percent 31 2 4 2 3 2" xfId="41627"/>
    <cellStyle name="Percent 31 2 4 2 4" xfId="29322"/>
    <cellStyle name="Percent 31 2 4 3" xfId="12526"/>
    <cellStyle name="Percent 31 2 4 3 2" xfId="32409"/>
    <cellStyle name="Percent 31 2 4 4" xfId="18678"/>
    <cellStyle name="Percent 31 2 4 4 2" xfId="38561"/>
    <cellStyle name="Percent 31 2 4 5" xfId="26256"/>
    <cellStyle name="Percent 31 2 5" xfId="7864"/>
    <cellStyle name="Percent 31 2 5 2" xfId="14058"/>
    <cellStyle name="Percent 31 2 5 2 2" xfId="33941"/>
    <cellStyle name="Percent 31 2 5 3" xfId="20210"/>
    <cellStyle name="Percent 31 2 5 3 2" xfId="40093"/>
    <cellStyle name="Percent 31 2 5 4" xfId="27788"/>
    <cellStyle name="Percent 31 2 6" xfId="10992"/>
    <cellStyle name="Percent 31 2 6 2" xfId="30875"/>
    <cellStyle name="Percent 31 2 7" xfId="17144"/>
    <cellStyle name="Percent 31 2 7 2" xfId="37027"/>
    <cellStyle name="Percent 31 2 8" xfId="24722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2 2" xfId="36247"/>
    <cellStyle name="Percent 31 3 2 2 2 2 3" xfId="22516"/>
    <cellStyle name="Percent 31 3 2 2 2 2 3 2" xfId="42399"/>
    <cellStyle name="Percent 31 3 2 2 2 2 4" xfId="30094"/>
    <cellStyle name="Percent 31 3 2 2 2 3" xfId="13298"/>
    <cellStyle name="Percent 31 3 2 2 2 3 2" xfId="33181"/>
    <cellStyle name="Percent 31 3 2 2 2 4" xfId="19450"/>
    <cellStyle name="Percent 31 3 2 2 2 4 2" xfId="39333"/>
    <cellStyle name="Percent 31 3 2 2 2 5" xfId="27028"/>
    <cellStyle name="Percent 31 3 2 2 3" xfId="8636"/>
    <cellStyle name="Percent 31 3 2 2 3 2" xfId="14830"/>
    <cellStyle name="Percent 31 3 2 2 3 2 2" xfId="34713"/>
    <cellStyle name="Percent 31 3 2 2 3 3" xfId="20982"/>
    <cellStyle name="Percent 31 3 2 2 3 3 2" xfId="40865"/>
    <cellStyle name="Percent 31 3 2 2 3 4" xfId="28560"/>
    <cellStyle name="Percent 31 3 2 2 4" xfId="11764"/>
    <cellStyle name="Percent 31 3 2 2 4 2" xfId="31647"/>
    <cellStyle name="Percent 31 3 2 2 5" xfId="17916"/>
    <cellStyle name="Percent 31 3 2 2 5 2" xfId="37799"/>
    <cellStyle name="Percent 31 3 2 2 6" xfId="25494"/>
    <cellStyle name="Percent 31 3 2 3" xfId="6313"/>
    <cellStyle name="Percent 31 3 2 3 2" xfId="9402"/>
    <cellStyle name="Percent 31 3 2 3 2 2" xfId="15595"/>
    <cellStyle name="Percent 31 3 2 3 2 2 2" xfId="35478"/>
    <cellStyle name="Percent 31 3 2 3 2 3" xfId="21747"/>
    <cellStyle name="Percent 31 3 2 3 2 3 2" xfId="41630"/>
    <cellStyle name="Percent 31 3 2 3 2 4" xfId="29325"/>
    <cellStyle name="Percent 31 3 2 3 3" xfId="12529"/>
    <cellStyle name="Percent 31 3 2 3 3 2" xfId="32412"/>
    <cellStyle name="Percent 31 3 2 3 4" xfId="18681"/>
    <cellStyle name="Percent 31 3 2 3 4 2" xfId="38564"/>
    <cellStyle name="Percent 31 3 2 3 5" xfId="26259"/>
    <cellStyle name="Percent 31 3 2 4" xfId="7867"/>
    <cellStyle name="Percent 31 3 2 4 2" xfId="14061"/>
    <cellStyle name="Percent 31 3 2 4 2 2" xfId="33944"/>
    <cellStyle name="Percent 31 3 2 4 3" xfId="20213"/>
    <cellStyle name="Percent 31 3 2 4 3 2" xfId="40096"/>
    <cellStyle name="Percent 31 3 2 4 4" xfId="27791"/>
    <cellStyle name="Percent 31 3 2 5" xfId="10995"/>
    <cellStyle name="Percent 31 3 2 5 2" xfId="30878"/>
    <cellStyle name="Percent 31 3 2 6" xfId="17147"/>
    <cellStyle name="Percent 31 3 2 6 2" xfId="37030"/>
    <cellStyle name="Percent 31 3 2 7" xfId="24725"/>
    <cellStyle name="Percent 31 3 3" xfId="5459"/>
    <cellStyle name="Percent 31 3 3 2" xfId="7084"/>
    <cellStyle name="Percent 31 3 3 2 2" xfId="10170"/>
    <cellStyle name="Percent 31 3 3 2 2 2" xfId="16363"/>
    <cellStyle name="Percent 31 3 3 2 2 2 2" xfId="36246"/>
    <cellStyle name="Percent 31 3 3 2 2 3" xfId="22515"/>
    <cellStyle name="Percent 31 3 3 2 2 3 2" xfId="42398"/>
    <cellStyle name="Percent 31 3 3 2 2 4" xfId="30093"/>
    <cellStyle name="Percent 31 3 3 2 3" xfId="13297"/>
    <cellStyle name="Percent 31 3 3 2 3 2" xfId="33180"/>
    <cellStyle name="Percent 31 3 3 2 4" xfId="19449"/>
    <cellStyle name="Percent 31 3 3 2 4 2" xfId="39332"/>
    <cellStyle name="Percent 31 3 3 2 5" xfId="27027"/>
    <cellStyle name="Percent 31 3 3 3" xfId="8635"/>
    <cellStyle name="Percent 31 3 3 3 2" xfId="14829"/>
    <cellStyle name="Percent 31 3 3 3 2 2" xfId="34712"/>
    <cellStyle name="Percent 31 3 3 3 3" xfId="20981"/>
    <cellStyle name="Percent 31 3 3 3 3 2" xfId="40864"/>
    <cellStyle name="Percent 31 3 3 3 4" xfId="28559"/>
    <cellStyle name="Percent 31 3 3 4" xfId="11763"/>
    <cellStyle name="Percent 31 3 3 4 2" xfId="31646"/>
    <cellStyle name="Percent 31 3 3 5" xfId="17915"/>
    <cellStyle name="Percent 31 3 3 5 2" xfId="37798"/>
    <cellStyle name="Percent 31 3 3 6" xfId="25493"/>
    <cellStyle name="Percent 31 3 4" xfId="6312"/>
    <cellStyle name="Percent 31 3 4 2" xfId="9401"/>
    <cellStyle name="Percent 31 3 4 2 2" xfId="15594"/>
    <cellStyle name="Percent 31 3 4 2 2 2" xfId="35477"/>
    <cellStyle name="Percent 31 3 4 2 3" xfId="21746"/>
    <cellStyle name="Percent 31 3 4 2 3 2" xfId="41629"/>
    <cellStyle name="Percent 31 3 4 2 4" xfId="29324"/>
    <cellStyle name="Percent 31 3 4 3" xfId="12528"/>
    <cellStyle name="Percent 31 3 4 3 2" xfId="32411"/>
    <cellStyle name="Percent 31 3 4 4" xfId="18680"/>
    <cellStyle name="Percent 31 3 4 4 2" xfId="38563"/>
    <cellStyle name="Percent 31 3 4 5" xfId="26258"/>
    <cellStyle name="Percent 31 3 5" xfId="7866"/>
    <cellStyle name="Percent 31 3 5 2" xfId="14060"/>
    <cellStyle name="Percent 31 3 5 2 2" xfId="33943"/>
    <cellStyle name="Percent 31 3 5 3" xfId="20212"/>
    <cellStyle name="Percent 31 3 5 3 2" xfId="40095"/>
    <cellStyle name="Percent 31 3 5 4" xfId="27790"/>
    <cellStyle name="Percent 31 3 6" xfId="10994"/>
    <cellStyle name="Percent 31 3 6 2" xfId="30877"/>
    <cellStyle name="Percent 31 3 7" xfId="17146"/>
    <cellStyle name="Percent 31 3 7 2" xfId="37029"/>
    <cellStyle name="Percent 31 3 8" xfId="24724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2 2" xfId="36248"/>
    <cellStyle name="Percent 31 4 2 2 2 2 3" xfId="22517"/>
    <cellStyle name="Percent 31 4 2 2 2 2 3 2" xfId="42400"/>
    <cellStyle name="Percent 31 4 2 2 2 2 4" xfId="30095"/>
    <cellStyle name="Percent 31 4 2 2 2 3" xfId="13299"/>
    <cellStyle name="Percent 31 4 2 2 2 3 2" xfId="33182"/>
    <cellStyle name="Percent 31 4 2 2 2 4" xfId="19451"/>
    <cellStyle name="Percent 31 4 2 2 2 4 2" xfId="39334"/>
    <cellStyle name="Percent 31 4 2 2 2 5" xfId="27029"/>
    <cellStyle name="Percent 31 4 2 2 3" xfId="8637"/>
    <cellStyle name="Percent 31 4 2 2 3 2" xfId="14831"/>
    <cellStyle name="Percent 31 4 2 2 3 2 2" xfId="34714"/>
    <cellStyle name="Percent 31 4 2 2 3 3" xfId="20983"/>
    <cellStyle name="Percent 31 4 2 2 3 3 2" xfId="40866"/>
    <cellStyle name="Percent 31 4 2 2 3 4" xfId="28561"/>
    <cellStyle name="Percent 31 4 2 2 4" xfId="11765"/>
    <cellStyle name="Percent 31 4 2 2 4 2" xfId="31648"/>
    <cellStyle name="Percent 31 4 2 2 5" xfId="17917"/>
    <cellStyle name="Percent 31 4 2 2 5 2" xfId="37800"/>
    <cellStyle name="Percent 31 4 2 2 6" xfId="25495"/>
    <cellStyle name="Percent 31 4 2 3" xfId="6314"/>
    <cellStyle name="Percent 31 4 2 3 2" xfId="9403"/>
    <cellStyle name="Percent 31 4 2 3 2 2" xfId="15596"/>
    <cellStyle name="Percent 31 4 2 3 2 2 2" xfId="35479"/>
    <cellStyle name="Percent 31 4 2 3 2 3" xfId="21748"/>
    <cellStyle name="Percent 31 4 2 3 2 3 2" xfId="41631"/>
    <cellStyle name="Percent 31 4 2 3 2 4" xfId="29326"/>
    <cellStyle name="Percent 31 4 2 3 3" xfId="12530"/>
    <cellStyle name="Percent 31 4 2 3 3 2" xfId="32413"/>
    <cellStyle name="Percent 31 4 2 3 4" xfId="18682"/>
    <cellStyle name="Percent 31 4 2 3 4 2" xfId="38565"/>
    <cellStyle name="Percent 31 4 2 3 5" xfId="26260"/>
    <cellStyle name="Percent 31 4 2 4" xfId="7868"/>
    <cellStyle name="Percent 31 4 2 4 2" xfId="14062"/>
    <cellStyle name="Percent 31 4 2 4 2 2" xfId="33945"/>
    <cellStyle name="Percent 31 4 2 4 3" xfId="20214"/>
    <cellStyle name="Percent 31 4 2 4 3 2" xfId="40097"/>
    <cellStyle name="Percent 31 4 2 4 4" xfId="27792"/>
    <cellStyle name="Percent 31 4 2 5" xfId="10996"/>
    <cellStyle name="Percent 31 4 2 5 2" xfId="30879"/>
    <cellStyle name="Percent 31 4 2 6" xfId="17148"/>
    <cellStyle name="Percent 31 4 2 6 2" xfId="37031"/>
    <cellStyle name="Percent 31 4 2 7" xfId="24726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2 2" xfId="36249"/>
    <cellStyle name="Percent 31 5 2 2 2 3" xfId="22518"/>
    <cellStyle name="Percent 31 5 2 2 2 3 2" xfId="42401"/>
    <cellStyle name="Percent 31 5 2 2 2 4" xfId="30096"/>
    <cellStyle name="Percent 31 5 2 2 3" xfId="13300"/>
    <cellStyle name="Percent 31 5 2 2 3 2" xfId="33183"/>
    <cellStyle name="Percent 31 5 2 2 4" xfId="19452"/>
    <cellStyle name="Percent 31 5 2 2 4 2" xfId="39335"/>
    <cellStyle name="Percent 31 5 2 2 5" xfId="27030"/>
    <cellStyle name="Percent 31 5 2 3" xfId="8638"/>
    <cellStyle name="Percent 31 5 2 3 2" xfId="14832"/>
    <cellStyle name="Percent 31 5 2 3 2 2" xfId="34715"/>
    <cellStyle name="Percent 31 5 2 3 3" xfId="20984"/>
    <cellStyle name="Percent 31 5 2 3 3 2" xfId="40867"/>
    <cellStyle name="Percent 31 5 2 3 4" xfId="28562"/>
    <cellStyle name="Percent 31 5 2 4" xfId="11766"/>
    <cellStyle name="Percent 31 5 2 4 2" xfId="31649"/>
    <cellStyle name="Percent 31 5 2 5" xfId="17918"/>
    <cellStyle name="Percent 31 5 2 5 2" xfId="37801"/>
    <cellStyle name="Percent 31 5 2 6" xfId="25496"/>
    <cellStyle name="Percent 31 5 3" xfId="6315"/>
    <cellStyle name="Percent 31 5 3 2" xfId="9404"/>
    <cellStyle name="Percent 31 5 3 2 2" xfId="15597"/>
    <cellStyle name="Percent 31 5 3 2 2 2" xfId="35480"/>
    <cellStyle name="Percent 31 5 3 2 3" xfId="21749"/>
    <cellStyle name="Percent 31 5 3 2 3 2" xfId="41632"/>
    <cellStyle name="Percent 31 5 3 2 4" xfId="29327"/>
    <cellStyle name="Percent 31 5 3 3" xfId="12531"/>
    <cellStyle name="Percent 31 5 3 3 2" xfId="32414"/>
    <cellStyle name="Percent 31 5 3 4" xfId="18683"/>
    <cellStyle name="Percent 31 5 3 4 2" xfId="38566"/>
    <cellStyle name="Percent 31 5 3 5" xfId="26261"/>
    <cellStyle name="Percent 31 5 4" xfId="7869"/>
    <cellStyle name="Percent 31 5 4 2" xfId="14063"/>
    <cellStyle name="Percent 31 5 4 2 2" xfId="33946"/>
    <cellStyle name="Percent 31 5 4 3" xfId="20215"/>
    <cellStyle name="Percent 31 5 4 3 2" xfId="40098"/>
    <cellStyle name="Percent 31 5 4 4" xfId="27793"/>
    <cellStyle name="Percent 31 5 5" xfId="10997"/>
    <cellStyle name="Percent 31 5 5 2" xfId="30880"/>
    <cellStyle name="Percent 31 5 6" xfId="17149"/>
    <cellStyle name="Percent 31 5 6 2" xfId="37032"/>
    <cellStyle name="Percent 31 5 7" xfId="24727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2 2" xfId="36251"/>
    <cellStyle name="Percent 32 2 2 2 2 2 3" xfId="22520"/>
    <cellStyle name="Percent 32 2 2 2 2 2 3 2" xfId="42403"/>
    <cellStyle name="Percent 32 2 2 2 2 2 4" xfId="30098"/>
    <cellStyle name="Percent 32 2 2 2 2 3" xfId="13302"/>
    <cellStyle name="Percent 32 2 2 2 2 3 2" xfId="33185"/>
    <cellStyle name="Percent 32 2 2 2 2 4" xfId="19454"/>
    <cellStyle name="Percent 32 2 2 2 2 4 2" xfId="39337"/>
    <cellStyle name="Percent 32 2 2 2 2 5" xfId="27032"/>
    <cellStyle name="Percent 32 2 2 2 3" xfId="8640"/>
    <cellStyle name="Percent 32 2 2 2 3 2" xfId="14834"/>
    <cellStyle name="Percent 32 2 2 2 3 2 2" xfId="34717"/>
    <cellStyle name="Percent 32 2 2 2 3 3" xfId="20986"/>
    <cellStyle name="Percent 32 2 2 2 3 3 2" xfId="40869"/>
    <cellStyle name="Percent 32 2 2 2 3 4" xfId="28564"/>
    <cellStyle name="Percent 32 2 2 2 4" xfId="11768"/>
    <cellStyle name="Percent 32 2 2 2 4 2" xfId="31651"/>
    <cellStyle name="Percent 32 2 2 2 5" xfId="17920"/>
    <cellStyle name="Percent 32 2 2 2 5 2" xfId="37803"/>
    <cellStyle name="Percent 32 2 2 2 6" xfId="25498"/>
    <cellStyle name="Percent 32 2 2 3" xfId="6317"/>
    <cellStyle name="Percent 32 2 2 3 2" xfId="9406"/>
    <cellStyle name="Percent 32 2 2 3 2 2" xfId="15599"/>
    <cellStyle name="Percent 32 2 2 3 2 2 2" xfId="35482"/>
    <cellStyle name="Percent 32 2 2 3 2 3" xfId="21751"/>
    <cellStyle name="Percent 32 2 2 3 2 3 2" xfId="41634"/>
    <cellStyle name="Percent 32 2 2 3 2 4" xfId="29329"/>
    <cellStyle name="Percent 32 2 2 3 3" xfId="12533"/>
    <cellStyle name="Percent 32 2 2 3 3 2" xfId="32416"/>
    <cellStyle name="Percent 32 2 2 3 4" xfId="18685"/>
    <cellStyle name="Percent 32 2 2 3 4 2" xfId="38568"/>
    <cellStyle name="Percent 32 2 2 3 5" xfId="26263"/>
    <cellStyle name="Percent 32 2 2 4" xfId="7871"/>
    <cellStyle name="Percent 32 2 2 4 2" xfId="14065"/>
    <cellStyle name="Percent 32 2 2 4 2 2" xfId="33948"/>
    <cellStyle name="Percent 32 2 2 4 3" xfId="20217"/>
    <cellStyle name="Percent 32 2 2 4 3 2" xfId="40100"/>
    <cellStyle name="Percent 32 2 2 4 4" xfId="27795"/>
    <cellStyle name="Percent 32 2 2 5" xfId="10999"/>
    <cellStyle name="Percent 32 2 2 5 2" xfId="30882"/>
    <cellStyle name="Percent 32 2 2 6" xfId="17151"/>
    <cellStyle name="Percent 32 2 2 6 2" xfId="37034"/>
    <cellStyle name="Percent 32 2 2 7" xfId="24729"/>
    <cellStyle name="Percent 32 2 3" xfId="5463"/>
    <cellStyle name="Percent 32 2 3 2" xfId="7088"/>
    <cellStyle name="Percent 32 2 3 2 2" xfId="10174"/>
    <cellStyle name="Percent 32 2 3 2 2 2" xfId="16367"/>
    <cellStyle name="Percent 32 2 3 2 2 2 2" xfId="36250"/>
    <cellStyle name="Percent 32 2 3 2 2 3" xfId="22519"/>
    <cellStyle name="Percent 32 2 3 2 2 3 2" xfId="42402"/>
    <cellStyle name="Percent 32 2 3 2 2 4" xfId="30097"/>
    <cellStyle name="Percent 32 2 3 2 3" xfId="13301"/>
    <cellStyle name="Percent 32 2 3 2 3 2" xfId="33184"/>
    <cellStyle name="Percent 32 2 3 2 4" xfId="19453"/>
    <cellStyle name="Percent 32 2 3 2 4 2" xfId="39336"/>
    <cellStyle name="Percent 32 2 3 2 5" xfId="27031"/>
    <cellStyle name="Percent 32 2 3 3" xfId="8639"/>
    <cellStyle name="Percent 32 2 3 3 2" xfId="14833"/>
    <cellStyle name="Percent 32 2 3 3 2 2" xfId="34716"/>
    <cellStyle name="Percent 32 2 3 3 3" xfId="20985"/>
    <cellStyle name="Percent 32 2 3 3 3 2" xfId="40868"/>
    <cellStyle name="Percent 32 2 3 3 4" xfId="28563"/>
    <cellStyle name="Percent 32 2 3 4" xfId="11767"/>
    <cellStyle name="Percent 32 2 3 4 2" xfId="31650"/>
    <cellStyle name="Percent 32 2 3 5" xfId="17919"/>
    <cellStyle name="Percent 32 2 3 5 2" xfId="37802"/>
    <cellStyle name="Percent 32 2 3 6" xfId="25497"/>
    <cellStyle name="Percent 32 2 4" xfId="6316"/>
    <cellStyle name="Percent 32 2 4 2" xfId="9405"/>
    <cellStyle name="Percent 32 2 4 2 2" xfId="15598"/>
    <cellStyle name="Percent 32 2 4 2 2 2" xfId="35481"/>
    <cellStyle name="Percent 32 2 4 2 3" xfId="21750"/>
    <cellStyle name="Percent 32 2 4 2 3 2" xfId="41633"/>
    <cellStyle name="Percent 32 2 4 2 4" xfId="29328"/>
    <cellStyle name="Percent 32 2 4 3" xfId="12532"/>
    <cellStyle name="Percent 32 2 4 3 2" xfId="32415"/>
    <cellStyle name="Percent 32 2 4 4" xfId="18684"/>
    <cellStyle name="Percent 32 2 4 4 2" xfId="38567"/>
    <cellStyle name="Percent 32 2 4 5" xfId="26262"/>
    <cellStyle name="Percent 32 2 5" xfId="7870"/>
    <cellStyle name="Percent 32 2 5 2" xfId="14064"/>
    <cellStyle name="Percent 32 2 5 2 2" xfId="33947"/>
    <cellStyle name="Percent 32 2 5 3" xfId="20216"/>
    <cellStyle name="Percent 32 2 5 3 2" xfId="40099"/>
    <cellStyle name="Percent 32 2 5 4" xfId="27794"/>
    <cellStyle name="Percent 32 2 6" xfId="10998"/>
    <cellStyle name="Percent 32 2 6 2" xfId="30881"/>
    <cellStyle name="Percent 32 2 7" xfId="17150"/>
    <cellStyle name="Percent 32 2 7 2" xfId="37033"/>
    <cellStyle name="Percent 32 2 8" xfId="24728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2 2" xfId="36253"/>
    <cellStyle name="Percent 32 3 2 2 2 2 3" xfId="22522"/>
    <cellStyle name="Percent 32 3 2 2 2 2 3 2" xfId="42405"/>
    <cellStyle name="Percent 32 3 2 2 2 2 4" xfId="30100"/>
    <cellStyle name="Percent 32 3 2 2 2 3" xfId="13304"/>
    <cellStyle name="Percent 32 3 2 2 2 3 2" xfId="33187"/>
    <cellStyle name="Percent 32 3 2 2 2 4" xfId="19456"/>
    <cellStyle name="Percent 32 3 2 2 2 4 2" xfId="39339"/>
    <cellStyle name="Percent 32 3 2 2 2 5" xfId="27034"/>
    <cellStyle name="Percent 32 3 2 2 3" xfId="8642"/>
    <cellStyle name="Percent 32 3 2 2 3 2" xfId="14836"/>
    <cellStyle name="Percent 32 3 2 2 3 2 2" xfId="34719"/>
    <cellStyle name="Percent 32 3 2 2 3 3" xfId="20988"/>
    <cellStyle name="Percent 32 3 2 2 3 3 2" xfId="40871"/>
    <cellStyle name="Percent 32 3 2 2 3 4" xfId="28566"/>
    <cellStyle name="Percent 32 3 2 2 4" xfId="11770"/>
    <cellStyle name="Percent 32 3 2 2 4 2" xfId="31653"/>
    <cellStyle name="Percent 32 3 2 2 5" xfId="17922"/>
    <cellStyle name="Percent 32 3 2 2 5 2" xfId="37805"/>
    <cellStyle name="Percent 32 3 2 2 6" xfId="25500"/>
    <cellStyle name="Percent 32 3 2 3" xfId="6319"/>
    <cellStyle name="Percent 32 3 2 3 2" xfId="9408"/>
    <cellStyle name="Percent 32 3 2 3 2 2" xfId="15601"/>
    <cellStyle name="Percent 32 3 2 3 2 2 2" xfId="35484"/>
    <cellStyle name="Percent 32 3 2 3 2 3" xfId="21753"/>
    <cellStyle name="Percent 32 3 2 3 2 3 2" xfId="41636"/>
    <cellStyle name="Percent 32 3 2 3 2 4" xfId="29331"/>
    <cellStyle name="Percent 32 3 2 3 3" xfId="12535"/>
    <cellStyle name="Percent 32 3 2 3 3 2" xfId="32418"/>
    <cellStyle name="Percent 32 3 2 3 4" xfId="18687"/>
    <cellStyle name="Percent 32 3 2 3 4 2" xfId="38570"/>
    <cellStyle name="Percent 32 3 2 3 5" xfId="26265"/>
    <cellStyle name="Percent 32 3 2 4" xfId="7873"/>
    <cellStyle name="Percent 32 3 2 4 2" xfId="14067"/>
    <cellStyle name="Percent 32 3 2 4 2 2" xfId="33950"/>
    <cellStyle name="Percent 32 3 2 4 3" xfId="20219"/>
    <cellStyle name="Percent 32 3 2 4 3 2" xfId="40102"/>
    <cellStyle name="Percent 32 3 2 4 4" xfId="27797"/>
    <cellStyle name="Percent 32 3 2 5" xfId="11001"/>
    <cellStyle name="Percent 32 3 2 5 2" xfId="30884"/>
    <cellStyle name="Percent 32 3 2 6" xfId="17153"/>
    <cellStyle name="Percent 32 3 2 6 2" xfId="37036"/>
    <cellStyle name="Percent 32 3 2 7" xfId="24731"/>
    <cellStyle name="Percent 32 3 3" xfId="5465"/>
    <cellStyle name="Percent 32 3 3 2" xfId="7090"/>
    <cellStyle name="Percent 32 3 3 2 2" xfId="10176"/>
    <cellStyle name="Percent 32 3 3 2 2 2" xfId="16369"/>
    <cellStyle name="Percent 32 3 3 2 2 2 2" xfId="36252"/>
    <cellStyle name="Percent 32 3 3 2 2 3" xfId="22521"/>
    <cellStyle name="Percent 32 3 3 2 2 3 2" xfId="42404"/>
    <cellStyle name="Percent 32 3 3 2 2 4" xfId="30099"/>
    <cellStyle name="Percent 32 3 3 2 3" xfId="13303"/>
    <cellStyle name="Percent 32 3 3 2 3 2" xfId="33186"/>
    <cellStyle name="Percent 32 3 3 2 4" xfId="19455"/>
    <cellStyle name="Percent 32 3 3 2 4 2" xfId="39338"/>
    <cellStyle name="Percent 32 3 3 2 5" xfId="27033"/>
    <cellStyle name="Percent 32 3 3 3" xfId="8641"/>
    <cellStyle name="Percent 32 3 3 3 2" xfId="14835"/>
    <cellStyle name="Percent 32 3 3 3 2 2" xfId="34718"/>
    <cellStyle name="Percent 32 3 3 3 3" xfId="20987"/>
    <cellStyle name="Percent 32 3 3 3 3 2" xfId="40870"/>
    <cellStyle name="Percent 32 3 3 3 4" xfId="28565"/>
    <cellStyle name="Percent 32 3 3 4" xfId="11769"/>
    <cellStyle name="Percent 32 3 3 4 2" xfId="31652"/>
    <cellStyle name="Percent 32 3 3 5" xfId="17921"/>
    <cellStyle name="Percent 32 3 3 5 2" xfId="37804"/>
    <cellStyle name="Percent 32 3 3 6" xfId="25499"/>
    <cellStyle name="Percent 32 3 4" xfId="6318"/>
    <cellStyle name="Percent 32 3 4 2" xfId="9407"/>
    <cellStyle name="Percent 32 3 4 2 2" xfId="15600"/>
    <cellStyle name="Percent 32 3 4 2 2 2" xfId="35483"/>
    <cellStyle name="Percent 32 3 4 2 3" xfId="21752"/>
    <cellStyle name="Percent 32 3 4 2 3 2" xfId="41635"/>
    <cellStyle name="Percent 32 3 4 2 4" xfId="29330"/>
    <cellStyle name="Percent 32 3 4 3" xfId="12534"/>
    <cellStyle name="Percent 32 3 4 3 2" xfId="32417"/>
    <cellStyle name="Percent 32 3 4 4" xfId="18686"/>
    <cellStyle name="Percent 32 3 4 4 2" xfId="38569"/>
    <cellStyle name="Percent 32 3 4 5" xfId="26264"/>
    <cellStyle name="Percent 32 3 5" xfId="7872"/>
    <cellStyle name="Percent 32 3 5 2" xfId="14066"/>
    <cellStyle name="Percent 32 3 5 2 2" xfId="33949"/>
    <cellStyle name="Percent 32 3 5 3" xfId="20218"/>
    <cellStyle name="Percent 32 3 5 3 2" xfId="40101"/>
    <cellStyle name="Percent 32 3 5 4" xfId="27796"/>
    <cellStyle name="Percent 32 3 6" xfId="11000"/>
    <cellStyle name="Percent 32 3 6 2" xfId="30883"/>
    <cellStyle name="Percent 32 3 7" xfId="17152"/>
    <cellStyle name="Percent 32 3 7 2" xfId="37035"/>
    <cellStyle name="Percent 32 3 8" xfId="24730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2 2" xfId="36254"/>
    <cellStyle name="Percent 32 4 2 2 2 2 3" xfId="22523"/>
    <cellStyle name="Percent 32 4 2 2 2 2 3 2" xfId="42406"/>
    <cellStyle name="Percent 32 4 2 2 2 2 4" xfId="30101"/>
    <cellStyle name="Percent 32 4 2 2 2 3" xfId="13305"/>
    <cellStyle name="Percent 32 4 2 2 2 3 2" xfId="33188"/>
    <cellStyle name="Percent 32 4 2 2 2 4" xfId="19457"/>
    <cellStyle name="Percent 32 4 2 2 2 4 2" xfId="39340"/>
    <cellStyle name="Percent 32 4 2 2 2 5" xfId="27035"/>
    <cellStyle name="Percent 32 4 2 2 3" xfId="8643"/>
    <cellStyle name="Percent 32 4 2 2 3 2" xfId="14837"/>
    <cellStyle name="Percent 32 4 2 2 3 2 2" xfId="34720"/>
    <cellStyle name="Percent 32 4 2 2 3 3" xfId="20989"/>
    <cellStyle name="Percent 32 4 2 2 3 3 2" xfId="40872"/>
    <cellStyle name="Percent 32 4 2 2 3 4" xfId="28567"/>
    <cellStyle name="Percent 32 4 2 2 4" xfId="11771"/>
    <cellStyle name="Percent 32 4 2 2 4 2" xfId="31654"/>
    <cellStyle name="Percent 32 4 2 2 5" xfId="17923"/>
    <cellStyle name="Percent 32 4 2 2 5 2" xfId="37806"/>
    <cellStyle name="Percent 32 4 2 2 6" xfId="25501"/>
    <cellStyle name="Percent 32 4 2 3" xfId="6320"/>
    <cellStyle name="Percent 32 4 2 3 2" xfId="9409"/>
    <cellStyle name="Percent 32 4 2 3 2 2" xfId="15602"/>
    <cellStyle name="Percent 32 4 2 3 2 2 2" xfId="35485"/>
    <cellStyle name="Percent 32 4 2 3 2 3" xfId="21754"/>
    <cellStyle name="Percent 32 4 2 3 2 3 2" xfId="41637"/>
    <cellStyle name="Percent 32 4 2 3 2 4" xfId="29332"/>
    <cellStyle name="Percent 32 4 2 3 3" xfId="12536"/>
    <cellStyle name="Percent 32 4 2 3 3 2" xfId="32419"/>
    <cellStyle name="Percent 32 4 2 3 4" xfId="18688"/>
    <cellStyle name="Percent 32 4 2 3 4 2" xfId="38571"/>
    <cellStyle name="Percent 32 4 2 3 5" xfId="26266"/>
    <cellStyle name="Percent 32 4 2 4" xfId="7874"/>
    <cellStyle name="Percent 32 4 2 4 2" xfId="14068"/>
    <cellStyle name="Percent 32 4 2 4 2 2" xfId="33951"/>
    <cellStyle name="Percent 32 4 2 4 3" xfId="20220"/>
    <cellStyle name="Percent 32 4 2 4 3 2" xfId="40103"/>
    <cellStyle name="Percent 32 4 2 4 4" xfId="27798"/>
    <cellStyle name="Percent 32 4 2 5" xfId="11002"/>
    <cellStyle name="Percent 32 4 2 5 2" xfId="30885"/>
    <cellStyle name="Percent 32 4 2 6" xfId="17154"/>
    <cellStyle name="Percent 32 4 2 6 2" xfId="37037"/>
    <cellStyle name="Percent 32 4 2 7" xfId="24732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2 2" xfId="36255"/>
    <cellStyle name="Percent 32 5 2 2 2 3" xfId="22524"/>
    <cellStyle name="Percent 32 5 2 2 2 3 2" xfId="42407"/>
    <cellStyle name="Percent 32 5 2 2 2 4" xfId="30102"/>
    <cellStyle name="Percent 32 5 2 2 3" xfId="13306"/>
    <cellStyle name="Percent 32 5 2 2 3 2" xfId="33189"/>
    <cellStyle name="Percent 32 5 2 2 4" xfId="19458"/>
    <cellStyle name="Percent 32 5 2 2 4 2" xfId="39341"/>
    <cellStyle name="Percent 32 5 2 2 5" xfId="27036"/>
    <cellStyle name="Percent 32 5 2 3" xfId="8644"/>
    <cellStyle name="Percent 32 5 2 3 2" xfId="14838"/>
    <cellStyle name="Percent 32 5 2 3 2 2" xfId="34721"/>
    <cellStyle name="Percent 32 5 2 3 3" xfId="20990"/>
    <cellStyle name="Percent 32 5 2 3 3 2" xfId="40873"/>
    <cellStyle name="Percent 32 5 2 3 4" xfId="28568"/>
    <cellStyle name="Percent 32 5 2 4" xfId="11772"/>
    <cellStyle name="Percent 32 5 2 4 2" xfId="31655"/>
    <cellStyle name="Percent 32 5 2 5" xfId="17924"/>
    <cellStyle name="Percent 32 5 2 5 2" xfId="37807"/>
    <cellStyle name="Percent 32 5 2 6" xfId="25502"/>
    <cellStyle name="Percent 32 5 3" xfId="6321"/>
    <cellStyle name="Percent 32 5 3 2" xfId="9410"/>
    <cellStyle name="Percent 32 5 3 2 2" xfId="15603"/>
    <cellStyle name="Percent 32 5 3 2 2 2" xfId="35486"/>
    <cellStyle name="Percent 32 5 3 2 3" xfId="21755"/>
    <cellStyle name="Percent 32 5 3 2 3 2" xfId="41638"/>
    <cellStyle name="Percent 32 5 3 2 4" xfId="29333"/>
    <cellStyle name="Percent 32 5 3 3" xfId="12537"/>
    <cellStyle name="Percent 32 5 3 3 2" xfId="32420"/>
    <cellStyle name="Percent 32 5 3 4" xfId="18689"/>
    <cellStyle name="Percent 32 5 3 4 2" xfId="38572"/>
    <cellStyle name="Percent 32 5 3 5" xfId="26267"/>
    <cellStyle name="Percent 32 5 4" xfId="7875"/>
    <cellStyle name="Percent 32 5 4 2" xfId="14069"/>
    <cellStyle name="Percent 32 5 4 2 2" xfId="33952"/>
    <cellStyle name="Percent 32 5 4 3" xfId="20221"/>
    <cellStyle name="Percent 32 5 4 3 2" xfId="40104"/>
    <cellStyle name="Percent 32 5 4 4" xfId="27799"/>
    <cellStyle name="Percent 32 5 5" xfId="11003"/>
    <cellStyle name="Percent 32 5 5 2" xfId="30886"/>
    <cellStyle name="Percent 32 5 6" xfId="17155"/>
    <cellStyle name="Percent 32 5 6 2" xfId="37038"/>
    <cellStyle name="Percent 32 5 7" xfId="24733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2 2" xfId="36257"/>
    <cellStyle name="Percent 33 2 2 2 2 2 3" xfId="22526"/>
    <cellStyle name="Percent 33 2 2 2 2 2 3 2" xfId="42409"/>
    <cellStyle name="Percent 33 2 2 2 2 2 4" xfId="30104"/>
    <cellStyle name="Percent 33 2 2 2 2 3" xfId="13308"/>
    <cellStyle name="Percent 33 2 2 2 2 3 2" xfId="33191"/>
    <cellStyle name="Percent 33 2 2 2 2 4" xfId="19460"/>
    <cellStyle name="Percent 33 2 2 2 2 4 2" xfId="39343"/>
    <cellStyle name="Percent 33 2 2 2 2 5" xfId="27038"/>
    <cellStyle name="Percent 33 2 2 2 3" xfId="8646"/>
    <cellStyle name="Percent 33 2 2 2 3 2" xfId="14840"/>
    <cellStyle name="Percent 33 2 2 2 3 2 2" xfId="34723"/>
    <cellStyle name="Percent 33 2 2 2 3 3" xfId="20992"/>
    <cellStyle name="Percent 33 2 2 2 3 3 2" xfId="40875"/>
    <cellStyle name="Percent 33 2 2 2 3 4" xfId="28570"/>
    <cellStyle name="Percent 33 2 2 2 4" xfId="11774"/>
    <cellStyle name="Percent 33 2 2 2 4 2" xfId="31657"/>
    <cellStyle name="Percent 33 2 2 2 5" xfId="17926"/>
    <cellStyle name="Percent 33 2 2 2 5 2" xfId="37809"/>
    <cellStyle name="Percent 33 2 2 2 6" xfId="25504"/>
    <cellStyle name="Percent 33 2 2 3" xfId="6324"/>
    <cellStyle name="Percent 33 2 2 3 2" xfId="9412"/>
    <cellStyle name="Percent 33 2 2 3 2 2" xfId="15605"/>
    <cellStyle name="Percent 33 2 2 3 2 2 2" xfId="35488"/>
    <cellStyle name="Percent 33 2 2 3 2 3" xfId="21757"/>
    <cellStyle name="Percent 33 2 2 3 2 3 2" xfId="41640"/>
    <cellStyle name="Percent 33 2 2 3 2 4" xfId="29335"/>
    <cellStyle name="Percent 33 2 2 3 3" xfId="12539"/>
    <cellStyle name="Percent 33 2 2 3 3 2" xfId="32422"/>
    <cellStyle name="Percent 33 2 2 3 4" xfId="18691"/>
    <cellStyle name="Percent 33 2 2 3 4 2" xfId="38574"/>
    <cellStyle name="Percent 33 2 2 3 5" xfId="26269"/>
    <cellStyle name="Percent 33 2 2 4" xfId="7877"/>
    <cellStyle name="Percent 33 2 2 4 2" xfId="14071"/>
    <cellStyle name="Percent 33 2 2 4 2 2" xfId="33954"/>
    <cellStyle name="Percent 33 2 2 4 3" xfId="20223"/>
    <cellStyle name="Percent 33 2 2 4 3 2" xfId="40106"/>
    <cellStyle name="Percent 33 2 2 4 4" xfId="27801"/>
    <cellStyle name="Percent 33 2 2 5" xfId="11005"/>
    <cellStyle name="Percent 33 2 2 5 2" xfId="30888"/>
    <cellStyle name="Percent 33 2 2 6" xfId="17157"/>
    <cellStyle name="Percent 33 2 2 6 2" xfId="37040"/>
    <cellStyle name="Percent 33 2 2 7" xfId="24735"/>
    <cellStyle name="Percent 33 2 3" xfId="5469"/>
    <cellStyle name="Percent 33 2 3 2" xfId="7094"/>
    <cellStyle name="Percent 33 2 3 2 2" xfId="10180"/>
    <cellStyle name="Percent 33 2 3 2 2 2" xfId="16373"/>
    <cellStyle name="Percent 33 2 3 2 2 2 2" xfId="36256"/>
    <cellStyle name="Percent 33 2 3 2 2 3" xfId="22525"/>
    <cellStyle name="Percent 33 2 3 2 2 3 2" xfId="42408"/>
    <cellStyle name="Percent 33 2 3 2 2 4" xfId="30103"/>
    <cellStyle name="Percent 33 2 3 2 3" xfId="13307"/>
    <cellStyle name="Percent 33 2 3 2 3 2" xfId="33190"/>
    <cellStyle name="Percent 33 2 3 2 4" xfId="19459"/>
    <cellStyle name="Percent 33 2 3 2 4 2" xfId="39342"/>
    <cellStyle name="Percent 33 2 3 2 5" xfId="27037"/>
    <cellStyle name="Percent 33 2 3 3" xfId="8645"/>
    <cellStyle name="Percent 33 2 3 3 2" xfId="14839"/>
    <cellStyle name="Percent 33 2 3 3 2 2" xfId="34722"/>
    <cellStyle name="Percent 33 2 3 3 3" xfId="20991"/>
    <cellStyle name="Percent 33 2 3 3 3 2" xfId="40874"/>
    <cellStyle name="Percent 33 2 3 3 4" xfId="28569"/>
    <cellStyle name="Percent 33 2 3 4" xfId="11773"/>
    <cellStyle name="Percent 33 2 3 4 2" xfId="31656"/>
    <cellStyle name="Percent 33 2 3 5" xfId="17925"/>
    <cellStyle name="Percent 33 2 3 5 2" xfId="37808"/>
    <cellStyle name="Percent 33 2 3 6" xfId="25503"/>
    <cellStyle name="Percent 33 2 4" xfId="6323"/>
    <cellStyle name="Percent 33 2 4 2" xfId="9411"/>
    <cellStyle name="Percent 33 2 4 2 2" xfId="15604"/>
    <cellStyle name="Percent 33 2 4 2 2 2" xfId="35487"/>
    <cellStyle name="Percent 33 2 4 2 3" xfId="21756"/>
    <cellStyle name="Percent 33 2 4 2 3 2" xfId="41639"/>
    <cellStyle name="Percent 33 2 4 2 4" xfId="29334"/>
    <cellStyle name="Percent 33 2 4 3" xfId="12538"/>
    <cellStyle name="Percent 33 2 4 3 2" xfId="32421"/>
    <cellStyle name="Percent 33 2 4 4" xfId="18690"/>
    <cellStyle name="Percent 33 2 4 4 2" xfId="38573"/>
    <cellStyle name="Percent 33 2 4 5" xfId="26268"/>
    <cellStyle name="Percent 33 2 5" xfId="7876"/>
    <cellStyle name="Percent 33 2 5 2" xfId="14070"/>
    <cellStyle name="Percent 33 2 5 2 2" xfId="33953"/>
    <cellStyle name="Percent 33 2 5 3" xfId="20222"/>
    <cellStyle name="Percent 33 2 5 3 2" xfId="40105"/>
    <cellStyle name="Percent 33 2 5 4" xfId="27800"/>
    <cellStyle name="Percent 33 2 6" xfId="11004"/>
    <cellStyle name="Percent 33 2 6 2" xfId="30887"/>
    <cellStyle name="Percent 33 2 7" xfId="17156"/>
    <cellStyle name="Percent 33 2 7 2" xfId="37039"/>
    <cellStyle name="Percent 33 2 8" xfId="24734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2 2" xfId="36259"/>
    <cellStyle name="Percent 33 3 2 2 2 2 3" xfId="22528"/>
    <cellStyle name="Percent 33 3 2 2 2 2 3 2" xfId="42411"/>
    <cellStyle name="Percent 33 3 2 2 2 2 4" xfId="30106"/>
    <cellStyle name="Percent 33 3 2 2 2 3" xfId="13310"/>
    <cellStyle name="Percent 33 3 2 2 2 3 2" xfId="33193"/>
    <cellStyle name="Percent 33 3 2 2 2 4" xfId="19462"/>
    <cellStyle name="Percent 33 3 2 2 2 4 2" xfId="39345"/>
    <cellStyle name="Percent 33 3 2 2 2 5" xfId="27040"/>
    <cellStyle name="Percent 33 3 2 2 3" xfId="8648"/>
    <cellStyle name="Percent 33 3 2 2 3 2" xfId="14842"/>
    <cellStyle name="Percent 33 3 2 2 3 2 2" xfId="34725"/>
    <cellStyle name="Percent 33 3 2 2 3 3" xfId="20994"/>
    <cellStyle name="Percent 33 3 2 2 3 3 2" xfId="40877"/>
    <cellStyle name="Percent 33 3 2 2 3 4" xfId="28572"/>
    <cellStyle name="Percent 33 3 2 2 4" xfId="11776"/>
    <cellStyle name="Percent 33 3 2 2 4 2" xfId="31659"/>
    <cellStyle name="Percent 33 3 2 2 5" xfId="17928"/>
    <cellStyle name="Percent 33 3 2 2 5 2" xfId="37811"/>
    <cellStyle name="Percent 33 3 2 2 6" xfId="25506"/>
    <cellStyle name="Percent 33 3 2 3" xfId="6326"/>
    <cellStyle name="Percent 33 3 2 3 2" xfId="9414"/>
    <cellStyle name="Percent 33 3 2 3 2 2" xfId="15607"/>
    <cellStyle name="Percent 33 3 2 3 2 2 2" xfId="35490"/>
    <cellStyle name="Percent 33 3 2 3 2 3" xfId="21759"/>
    <cellStyle name="Percent 33 3 2 3 2 3 2" xfId="41642"/>
    <cellStyle name="Percent 33 3 2 3 2 4" xfId="29337"/>
    <cellStyle name="Percent 33 3 2 3 3" xfId="12541"/>
    <cellStyle name="Percent 33 3 2 3 3 2" xfId="32424"/>
    <cellStyle name="Percent 33 3 2 3 4" xfId="18693"/>
    <cellStyle name="Percent 33 3 2 3 4 2" xfId="38576"/>
    <cellStyle name="Percent 33 3 2 3 5" xfId="26271"/>
    <cellStyle name="Percent 33 3 2 4" xfId="7879"/>
    <cellStyle name="Percent 33 3 2 4 2" xfId="14073"/>
    <cellStyle name="Percent 33 3 2 4 2 2" xfId="33956"/>
    <cellStyle name="Percent 33 3 2 4 3" xfId="20225"/>
    <cellStyle name="Percent 33 3 2 4 3 2" xfId="40108"/>
    <cellStyle name="Percent 33 3 2 4 4" xfId="27803"/>
    <cellStyle name="Percent 33 3 2 5" xfId="11007"/>
    <cellStyle name="Percent 33 3 2 5 2" xfId="30890"/>
    <cellStyle name="Percent 33 3 2 6" xfId="17159"/>
    <cellStyle name="Percent 33 3 2 6 2" xfId="37042"/>
    <cellStyle name="Percent 33 3 2 7" xfId="24737"/>
    <cellStyle name="Percent 33 3 3" xfId="5471"/>
    <cellStyle name="Percent 33 3 3 2" xfId="7096"/>
    <cellStyle name="Percent 33 3 3 2 2" xfId="10182"/>
    <cellStyle name="Percent 33 3 3 2 2 2" xfId="16375"/>
    <cellStyle name="Percent 33 3 3 2 2 2 2" xfId="36258"/>
    <cellStyle name="Percent 33 3 3 2 2 3" xfId="22527"/>
    <cellStyle name="Percent 33 3 3 2 2 3 2" xfId="42410"/>
    <cellStyle name="Percent 33 3 3 2 2 4" xfId="30105"/>
    <cellStyle name="Percent 33 3 3 2 3" xfId="13309"/>
    <cellStyle name="Percent 33 3 3 2 3 2" xfId="33192"/>
    <cellStyle name="Percent 33 3 3 2 4" xfId="19461"/>
    <cellStyle name="Percent 33 3 3 2 4 2" xfId="39344"/>
    <cellStyle name="Percent 33 3 3 2 5" xfId="27039"/>
    <cellStyle name="Percent 33 3 3 3" xfId="8647"/>
    <cellStyle name="Percent 33 3 3 3 2" xfId="14841"/>
    <cellStyle name="Percent 33 3 3 3 2 2" xfId="34724"/>
    <cellStyle name="Percent 33 3 3 3 3" xfId="20993"/>
    <cellStyle name="Percent 33 3 3 3 3 2" xfId="40876"/>
    <cellStyle name="Percent 33 3 3 3 4" xfId="28571"/>
    <cellStyle name="Percent 33 3 3 4" xfId="11775"/>
    <cellStyle name="Percent 33 3 3 4 2" xfId="31658"/>
    <cellStyle name="Percent 33 3 3 5" xfId="17927"/>
    <cellStyle name="Percent 33 3 3 5 2" xfId="37810"/>
    <cellStyle name="Percent 33 3 3 6" xfId="25505"/>
    <cellStyle name="Percent 33 3 4" xfId="6325"/>
    <cellStyle name="Percent 33 3 4 2" xfId="9413"/>
    <cellStyle name="Percent 33 3 4 2 2" xfId="15606"/>
    <cellStyle name="Percent 33 3 4 2 2 2" xfId="35489"/>
    <cellStyle name="Percent 33 3 4 2 3" xfId="21758"/>
    <cellStyle name="Percent 33 3 4 2 3 2" xfId="41641"/>
    <cellStyle name="Percent 33 3 4 2 4" xfId="29336"/>
    <cellStyle name="Percent 33 3 4 3" xfId="12540"/>
    <cellStyle name="Percent 33 3 4 3 2" xfId="32423"/>
    <cellStyle name="Percent 33 3 4 4" xfId="18692"/>
    <cellStyle name="Percent 33 3 4 4 2" xfId="38575"/>
    <cellStyle name="Percent 33 3 4 5" xfId="26270"/>
    <cellStyle name="Percent 33 3 5" xfId="7878"/>
    <cellStyle name="Percent 33 3 5 2" xfId="14072"/>
    <cellStyle name="Percent 33 3 5 2 2" xfId="33955"/>
    <cellStyle name="Percent 33 3 5 3" xfId="20224"/>
    <cellStyle name="Percent 33 3 5 3 2" xfId="40107"/>
    <cellStyle name="Percent 33 3 5 4" xfId="27802"/>
    <cellStyle name="Percent 33 3 6" xfId="11006"/>
    <cellStyle name="Percent 33 3 6 2" xfId="30889"/>
    <cellStyle name="Percent 33 3 7" xfId="17158"/>
    <cellStyle name="Percent 33 3 7 2" xfId="37041"/>
    <cellStyle name="Percent 33 3 8" xfId="24736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2 2" xfId="36260"/>
    <cellStyle name="Percent 33 4 2 2 2 2 3" xfId="22529"/>
    <cellStyle name="Percent 33 4 2 2 2 2 3 2" xfId="42412"/>
    <cellStyle name="Percent 33 4 2 2 2 2 4" xfId="30107"/>
    <cellStyle name="Percent 33 4 2 2 2 3" xfId="13311"/>
    <cellStyle name="Percent 33 4 2 2 2 3 2" xfId="33194"/>
    <cellStyle name="Percent 33 4 2 2 2 4" xfId="19463"/>
    <cellStyle name="Percent 33 4 2 2 2 4 2" xfId="39346"/>
    <cellStyle name="Percent 33 4 2 2 2 5" xfId="27041"/>
    <cellStyle name="Percent 33 4 2 2 3" xfId="8649"/>
    <cellStyle name="Percent 33 4 2 2 3 2" xfId="14843"/>
    <cellStyle name="Percent 33 4 2 2 3 2 2" xfId="34726"/>
    <cellStyle name="Percent 33 4 2 2 3 3" xfId="20995"/>
    <cellStyle name="Percent 33 4 2 2 3 3 2" xfId="40878"/>
    <cellStyle name="Percent 33 4 2 2 3 4" xfId="28573"/>
    <cellStyle name="Percent 33 4 2 2 4" xfId="11777"/>
    <cellStyle name="Percent 33 4 2 2 4 2" xfId="31660"/>
    <cellStyle name="Percent 33 4 2 2 5" xfId="17929"/>
    <cellStyle name="Percent 33 4 2 2 5 2" xfId="37812"/>
    <cellStyle name="Percent 33 4 2 2 6" xfId="25507"/>
    <cellStyle name="Percent 33 4 2 3" xfId="6327"/>
    <cellStyle name="Percent 33 4 2 3 2" xfId="9415"/>
    <cellStyle name="Percent 33 4 2 3 2 2" xfId="15608"/>
    <cellStyle name="Percent 33 4 2 3 2 2 2" xfId="35491"/>
    <cellStyle name="Percent 33 4 2 3 2 3" xfId="21760"/>
    <cellStyle name="Percent 33 4 2 3 2 3 2" xfId="41643"/>
    <cellStyle name="Percent 33 4 2 3 2 4" xfId="29338"/>
    <cellStyle name="Percent 33 4 2 3 3" xfId="12542"/>
    <cellStyle name="Percent 33 4 2 3 3 2" xfId="32425"/>
    <cellStyle name="Percent 33 4 2 3 4" xfId="18694"/>
    <cellStyle name="Percent 33 4 2 3 4 2" xfId="38577"/>
    <cellStyle name="Percent 33 4 2 3 5" xfId="26272"/>
    <cellStyle name="Percent 33 4 2 4" xfId="7880"/>
    <cellStyle name="Percent 33 4 2 4 2" xfId="14074"/>
    <cellStyle name="Percent 33 4 2 4 2 2" xfId="33957"/>
    <cellStyle name="Percent 33 4 2 4 3" xfId="20226"/>
    <cellStyle name="Percent 33 4 2 4 3 2" xfId="40109"/>
    <cellStyle name="Percent 33 4 2 4 4" xfId="27804"/>
    <cellStyle name="Percent 33 4 2 5" xfId="11008"/>
    <cellStyle name="Percent 33 4 2 5 2" xfId="30891"/>
    <cellStyle name="Percent 33 4 2 6" xfId="17160"/>
    <cellStyle name="Percent 33 4 2 6 2" xfId="37043"/>
    <cellStyle name="Percent 33 4 2 7" xfId="24738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2 2" xfId="36261"/>
    <cellStyle name="Percent 33 5 2 2 2 3" xfId="22530"/>
    <cellStyle name="Percent 33 5 2 2 2 3 2" xfId="42413"/>
    <cellStyle name="Percent 33 5 2 2 2 4" xfId="30108"/>
    <cellStyle name="Percent 33 5 2 2 3" xfId="13312"/>
    <cellStyle name="Percent 33 5 2 2 3 2" xfId="33195"/>
    <cellStyle name="Percent 33 5 2 2 4" xfId="19464"/>
    <cellStyle name="Percent 33 5 2 2 4 2" xfId="39347"/>
    <cellStyle name="Percent 33 5 2 2 5" xfId="27042"/>
    <cellStyle name="Percent 33 5 2 3" xfId="8650"/>
    <cellStyle name="Percent 33 5 2 3 2" xfId="14844"/>
    <cellStyle name="Percent 33 5 2 3 2 2" xfId="34727"/>
    <cellStyle name="Percent 33 5 2 3 3" xfId="20996"/>
    <cellStyle name="Percent 33 5 2 3 3 2" xfId="40879"/>
    <cellStyle name="Percent 33 5 2 3 4" xfId="28574"/>
    <cellStyle name="Percent 33 5 2 4" xfId="11778"/>
    <cellStyle name="Percent 33 5 2 4 2" xfId="31661"/>
    <cellStyle name="Percent 33 5 2 5" xfId="17930"/>
    <cellStyle name="Percent 33 5 2 5 2" xfId="37813"/>
    <cellStyle name="Percent 33 5 2 6" xfId="25508"/>
    <cellStyle name="Percent 33 5 3" xfId="6328"/>
    <cellStyle name="Percent 33 5 3 2" xfId="9416"/>
    <cellStyle name="Percent 33 5 3 2 2" xfId="15609"/>
    <cellStyle name="Percent 33 5 3 2 2 2" xfId="35492"/>
    <cellStyle name="Percent 33 5 3 2 3" xfId="21761"/>
    <cellStyle name="Percent 33 5 3 2 3 2" xfId="41644"/>
    <cellStyle name="Percent 33 5 3 2 4" xfId="29339"/>
    <cellStyle name="Percent 33 5 3 3" xfId="12543"/>
    <cellStyle name="Percent 33 5 3 3 2" xfId="32426"/>
    <cellStyle name="Percent 33 5 3 4" xfId="18695"/>
    <cellStyle name="Percent 33 5 3 4 2" xfId="38578"/>
    <cellStyle name="Percent 33 5 3 5" xfId="26273"/>
    <cellStyle name="Percent 33 5 4" xfId="7881"/>
    <cellStyle name="Percent 33 5 4 2" xfId="14075"/>
    <cellStyle name="Percent 33 5 4 2 2" xfId="33958"/>
    <cellStyle name="Percent 33 5 4 3" xfId="20227"/>
    <cellStyle name="Percent 33 5 4 3 2" xfId="40110"/>
    <cellStyle name="Percent 33 5 4 4" xfId="27805"/>
    <cellStyle name="Percent 33 5 5" xfId="11009"/>
    <cellStyle name="Percent 33 5 5 2" xfId="30892"/>
    <cellStyle name="Percent 33 5 6" xfId="17161"/>
    <cellStyle name="Percent 33 5 6 2" xfId="37044"/>
    <cellStyle name="Percent 33 5 7" xfId="24739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2 2" xfId="36263"/>
    <cellStyle name="Percent 34 2 2 2 2 2 3" xfId="22532"/>
    <cellStyle name="Percent 34 2 2 2 2 2 3 2" xfId="42415"/>
    <cellStyle name="Percent 34 2 2 2 2 2 4" xfId="30110"/>
    <cellStyle name="Percent 34 2 2 2 2 3" xfId="13314"/>
    <cellStyle name="Percent 34 2 2 2 2 3 2" xfId="33197"/>
    <cellStyle name="Percent 34 2 2 2 2 4" xfId="19466"/>
    <cellStyle name="Percent 34 2 2 2 2 4 2" xfId="39349"/>
    <cellStyle name="Percent 34 2 2 2 2 5" xfId="27044"/>
    <cellStyle name="Percent 34 2 2 2 3" xfId="8652"/>
    <cellStyle name="Percent 34 2 2 2 3 2" xfId="14846"/>
    <cellStyle name="Percent 34 2 2 2 3 2 2" xfId="34729"/>
    <cellStyle name="Percent 34 2 2 2 3 3" xfId="20998"/>
    <cellStyle name="Percent 34 2 2 2 3 3 2" xfId="40881"/>
    <cellStyle name="Percent 34 2 2 2 3 4" xfId="28576"/>
    <cellStyle name="Percent 34 2 2 2 4" xfId="11780"/>
    <cellStyle name="Percent 34 2 2 2 4 2" xfId="31663"/>
    <cellStyle name="Percent 34 2 2 2 5" xfId="17932"/>
    <cellStyle name="Percent 34 2 2 2 5 2" xfId="37815"/>
    <cellStyle name="Percent 34 2 2 2 6" xfId="25510"/>
    <cellStyle name="Percent 34 2 2 3" xfId="6331"/>
    <cellStyle name="Percent 34 2 2 3 2" xfId="9418"/>
    <cellStyle name="Percent 34 2 2 3 2 2" xfId="15611"/>
    <cellStyle name="Percent 34 2 2 3 2 2 2" xfId="35494"/>
    <cellStyle name="Percent 34 2 2 3 2 3" xfId="21763"/>
    <cellStyle name="Percent 34 2 2 3 2 3 2" xfId="41646"/>
    <cellStyle name="Percent 34 2 2 3 2 4" xfId="29341"/>
    <cellStyle name="Percent 34 2 2 3 3" xfId="12545"/>
    <cellStyle name="Percent 34 2 2 3 3 2" xfId="32428"/>
    <cellStyle name="Percent 34 2 2 3 4" xfId="18697"/>
    <cellStyle name="Percent 34 2 2 3 4 2" xfId="38580"/>
    <cellStyle name="Percent 34 2 2 3 5" xfId="26275"/>
    <cellStyle name="Percent 34 2 2 4" xfId="7883"/>
    <cellStyle name="Percent 34 2 2 4 2" xfId="14077"/>
    <cellStyle name="Percent 34 2 2 4 2 2" xfId="33960"/>
    <cellStyle name="Percent 34 2 2 4 3" xfId="20229"/>
    <cellStyle name="Percent 34 2 2 4 3 2" xfId="40112"/>
    <cellStyle name="Percent 34 2 2 4 4" xfId="27807"/>
    <cellStyle name="Percent 34 2 2 5" xfId="11011"/>
    <cellStyle name="Percent 34 2 2 5 2" xfId="30894"/>
    <cellStyle name="Percent 34 2 2 6" xfId="17163"/>
    <cellStyle name="Percent 34 2 2 6 2" xfId="37046"/>
    <cellStyle name="Percent 34 2 2 7" xfId="24741"/>
    <cellStyle name="Percent 34 2 3" xfId="5475"/>
    <cellStyle name="Percent 34 2 3 2" xfId="7100"/>
    <cellStyle name="Percent 34 2 3 2 2" xfId="10186"/>
    <cellStyle name="Percent 34 2 3 2 2 2" xfId="16379"/>
    <cellStyle name="Percent 34 2 3 2 2 2 2" xfId="36262"/>
    <cellStyle name="Percent 34 2 3 2 2 3" xfId="22531"/>
    <cellStyle name="Percent 34 2 3 2 2 3 2" xfId="42414"/>
    <cellStyle name="Percent 34 2 3 2 2 4" xfId="30109"/>
    <cellStyle name="Percent 34 2 3 2 3" xfId="13313"/>
    <cellStyle name="Percent 34 2 3 2 3 2" xfId="33196"/>
    <cellStyle name="Percent 34 2 3 2 4" xfId="19465"/>
    <cellStyle name="Percent 34 2 3 2 4 2" xfId="39348"/>
    <cellStyle name="Percent 34 2 3 2 5" xfId="27043"/>
    <cellStyle name="Percent 34 2 3 3" xfId="8651"/>
    <cellStyle name="Percent 34 2 3 3 2" xfId="14845"/>
    <cellStyle name="Percent 34 2 3 3 2 2" xfId="34728"/>
    <cellStyle name="Percent 34 2 3 3 3" xfId="20997"/>
    <cellStyle name="Percent 34 2 3 3 3 2" xfId="40880"/>
    <cellStyle name="Percent 34 2 3 3 4" xfId="28575"/>
    <cellStyle name="Percent 34 2 3 4" xfId="11779"/>
    <cellStyle name="Percent 34 2 3 4 2" xfId="31662"/>
    <cellStyle name="Percent 34 2 3 5" xfId="17931"/>
    <cellStyle name="Percent 34 2 3 5 2" xfId="37814"/>
    <cellStyle name="Percent 34 2 3 6" xfId="25509"/>
    <cellStyle name="Percent 34 2 4" xfId="6330"/>
    <cellStyle name="Percent 34 2 4 2" xfId="9417"/>
    <cellStyle name="Percent 34 2 4 2 2" xfId="15610"/>
    <cellStyle name="Percent 34 2 4 2 2 2" xfId="35493"/>
    <cellStyle name="Percent 34 2 4 2 3" xfId="21762"/>
    <cellStyle name="Percent 34 2 4 2 3 2" xfId="41645"/>
    <cellStyle name="Percent 34 2 4 2 4" xfId="29340"/>
    <cellStyle name="Percent 34 2 4 3" xfId="12544"/>
    <cellStyle name="Percent 34 2 4 3 2" xfId="32427"/>
    <cellStyle name="Percent 34 2 4 4" xfId="18696"/>
    <cellStyle name="Percent 34 2 4 4 2" xfId="38579"/>
    <cellStyle name="Percent 34 2 4 5" xfId="26274"/>
    <cellStyle name="Percent 34 2 5" xfId="7882"/>
    <cellStyle name="Percent 34 2 5 2" xfId="14076"/>
    <cellStyle name="Percent 34 2 5 2 2" xfId="33959"/>
    <cellStyle name="Percent 34 2 5 3" xfId="20228"/>
    <cellStyle name="Percent 34 2 5 3 2" xfId="40111"/>
    <cellStyle name="Percent 34 2 5 4" xfId="27806"/>
    <cellStyle name="Percent 34 2 6" xfId="11010"/>
    <cellStyle name="Percent 34 2 6 2" xfId="30893"/>
    <cellStyle name="Percent 34 2 7" xfId="17162"/>
    <cellStyle name="Percent 34 2 7 2" xfId="37045"/>
    <cellStyle name="Percent 34 2 8" xfId="24740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2 2" xfId="36265"/>
    <cellStyle name="Percent 34 3 2 2 2 2 3" xfId="22534"/>
    <cellStyle name="Percent 34 3 2 2 2 2 3 2" xfId="42417"/>
    <cellStyle name="Percent 34 3 2 2 2 2 4" xfId="30112"/>
    <cellStyle name="Percent 34 3 2 2 2 3" xfId="13316"/>
    <cellStyle name="Percent 34 3 2 2 2 3 2" xfId="33199"/>
    <cellStyle name="Percent 34 3 2 2 2 4" xfId="19468"/>
    <cellStyle name="Percent 34 3 2 2 2 4 2" xfId="39351"/>
    <cellStyle name="Percent 34 3 2 2 2 5" xfId="27046"/>
    <cellStyle name="Percent 34 3 2 2 3" xfId="8654"/>
    <cellStyle name="Percent 34 3 2 2 3 2" xfId="14848"/>
    <cellStyle name="Percent 34 3 2 2 3 2 2" xfId="34731"/>
    <cellStyle name="Percent 34 3 2 2 3 3" xfId="21000"/>
    <cellStyle name="Percent 34 3 2 2 3 3 2" xfId="40883"/>
    <cellStyle name="Percent 34 3 2 2 3 4" xfId="28578"/>
    <cellStyle name="Percent 34 3 2 2 4" xfId="11782"/>
    <cellStyle name="Percent 34 3 2 2 4 2" xfId="31665"/>
    <cellStyle name="Percent 34 3 2 2 5" xfId="17934"/>
    <cellStyle name="Percent 34 3 2 2 5 2" xfId="37817"/>
    <cellStyle name="Percent 34 3 2 2 6" xfId="25512"/>
    <cellStyle name="Percent 34 3 2 3" xfId="6333"/>
    <cellStyle name="Percent 34 3 2 3 2" xfId="9420"/>
    <cellStyle name="Percent 34 3 2 3 2 2" xfId="15613"/>
    <cellStyle name="Percent 34 3 2 3 2 2 2" xfId="35496"/>
    <cellStyle name="Percent 34 3 2 3 2 3" xfId="21765"/>
    <cellStyle name="Percent 34 3 2 3 2 3 2" xfId="41648"/>
    <cellStyle name="Percent 34 3 2 3 2 4" xfId="29343"/>
    <cellStyle name="Percent 34 3 2 3 3" xfId="12547"/>
    <cellStyle name="Percent 34 3 2 3 3 2" xfId="32430"/>
    <cellStyle name="Percent 34 3 2 3 4" xfId="18699"/>
    <cellStyle name="Percent 34 3 2 3 4 2" xfId="38582"/>
    <cellStyle name="Percent 34 3 2 3 5" xfId="26277"/>
    <cellStyle name="Percent 34 3 2 4" xfId="7885"/>
    <cellStyle name="Percent 34 3 2 4 2" xfId="14079"/>
    <cellStyle name="Percent 34 3 2 4 2 2" xfId="33962"/>
    <cellStyle name="Percent 34 3 2 4 3" xfId="20231"/>
    <cellStyle name="Percent 34 3 2 4 3 2" xfId="40114"/>
    <cellStyle name="Percent 34 3 2 4 4" xfId="27809"/>
    <cellStyle name="Percent 34 3 2 5" xfId="11013"/>
    <cellStyle name="Percent 34 3 2 5 2" xfId="30896"/>
    <cellStyle name="Percent 34 3 2 6" xfId="17165"/>
    <cellStyle name="Percent 34 3 2 6 2" xfId="37048"/>
    <cellStyle name="Percent 34 3 2 7" xfId="24743"/>
    <cellStyle name="Percent 34 3 3" xfId="5477"/>
    <cellStyle name="Percent 34 3 3 2" xfId="7102"/>
    <cellStyle name="Percent 34 3 3 2 2" xfId="10188"/>
    <cellStyle name="Percent 34 3 3 2 2 2" xfId="16381"/>
    <cellStyle name="Percent 34 3 3 2 2 2 2" xfId="36264"/>
    <cellStyle name="Percent 34 3 3 2 2 3" xfId="22533"/>
    <cellStyle name="Percent 34 3 3 2 2 3 2" xfId="42416"/>
    <cellStyle name="Percent 34 3 3 2 2 4" xfId="30111"/>
    <cellStyle name="Percent 34 3 3 2 3" xfId="13315"/>
    <cellStyle name="Percent 34 3 3 2 3 2" xfId="33198"/>
    <cellStyle name="Percent 34 3 3 2 4" xfId="19467"/>
    <cellStyle name="Percent 34 3 3 2 4 2" xfId="39350"/>
    <cellStyle name="Percent 34 3 3 2 5" xfId="27045"/>
    <cellStyle name="Percent 34 3 3 3" xfId="8653"/>
    <cellStyle name="Percent 34 3 3 3 2" xfId="14847"/>
    <cellStyle name="Percent 34 3 3 3 2 2" xfId="34730"/>
    <cellStyle name="Percent 34 3 3 3 3" xfId="20999"/>
    <cellStyle name="Percent 34 3 3 3 3 2" xfId="40882"/>
    <cellStyle name="Percent 34 3 3 3 4" xfId="28577"/>
    <cellStyle name="Percent 34 3 3 4" xfId="11781"/>
    <cellStyle name="Percent 34 3 3 4 2" xfId="31664"/>
    <cellStyle name="Percent 34 3 3 5" xfId="17933"/>
    <cellStyle name="Percent 34 3 3 5 2" xfId="37816"/>
    <cellStyle name="Percent 34 3 3 6" xfId="25511"/>
    <cellStyle name="Percent 34 3 4" xfId="6332"/>
    <cellStyle name="Percent 34 3 4 2" xfId="9419"/>
    <cellStyle name="Percent 34 3 4 2 2" xfId="15612"/>
    <cellStyle name="Percent 34 3 4 2 2 2" xfId="35495"/>
    <cellStyle name="Percent 34 3 4 2 3" xfId="21764"/>
    <cellStyle name="Percent 34 3 4 2 3 2" xfId="41647"/>
    <cellStyle name="Percent 34 3 4 2 4" xfId="29342"/>
    <cellStyle name="Percent 34 3 4 3" xfId="12546"/>
    <cellStyle name="Percent 34 3 4 3 2" xfId="32429"/>
    <cellStyle name="Percent 34 3 4 4" xfId="18698"/>
    <cellStyle name="Percent 34 3 4 4 2" xfId="38581"/>
    <cellStyle name="Percent 34 3 4 5" xfId="26276"/>
    <cellStyle name="Percent 34 3 5" xfId="7884"/>
    <cellStyle name="Percent 34 3 5 2" xfId="14078"/>
    <cellStyle name="Percent 34 3 5 2 2" xfId="33961"/>
    <cellStyle name="Percent 34 3 5 3" xfId="20230"/>
    <cellStyle name="Percent 34 3 5 3 2" xfId="40113"/>
    <cellStyle name="Percent 34 3 5 4" xfId="27808"/>
    <cellStyle name="Percent 34 3 6" xfId="11012"/>
    <cellStyle name="Percent 34 3 6 2" xfId="30895"/>
    <cellStyle name="Percent 34 3 7" xfId="17164"/>
    <cellStyle name="Percent 34 3 7 2" xfId="37047"/>
    <cellStyle name="Percent 34 3 8" xfId="24742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2 2" xfId="36266"/>
    <cellStyle name="Percent 34 4 2 2 2 2 3" xfId="22535"/>
    <cellStyle name="Percent 34 4 2 2 2 2 3 2" xfId="42418"/>
    <cellStyle name="Percent 34 4 2 2 2 2 4" xfId="30113"/>
    <cellStyle name="Percent 34 4 2 2 2 3" xfId="13317"/>
    <cellStyle name="Percent 34 4 2 2 2 3 2" xfId="33200"/>
    <cellStyle name="Percent 34 4 2 2 2 4" xfId="19469"/>
    <cellStyle name="Percent 34 4 2 2 2 4 2" xfId="39352"/>
    <cellStyle name="Percent 34 4 2 2 2 5" xfId="27047"/>
    <cellStyle name="Percent 34 4 2 2 3" xfId="8655"/>
    <cellStyle name="Percent 34 4 2 2 3 2" xfId="14849"/>
    <cellStyle name="Percent 34 4 2 2 3 2 2" xfId="34732"/>
    <cellStyle name="Percent 34 4 2 2 3 3" xfId="21001"/>
    <cellStyle name="Percent 34 4 2 2 3 3 2" xfId="40884"/>
    <cellStyle name="Percent 34 4 2 2 3 4" xfId="28579"/>
    <cellStyle name="Percent 34 4 2 2 4" xfId="11783"/>
    <cellStyle name="Percent 34 4 2 2 4 2" xfId="31666"/>
    <cellStyle name="Percent 34 4 2 2 5" xfId="17935"/>
    <cellStyle name="Percent 34 4 2 2 5 2" xfId="37818"/>
    <cellStyle name="Percent 34 4 2 2 6" xfId="25513"/>
    <cellStyle name="Percent 34 4 2 3" xfId="6334"/>
    <cellStyle name="Percent 34 4 2 3 2" xfId="9421"/>
    <cellStyle name="Percent 34 4 2 3 2 2" xfId="15614"/>
    <cellStyle name="Percent 34 4 2 3 2 2 2" xfId="35497"/>
    <cellStyle name="Percent 34 4 2 3 2 3" xfId="21766"/>
    <cellStyle name="Percent 34 4 2 3 2 3 2" xfId="41649"/>
    <cellStyle name="Percent 34 4 2 3 2 4" xfId="29344"/>
    <cellStyle name="Percent 34 4 2 3 3" xfId="12548"/>
    <cellStyle name="Percent 34 4 2 3 3 2" xfId="32431"/>
    <cellStyle name="Percent 34 4 2 3 4" xfId="18700"/>
    <cellStyle name="Percent 34 4 2 3 4 2" xfId="38583"/>
    <cellStyle name="Percent 34 4 2 3 5" xfId="26278"/>
    <cellStyle name="Percent 34 4 2 4" xfId="7886"/>
    <cellStyle name="Percent 34 4 2 4 2" xfId="14080"/>
    <cellStyle name="Percent 34 4 2 4 2 2" xfId="33963"/>
    <cellStyle name="Percent 34 4 2 4 3" xfId="20232"/>
    <cellStyle name="Percent 34 4 2 4 3 2" xfId="40115"/>
    <cellStyle name="Percent 34 4 2 4 4" xfId="27810"/>
    <cellStyle name="Percent 34 4 2 5" xfId="11014"/>
    <cellStyle name="Percent 34 4 2 5 2" xfId="30897"/>
    <cellStyle name="Percent 34 4 2 6" xfId="17166"/>
    <cellStyle name="Percent 34 4 2 6 2" xfId="37049"/>
    <cellStyle name="Percent 34 4 2 7" xfId="24744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2 2" xfId="36267"/>
    <cellStyle name="Percent 34 5 2 2 2 3" xfId="22536"/>
    <cellStyle name="Percent 34 5 2 2 2 3 2" xfId="42419"/>
    <cellStyle name="Percent 34 5 2 2 2 4" xfId="30114"/>
    <cellStyle name="Percent 34 5 2 2 3" xfId="13318"/>
    <cellStyle name="Percent 34 5 2 2 3 2" xfId="33201"/>
    <cellStyle name="Percent 34 5 2 2 4" xfId="19470"/>
    <cellStyle name="Percent 34 5 2 2 4 2" xfId="39353"/>
    <cellStyle name="Percent 34 5 2 2 5" xfId="27048"/>
    <cellStyle name="Percent 34 5 2 3" xfId="8656"/>
    <cellStyle name="Percent 34 5 2 3 2" xfId="14850"/>
    <cellStyle name="Percent 34 5 2 3 2 2" xfId="34733"/>
    <cellStyle name="Percent 34 5 2 3 3" xfId="21002"/>
    <cellStyle name="Percent 34 5 2 3 3 2" xfId="40885"/>
    <cellStyle name="Percent 34 5 2 3 4" xfId="28580"/>
    <cellStyle name="Percent 34 5 2 4" xfId="11784"/>
    <cellStyle name="Percent 34 5 2 4 2" xfId="31667"/>
    <cellStyle name="Percent 34 5 2 5" xfId="17936"/>
    <cellStyle name="Percent 34 5 2 5 2" xfId="37819"/>
    <cellStyle name="Percent 34 5 2 6" xfId="25514"/>
    <cellStyle name="Percent 34 5 3" xfId="6335"/>
    <cellStyle name="Percent 34 5 3 2" xfId="9422"/>
    <cellStyle name="Percent 34 5 3 2 2" xfId="15615"/>
    <cellStyle name="Percent 34 5 3 2 2 2" xfId="35498"/>
    <cellStyle name="Percent 34 5 3 2 3" xfId="21767"/>
    <cellStyle name="Percent 34 5 3 2 3 2" xfId="41650"/>
    <cellStyle name="Percent 34 5 3 2 4" xfId="29345"/>
    <cellStyle name="Percent 34 5 3 3" xfId="12549"/>
    <cellStyle name="Percent 34 5 3 3 2" xfId="32432"/>
    <cellStyle name="Percent 34 5 3 4" xfId="18701"/>
    <cellStyle name="Percent 34 5 3 4 2" xfId="38584"/>
    <cellStyle name="Percent 34 5 3 5" xfId="26279"/>
    <cellStyle name="Percent 34 5 4" xfId="7887"/>
    <cellStyle name="Percent 34 5 4 2" xfId="14081"/>
    <cellStyle name="Percent 34 5 4 2 2" xfId="33964"/>
    <cellStyle name="Percent 34 5 4 3" xfId="20233"/>
    <cellStyle name="Percent 34 5 4 3 2" xfId="40116"/>
    <cellStyle name="Percent 34 5 4 4" xfId="27811"/>
    <cellStyle name="Percent 34 5 5" xfId="11015"/>
    <cellStyle name="Percent 34 5 5 2" xfId="30898"/>
    <cellStyle name="Percent 34 5 6" xfId="17167"/>
    <cellStyle name="Percent 34 5 6 2" xfId="37050"/>
    <cellStyle name="Percent 34 5 7" xfId="24745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2 2" xfId="36269"/>
    <cellStyle name="Percent 35 2 2 2 2 2 3" xfId="22538"/>
    <cellStyle name="Percent 35 2 2 2 2 2 3 2" xfId="42421"/>
    <cellStyle name="Percent 35 2 2 2 2 2 4" xfId="30116"/>
    <cellStyle name="Percent 35 2 2 2 2 3" xfId="13320"/>
    <cellStyle name="Percent 35 2 2 2 2 3 2" xfId="33203"/>
    <cellStyle name="Percent 35 2 2 2 2 4" xfId="19472"/>
    <cellStyle name="Percent 35 2 2 2 2 4 2" xfId="39355"/>
    <cellStyle name="Percent 35 2 2 2 2 5" xfId="27050"/>
    <cellStyle name="Percent 35 2 2 2 3" xfId="8658"/>
    <cellStyle name="Percent 35 2 2 2 3 2" xfId="14852"/>
    <cellStyle name="Percent 35 2 2 2 3 2 2" xfId="34735"/>
    <cellStyle name="Percent 35 2 2 2 3 3" xfId="21004"/>
    <cellStyle name="Percent 35 2 2 2 3 3 2" xfId="40887"/>
    <cellStyle name="Percent 35 2 2 2 3 4" xfId="28582"/>
    <cellStyle name="Percent 35 2 2 2 4" xfId="11786"/>
    <cellStyle name="Percent 35 2 2 2 4 2" xfId="31669"/>
    <cellStyle name="Percent 35 2 2 2 5" xfId="17938"/>
    <cellStyle name="Percent 35 2 2 2 5 2" xfId="37821"/>
    <cellStyle name="Percent 35 2 2 2 6" xfId="25516"/>
    <cellStyle name="Percent 35 2 2 3" xfId="6337"/>
    <cellStyle name="Percent 35 2 2 3 2" xfId="9424"/>
    <cellStyle name="Percent 35 2 2 3 2 2" xfId="15617"/>
    <cellStyle name="Percent 35 2 2 3 2 2 2" xfId="35500"/>
    <cellStyle name="Percent 35 2 2 3 2 3" xfId="21769"/>
    <cellStyle name="Percent 35 2 2 3 2 3 2" xfId="41652"/>
    <cellStyle name="Percent 35 2 2 3 2 4" xfId="29347"/>
    <cellStyle name="Percent 35 2 2 3 3" xfId="12551"/>
    <cellStyle name="Percent 35 2 2 3 3 2" xfId="32434"/>
    <cellStyle name="Percent 35 2 2 3 4" xfId="18703"/>
    <cellStyle name="Percent 35 2 2 3 4 2" xfId="38586"/>
    <cellStyle name="Percent 35 2 2 3 5" xfId="26281"/>
    <cellStyle name="Percent 35 2 2 4" xfId="7889"/>
    <cellStyle name="Percent 35 2 2 4 2" xfId="14083"/>
    <cellStyle name="Percent 35 2 2 4 2 2" xfId="33966"/>
    <cellStyle name="Percent 35 2 2 4 3" xfId="20235"/>
    <cellStyle name="Percent 35 2 2 4 3 2" xfId="40118"/>
    <cellStyle name="Percent 35 2 2 4 4" xfId="27813"/>
    <cellStyle name="Percent 35 2 2 5" xfId="11017"/>
    <cellStyle name="Percent 35 2 2 5 2" xfId="30900"/>
    <cellStyle name="Percent 35 2 2 6" xfId="17169"/>
    <cellStyle name="Percent 35 2 2 6 2" xfId="37052"/>
    <cellStyle name="Percent 35 2 2 7" xfId="24747"/>
    <cellStyle name="Percent 35 2 3" xfId="5481"/>
    <cellStyle name="Percent 35 2 3 2" xfId="7106"/>
    <cellStyle name="Percent 35 2 3 2 2" xfId="10192"/>
    <cellStyle name="Percent 35 2 3 2 2 2" xfId="16385"/>
    <cellStyle name="Percent 35 2 3 2 2 2 2" xfId="36268"/>
    <cellStyle name="Percent 35 2 3 2 2 3" xfId="22537"/>
    <cellStyle name="Percent 35 2 3 2 2 3 2" xfId="42420"/>
    <cellStyle name="Percent 35 2 3 2 2 4" xfId="30115"/>
    <cellStyle name="Percent 35 2 3 2 3" xfId="13319"/>
    <cellStyle name="Percent 35 2 3 2 3 2" xfId="33202"/>
    <cellStyle name="Percent 35 2 3 2 4" xfId="19471"/>
    <cellStyle name="Percent 35 2 3 2 4 2" xfId="39354"/>
    <cellStyle name="Percent 35 2 3 2 5" xfId="27049"/>
    <cellStyle name="Percent 35 2 3 3" xfId="8657"/>
    <cellStyle name="Percent 35 2 3 3 2" xfId="14851"/>
    <cellStyle name="Percent 35 2 3 3 2 2" xfId="34734"/>
    <cellStyle name="Percent 35 2 3 3 3" xfId="21003"/>
    <cellStyle name="Percent 35 2 3 3 3 2" xfId="40886"/>
    <cellStyle name="Percent 35 2 3 3 4" xfId="28581"/>
    <cellStyle name="Percent 35 2 3 4" xfId="11785"/>
    <cellStyle name="Percent 35 2 3 4 2" xfId="31668"/>
    <cellStyle name="Percent 35 2 3 5" xfId="17937"/>
    <cellStyle name="Percent 35 2 3 5 2" xfId="37820"/>
    <cellStyle name="Percent 35 2 3 6" xfId="25515"/>
    <cellStyle name="Percent 35 2 4" xfId="6336"/>
    <cellStyle name="Percent 35 2 4 2" xfId="9423"/>
    <cellStyle name="Percent 35 2 4 2 2" xfId="15616"/>
    <cellStyle name="Percent 35 2 4 2 2 2" xfId="35499"/>
    <cellStyle name="Percent 35 2 4 2 3" xfId="21768"/>
    <cellStyle name="Percent 35 2 4 2 3 2" xfId="41651"/>
    <cellStyle name="Percent 35 2 4 2 4" xfId="29346"/>
    <cellStyle name="Percent 35 2 4 3" xfId="12550"/>
    <cellStyle name="Percent 35 2 4 3 2" xfId="32433"/>
    <cellStyle name="Percent 35 2 4 4" xfId="18702"/>
    <cellStyle name="Percent 35 2 4 4 2" xfId="38585"/>
    <cellStyle name="Percent 35 2 4 5" xfId="26280"/>
    <cellStyle name="Percent 35 2 5" xfId="7888"/>
    <cellStyle name="Percent 35 2 5 2" xfId="14082"/>
    <cellStyle name="Percent 35 2 5 2 2" xfId="33965"/>
    <cellStyle name="Percent 35 2 5 3" xfId="20234"/>
    <cellStyle name="Percent 35 2 5 3 2" xfId="40117"/>
    <cellStyle name="Percent 35 2 5 4" xfId="27812"/>
    <cellStyle name="Percent 35 2 6" xfId="11016"/>
    <cellStyle name="Percent 35 2 6 2" xfId="30899"/>
    <cellStyle name="Percent 35 2 7" xfId="17168"/>
    <cellStyle name="Percent 35 2 7 2" xfId="37051"/>
    <cellStyle name="Percent 35 2 8" xfId="24746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2 2" xfId="36271"/>
    <cellStyle name="Percent 35 3 2 2 2 2 3" xfId="22540"/>
    <cellStyle name="Percent 35 3 2 2 2 2 3 2" xfId="42423"/>
    <cellStyle name="Percent 35 3 2 2 2 2 4" xfId="30118"/>
    <cellStyle name="Percent 35 3 2 2 2 3" xfId="13322"/>
    <cellStyle name="Percent 35 3 2 2 2 3 2" xfId="33205"/>
    <cellStyle name="Percent 35 3 2 2 2 4" xfId="19474"/>
    <cellStyle name="Percent 35 3 2 2 2 4 2" xfId="39357"/>
    <cellStyle name="Percent 35 3 2 2 2 5" xfId="27052"/>
    <cellStyle name="Percent 35 3 2 2 3" xfId="8660"/>
    <cellStyle name="Percent 35 3 2 2 3 2" xfId="14854"/>
    <cellStyle name="Percent 35 3 2 2 3 2 2" xfId="34737"/>
    <cellStyle name="Percent 35 3 2 2 3 3" xfId="21006"/>
    <cellStyle name="Percent 35 3 2 2 3 3 2" xfId="40889"/>
    <cellStyle name="Percent 35 3 2 2 3 4" xfId="28584"/>
    <cellStyle name="Percent 35 3 2 2 4" xfId="11788"/>
    <cellStyle name="Percent 35 3 2 2 4 2" xfId="31671"/>
    <cellStyle name="Percent 35 3 2 2 5" xfId="17940"/>
    <cellStyle name="Percent 35 3 2 2 5 2" xfId="37823"/>
    <cellStyle name="Percent 35 3 2 2 6" xfId="25518"/>
    <cellStyle name="Percent 35 3 2 3" xfId="6339"/>
    <cellStyle name="Percent 35 3 2 3 2" xfId="9426"/>
    <cellStyle name="Percent 35 3 2 3 2 2" xfId="15619"/>
    <cellStyle name="Percent 35 3 2 3 2 2 2" xfId="35502"/>
    <cellStyle name="Percent 35 3 2 3 2 3" xfId="21771"/>
    <cellStyle name="Percent 35 3 2 3 2 3 2" xfId="41654"/>
    <cellStyle name="Percent 35 3 2 3 2 4" xfId="29349"/>
    <cellStyle name="Percent 35 3 2 3 3" xfId="12553"/>
    <cellStyle name="Percent 35 3 2 3 3 2" xfId="32436"/>
    <cellStyle name="Percent 35 3 2 3 4" xfId="18705"/>
    <cellStyle name="Percent 35 3 2 3 4 2" xfId="38588"/>
    <cellStyle name="Percent 35 3 2 3 5" xfId="26283"/>
    <cellStyle name="Percent 35 3 2 4" xfId="7891"/>
    <cellStyle name="Percent 35 3 2 4 2" xfId="14085"/>
    <cellStyle name="Percent 35 3 2 4 2 2" xfId="33968"/>
    <cellStyle name="Percent 35 3 2 4 3" xfId="20237"/>
    <cellStyle name="Percent 35 3 2 4 3 2" xfId="40120"/>
    <cellStyle name="Percent 35 3 2 4 4" xfId="27815"/>
    <cellStyle name="Percent 35 3 2 5" xfId="11019"/>
    <cellStyle name="Percent 35 3 2 5 2" xfId="30902"/>
    <cellStyle name="Percent 35 3 2 6" xfId="17171"/>
    <cellStyle name="Percent 35 3 2 6 2" xfId="37054"/>
    <cellStyle name="Percent 35 3 2 7" xfId="24749"/>
    <cellStyle name="Percent 35 3 3" xfId="5483"/>
    <cellStyle name="Percent 35 3 3 2" xfId="7108"/>
    <cellStyle name="Percent 35 3 3 2 2" xfId="10194"/>
    <cellStyle name="Percent 35 3 3 2 2 2" xfId="16387"/>
    <cellStyle name="Percent 35 3 3 2 2 2 2" xfId="36270"/>
    <cellStyle name="Percent 35 3 3 2 2 3" xfId="22539"/>
    <cellStyle name="Percent 35 3 3 2 2 3 2" xfId="42422"/>
    <cellStyle name="Percent 35 3 3 2 2 4" xfId="30117"/>
    <cellStyle name="Percent 35 3 3 2 3" xfId="13321"/>
    <cellStyle name="Percent 35 3 3 2 3 2" xfId="33204"/>
    <cellStyle name="Percent 35 3 3 2 4" xfId="19473"/>
    <cellStyle name="Percent 35 3 3 2 4 2" xfId="39356"/>
    <cellStyle name="Percent 35 3 3 2 5" xfId="27051"/>
    <cellStyle name="Percent 35 3 3 3" xfId="8659"/>
    <cellStyle name="Percent 35 3 3 3 2" xfId="14853"/>
    <cellStyle name="Percent 35 3 3 3 2 2" xfId="34736"/>
    <cellStyle name="Percent 35 3 3 3 3" xfId="21005"/>
    <cellStyle name="Percent 35 3 3 3 3 2" xfId="40888"/>
    <cellStyle name="Percent 35 3 3 3 4" xfId="28583"/>
    <cellStyle name="Percent 35 3 3 4" xfId="11787"/>
    <cellStyle name="Percent 35 3 3 4 2" xfId="31670"/>
    <cellStyle name="Percent 35 3 3 5" xfId="17939"/>
    <cellStyle name="Percent 35 3 3 5 2" xfId="37822"/>
    <cellStyle name="Percent 35 3 3 6" xfId="25517"/>
    <cellStyle name="Percent 35 3 4" xfId="6338"/>
    <cellStyle name="Percent 35 3 4 2" xfId="9425"/>
    <cellStyle name="Percent 35 3 4 2 2" xfId="15618"/>
    <cellStyle name="Percent 35 3 4 2 2 2" xfId="35501"/>
    <cellStyle name="Percent 35 3 4 2 3" xfId="21770"/>
    <cellStyle name="Percent 35 3 4 2 3 2" xfId="41653"/>
    <cellStyle name="Percent 35 3 4 2 4" xfId="29348"/>
    <cellStyle name="Percent 35 3 4 3" xfId="12552"/>
    <cellStyle name="Percent 35 3 4 3 2" xfId="32435"/>
    <cellStyle name="Percent 35 3 4 4" xfId="18704"/>
    <cellStyle name="Percent 35 3 4 4 2" xfId="38587"/>
    <cellStyle name="Percent 35 3 4 5" xfId="26282"/>
    <cellStyle name="Percent 35 3 5" xfId="7890"/>
    <cellStyle name="Percent 35 3 5 2" xfId="14084"/>
    <cellStyle name="Percent 35 3 5 2 2" xfId="33967"/>
    <cellStyle name="Percent 35 3 5 3" xfId="20236"/>
    <cellStyle name="Percent 35 3 5 3 2" xfId="40119"/>
    <cellStyle name="Percent 35 3 5 4" xfId="27814"/>
    <cellStyle name="Percent 35 3 6" xfId="11018"/>
    <cellStyle name="Percent 35 3 6 2" xfId="30901"/>
    <cellStyle name="Percent 35 3 7" xfId="17170"/>
    <cellStyle name="Percent 35 3 7 2" xfId="37053"/>
    <cellStyle name="Percent 35 3 8" xfId="24748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2 2" xfId="36272"/>
    <cellStyle name="Percent 35 4 2 2 2 2 3" xfId="22541"/>
    <cellStyle name="Percent 35 4 2 2 2 2 3 2" xfId="42424"/>
    <cellStyle name="Percent 35 4 2 2 2 2 4" xfId="30119"/>
    <cellStyle name="Percent 35 4 2 2 2 3" xfId="13323"/>
    <cellStyle name="Percent 35 4 2 2 2 3 2" xfId="33206"/>
    <cellStyle name="Percent 35 4 2 2 2 4" xfId="19475"/>
    <cellStyle name="Percent 35 4 2 2 2 4 2" xfId="39358"/>
    <cellStyle name="Percent 35 4 2 2 2 5" xfId="27053"/>
    <cellStyle name="Percent 35 4 2 2 3" xfId="8661"/>
    <cellStyle name="Percent 35 4 2 2 3 2" xfId="14855"/>
    <cellStyle name="Percent 35 4 2 2 3 2 2" xfId="34738"/>
    <cellStyle name="Percent 35 4 2 2 3 3" xfId="21007"/>
    <cellStyle name="Percent 35 4 2 2 3 3 2" xfId="40890"/>
    <cellStyle name="Percent 35 4 2 2 3 4" xfId="28585"/>
    <cellStyle name="Percent 35 4 2 2 4" xfId="11789"/>
    <cellStyle name="Percent 35 4 2 2 4 2" xfId="31672"/>
    <cellStyle name="Percent 35 4 2 2 5" xfId="17941"/>
    <cellStyle name="Percent 35 4 2 2 5 2" xfId="37824"/>
    <cellStyle name="Percent 35 4 2 2 6" xfId="25519"/>
    <cellStyle name="Percent 35 4 2 3" xfId="6340"/>
    <cellStyle name="Percent 35 4 2 3 2" xfId="9427"/>
    <cellStyle name="Percent 35 4 2 3 2 2" xfId="15620"/>
    <cellStyle name="Percent 35 4 2 3 2 2 2" xfId="35503"/>
    <cellStyle name="Percent 35 4 2 3 2 3" xfId="21772"/>
    <cellStyle name="Percent 35 4 2 3 2 3 2" xfId="41655"/>
    <cellStyle name="Percent 35 4 2 3 2 4" xfId="29350"/>
    <cellStyle name="Percent 35 4 2 3 3" xfId="12554"/>
    <cellStyle name="Percent 35 4 2 3 3 2" xfId="32437"/>
    <cellStyle name="Percent 35 4 2 3 4" xfId="18706"/>
    <cellStyle name="Percent 35 4 2 3 4 2" xfId="38589"/>
    <cellStyle name="Percent 35 4 2 3 5" xfId="26284"/>
    <cellStyle name="Percent 35 4 2 4" xfId="7892"/>
    <cellStyle name="Percent 35 4 2 4 2" xfId="14086"/>
    <cellStyle name="Percent 35 4 2 4 2 2" xfId="33969"/>
    <cellStyle name="Percent 35 4 2 4 3" xfId="20238"/>
    <cellStyle name="Percent 35 4 2 4 3 2" xfId="40121"/>
    <cellStyle name="Percent 35 4 2 4 4" xfId="27816"/>
    <cellStyle name="Percent 35 4 2 5" xfId="11020"/>
    <cellStyle name="Percent 35 4 2 5 2" xfId="30903"/>
    <cellStyle name="Percent 35 4 2 6" xfId="17172"/>
    <cellStyle name="Percent 35 4 2 6 2" xfId="37055"/>
    <cellStyle name="Percent 35 4 2 7" xfId="24750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2 2" xfId="36273"/>
    <cellStyle name="Percent 35 5 2 2 2 3" xfId="22542"/>
    <cellStyle name="Percent 35 5 2 2 2 3 2" xfId="42425"/>
    <cellStyle name="Percent 35 5 2 2 2 4" xfId="30120"/>
    <cellStyle name="Percent 35 5 2 2 3" xfId="13324"/>
    <cellStyle name="Percent 35 5 2 2 3 2" xfId="33207"/>
    <cellStyle name="Percent 35 5 2 2 4" xfId="19476"/>
    <cellStyle name="Percent 35 5 2 2 4 2" xfId="39359"/>
    <cellStyle name="Percent 35 5 2 2 5" xfId="27054"/>
    <cellStyle name="Percent 35 5 2 3" xfId="8662"/>
    <cellStyle name="Percent 35 5 2 3 2" xfId="14856"/>
    <cellStyle name="Percent 35 5 2 3 2 2" xfId="34739"/>
    <cellStyle name="Percent 35 5 2 3 3" xfId="21008"/>
    <cellStyle name="Percent 35 5 2 3 3 2" xfId="40891"/>
    <cellStyle name="Percent 35 5 2 3 4" xfId="28586"/>
    <cellStyle name="Percent 35 5 2 4" xfId="11790"/>
    <cellStyle name="Percent 35 5 2 4 2" xfId="31673"/>
    <cellStyle name="Percent 35 5 2 5" xfId="17942"/>
    <cellStyle name="Percent 35 5 2 5 2" xfId="37825"/>
    <cellStyle name="Percent 35 5 2 6" xfId="25520"/>
    <cellStyle name="Percent 35 5 3" xfId="6341"/>
    <cellStyle name="Percent 35 5 3 2" xfId="9428"/>
    <cellStyle name="Percent 35 5 3 2 2" xfId="15621"/>
    <cellStyle name="Percent 35 5 3 2 2 2" xfId="35504"/>
    <cellStyle name="Percent 35 5 3 2 3" xfId="21773"/>
    <cellStyle name="Percent 35 5 3 2 3 2" xfId="41656"/>
    <cellStyle name="Percent 35 5 3 2 4" xfId="29351"/>
    <cellStyle name="Percent 35 5 3 3" xfId="12555"/>
    <cellStyle name="Percent 35 5 3 3 2" xfId="32438"/>
    <cellStyle name="Percent 35 5 3 4" xfId="18707"/>
    <cellStyle name="Percent 35 5 3 4 2" xfId="38590"/>
    <cellStyle name="Percent 35 5 3 5" xfId="26285"/>
    <cellStyle name="Percent 35 5 4" xfId="7893"/>
    <cellStyle name="Percent 35 5 4 2" xfId="14087"/>
    <cellStyle name="Percent 35 5 4 2 2" xfId="33970"/>
    <cellStyle name="Percent 35 5 4 3" xfId="20239"/>
    <cellStyle name="Percent 35 5 4 3 2" xfId="40122"/>
    <cellStyle name="Percent 35 5 4 4" xfId="27817"/>
    <cellStyle name="Percent 35 5 5" xfId="11021"/>
    <cellStyle name="Percent 35 5 5 2" xfId="30904"/>
    <cellStyle name="Percent 35 5 6" xfId="17173"/>
    <cellStyle name="Percent 35 5 6 2" xfId="37056"/>
    <cellStyle name="Percent 35 5 7" xfId="24751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2 2" xfId="23762"/>
    <cellStyle name="Percent 5 10 3" xfId="10280"/>
    <cellStyle name="Percent 5 10 3 2" xfId="30163"/>
    <cellStyle name="Percent 5 10 4" xfId="22882"/>
    <cellStyle name="Percent 5 10 4 2" xfId="42756"/>
    <cellStyle name="Percent 5 10 5" xfId="23459"/>
    <cellStyle name="Percent 5 11" xfId="434"/>
    <cellStyle name="Percent 5 11 2" xfId="922"/>
    <cellStyle name="Percent 5 11 2 2" xfId="23765"/>
    <cellStyle name="Percent 5 11 3" xfId="16432"/>
    <cellStyle name="Percent 5 11 3 2" xfId="36315"/>
    <cellStyle name="Percent 5 11 4" xfId="22885"/>
    <cellStyle name="Percent 5 11 4 2" xfId="42759"/>
    <cellStyle name="Percent 5 11 5" xfId="23462"/>
    <cellStyle name="Percent 5 12" xfId="442"/>
    <cellStyle name="Percent 5 12 2" xfId="925"/>
    <cellStyle name="Percent 5 12 2 2" xfId="23768"/>
    <cellStyle name="Percent 5 12 3" xfId="1281"/>
    <cellStyle name="Percent 5 12 3 2" xfId="24010"/>
    <cellStyle name="Percent 5 12 4" xfId="22888"/>
    <cellStyle name="Percent 5 12 4 2" xfId="42762"/>
    <cellStyle name="Percent 5 12 5" xfId="23465"/>
    <cellStyle name="Percent 5 13" xfId="445"/>
    <cellStyle name="Percent 5 13 2" xfId="928"/>
    <cellStyle name="Percent 5 13 2 2" xfId="23771"/>
    <cellStyle name="Percent 5 13 3" xfId="22791"/>
    <cellStyle name="Percent 5 13 3 2" xfId="42665"/>
    <cellStyle name="Percent 5 13 4" xfId="22891"/>
    <cellStyle name="Percent 5 13 4 2" xfId="42765"/>
    <cellStyle name="Percent 5 13 5" xfId="23468"/>
    <cellStyle name="Percent 5 14" xfId="448"/>
    <cellStyle name="Percent 5 14 2" xfId="931"/>
    <cellStyle name="Percent 5 14 2 2" xfId="23774"/>
    <cellStyle name="Percent 5 14 3" xfId="22708"/>
    <cellStyle name="Percent 5 14 3 2" xfId="42582"/>
    <cellStyle name="Percent 5 14 4" xfId="22894"/>
    <cellStyle name="Percent 5 14 4 2" xfId="42768"/>
    <cellStyle name="Percent 5 14 5" xfId="23471"/>
    <cellStyle name="Percent 5 15" xfId="513"/>
    <cellStyle name="Percent 5 15 2" xfId="947"/>
    <cellStyle name="Percent 5 15 2 2" xfId="23790"/>
    <cellStyle name="Percent 5 15 3" xfId="22651"/>
    <cellStyle name="Percent 5 15 3 2" xfId="42525"/>
    <cellStyle name="Percent 5 15 4" xfId="22910"/>
    <cellStyle name="Percent 5 15 4 2" xfId="42784"/>
    <cellStyle name="Percent 5 15 5" xfId="23487"/>
    <cellStyle name="Percent 5 16" xfId="543"/>
    <cellStyle name="Percent 5 16 2" xfId="963"/>
    <cellStyle name="Percent 5 16 2 2" xfId="23806"/>
    <cellStyle name="Percent 5 16 3" xfId="22684"/>
    <cellStyle name="Percent 5 16 3 2" xfId="42558"/>
    <cellStyle name="Percent 5 16 4" xfId="22926"/>
    <cellStyle name="Percent 5 16 4 2" xfId="42800"/>
    <cellStyle name="Percent 5 16 5" xfId="23503"/>
    <cellStyle name="Percent 5 17" xfId="570"/>
    <cellStyle name="Percent 5 17 2" xfId="979"/>
    <cellStyle name="Percent 5 17 2 2" xfId="23822"/>
    <cellStyle name="Percent 5 17 3" xfId="22670"/>
    <cellStyle name="Percent 5 17 3 2" xfId="42544"/>
    <cellStyle name="Percent 5 17 4" xfId="22942"/>
    <cellStyle name="Percent 5 17 4 2" xfId="42816"/>
    <cellStyle name="Percent 5 17 5" xfId="23519"/>
    <cellStyle name="Percent 5 18" xfId="596"/>
    <cellStyle name="Percent 5 18 2" xfId="995"/>
    <cellStyle name="Percent 5 18 2 2" xfId="23838"/>
    <cellStyle name="Percent 5 18 3" xfId="22607"/>
    <cellStyle name="Percent 5 18 3 2" xfId="42481"/>
    <cellStyle name="Percent 5 18 4" xfId="22958"/>
    <cellStyle name="Percent 5 18 4 2" xfId="42832"/>
    <cellStyle name="Percent 5 18 5" xfId="23535"/>
    <cellStyle name="Percent 5 19" xfId="622"/>
    <cellStyle name="Percent 5 19 2" xfId="1011"/>
    <cellStyle name="Percent 5 19 2 2" xfId="23854"/>
    <cellStyle name="Percent 5 19 3" xfId="22646"/>
    <cellStyle name="Percent 5 19 3 2" xfId="42520"/>
    <cellStyle name="Percent 5 19 4" xfId="22974"/>
    <cellStyle name="Percent 5 19 4 2" xfId="42848"/>
    <cellStyle name="Percent 5 19 5" xfId="23551"/>
    <cellStyle name="Percent 5 2" xfId="100"/>
    <cellStyle name="Percent 5 2 10" xfId="10286"/>
    <cellStyle name="Percent 5 2 10 2" xfId="30169"/>
    <cellStyle name="Percent 5 2 11" xfId="16438"/>
    <cellStyle name="Percent 5 2 11 2" xfId="36321"/>
    <cellStyle name="Percent 5 2 12" xfId="1296"/>
    <cellStyle name="Percent 5 2 12 2" xfId="24016"/>
    <cellStyle name="Percent 5 2 13" xfId="22858"/>
    <cellStyle name="Percent 5 2 13 2" xfId="42732"/>
    <cellStyle name="Percent 5 2 14" xfId="299"/>
    <cellStyle name="Percent 5 2 14 2" xfId="23435"/>
    <cellStyle name="Percent 5 2 15" xfId="23324"/>
    <cellStyle name="Percent 5 2 2" xfId="895"/>
    <cellStyle name="Percent 5 2 2 10" xfId="1315"/>
    <cellStyle name="Percent 5 2 2 10 2" xfId="24027"/>
    <cellStyle name="Percent 5 2 2 11" xfId="23738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2 2" xfId="36289"/>
    <cellStyle name="Percent 5 2 2 2 2 2 2 3" xfId="22558"/>
    <cellStyle name="Percent 5 2 2 2 2 2 2 3 2" xfId="42441"/>
    <cellStyle name="Percent 5 2 2 2 2 2 2 4" xfId="30136"/>
    <cellStyle name="Percent 5 2 2 2 2 2 3" xfId="13340"/>
    <cellStyle name="Percent 5 2 2 2 2 2 3 2" xfId="33223"/>
    <cellStyle name="Percent 5 2 2 2 2 2 4" xfId="19492"/>
    <cellStyle name="Percent 5 2 2 2 2 2 4 2" xfId="39375"/>
    <cellStyle name="Percent 5 2 2 2 2 2 5" xfId="27070"/>
    <cellStyle name="Percent 5 2 2 2 2 3" xfId="8678"/>
    <cellStyle name="Percent 5 2 2 2 2 3 2" xfId="14872"/>
    <cellStyle name="Percent 5 2 2 2 2 3 2 2" xfId="34755"/>
    <cellStyle name="Percent 5 2 2 2 2 3 3" xfId="21024"/>
    <cellStyle name="Percent 5 2 2 2 2 3 3 2" xfId="40907"/>
    <cellStyle name="Percent 5 2 2 2 2 3 4" xfId="28602"/>
    <cellStyle name="Percent 5 2 2 2 2 4" xfId="11806"/>
    <cellStyle name="Percent 5 2 2 2 2 4 2" xfId="31689"/>
    <cellStyle name="Percent 5 2 2 2 2 5" xfId="17958"/>
    <cellStyle name="Percent 5 2 2 2 2 5 2" xfId="37841"/>
    <cellStyle name="Percent 5 2 2 2 2 6" xfId="25536"/>
    <cellStyle name="Percent 5 2 2 2 3" xfId="6358"/>
    <cellStyle name="Percent 5 2 2 2 3 2" xfId="9444"/>
    <cellStyle name="Percent 5 2 2 2 3 2 2" xfId="15637"/>
    <cellStyle name="Percent 5 2 2 2 3 2 2 2" xfId="35520"/>
    <cellStyle name="Percent 5 2 2 2 3 2 3" xfId="21789"/>
    <cellStyle name="Percent 5 2 2 2 3 2 3 2" xfId="41672"/>
    <cellStyle name="Percent 5 2 2 2 3 2 4" xfId="29367"/>
    <cellStyle name="Percent 5 2 2 2 3 3" xfId="12571"/>
    <cellStyle name="Percent 5 2 2 2 3 3 2" xfId="32454"/>
    <cellStyle name="Percent 5 2 2 2 3 4" xfId="18723"/>
    <cellStyle name="Percent 5 2 2 2 3 4 2" xfId="38606"/>
    <cellStyle name="Percent 5 2 2 2 3 5" xfId="26301"/>
    <cellStyle name="Percent 5 2 2 2 4" xfId="7909"/>
    <cellStyle name="Percent 5 2 2 2 4 2" xfId="14103"/>
    <cellStyle name="Percent 5 2 2 2 4 2 2" xfId="33986"/>
    <cellStyle name="Percent 5 2 2 2 4 3" xfId="20255"/>
    <cellStyle name="Percent 5 2 2 2 4 3 2" xfId="40138"/>
    <cellStyle name="Percent 5 2 2 2 4 4" xfId="27833"/>
    <cellStyle name="Percent 5 2 2 2 5" xfId="10252"/>
    <cellStyle name="Percent 5 2 2 2 5 2" xfId="16424"/>
    <cellStyle name="Percent 5 2 2 2 5 2 2" xfId="36307"/>
    <cellStyle name="Percent 5 2 2 2 5 3" xfId="22576"/>
    <cellStyle name="Percent 5 2 2 2 5 3 2" xfId="42459"/>
    <cellStyle name="Percent 5 2 2 2 5 4" xfId="30154"/>
    <cellStyle name="Percent 5 2 2 2 6" xfId="11037"/>
    <cellStyle name="Percent 5 2 2 2 6 2" xfId="30920"/>
    <cellStyle name="Percent 5 2 2 2 7" xfId="17189"/>
    <cellStyle name="Percent 5 2 2 2 7 2" xfId="37072"/>
    <cellStyle name="Percent 5 2 2 2 8" xfId="24767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2 2" xfId="35549"/>
    <cellStyle name="Percent 5 2 2 4 2 2 3" xfId="21818"/>
    <cellStyle name="Percent 5 2 2 4 2 2 3 2" xfId="41701"/>
    <cellStyle name="Percent 5 2 2 4 2 2 4" xfId="29396"/>
    <cellStyle name="Percent 5 2 2 4 2 3" xfId="12600"/>
    <cellStyle name="Percent 5 2 2 4 2 3 2" xfId="32483"/>
    <cellStyle name="Percent 5 2 2 4 2 4" xfId="18752"/>
    <cellStyle name="Percent 5 2 2 4 2 4 2" xfId="38635"/>
    <cellStyle name="Percent 5 2 2 4 2 5" xfId="26330"/>
    <cellStyle name="Percent 5 2 2 4 3" xfId="7938"/>
    <cellStyle name="Percent 5 2 2 4 3 2" xfId="14132"/>
    <cellStyle name="Percent 5 2 2 4 3 2 2" xfId="34015"/>
    <cellStyle name="Percent 5 2 2 4 3 3" xfId="20284"/>
    <cellStyle name="Percent 5 2 2 4 3 3 2" xfId="40167"/>
    <cellStyle name="Percent 5 2 2 4 3 4" xfId="27862"/>
    <cellStyle name="Percent 5 2 2 4 4" xfId="11066"/>
    <cellStyle name="Percent 5 2 2 4 4 2" xfId="30949"/>
    <cellStyle name="Percent 5 2 2 4 5" xfId="17218"/>
    <cellStyle name="Percent 5 2 2 4 5 2" xfId="37101"/>
    <cellStyle name="Percent 5 2 2 4 6" xfId="24796"/>
    <cellStyle name="Percent 5 2 2 5" xfId="5601"/>
    <cellStyle name="Percent 5 2 2 5 2" xfId="8704"/>
    <cellStyle name="Percent 5 2 2 5 2 2" xfId="14897"/>
    <cellStyle name="Percent 5 2 2 5 2 2 2" xfId="34780"/>
    <cellStyle name="Percent 5 2 2 5 2 3" xfId="21049"/>
    <cellStyle name="Percent 5 2 2 5 2 3 2" xfId="40932"/>
    <cellStyle name="Percent 5 2 2 5 2 4" xfId="28627"/>
    <cellStyle name="Percent 5 2 2 5 3" xfId="11831"/>
    <cellStyle name="Percent 5 2 2 5 3 2" xfId="31714"/>
    <cellStyle name="Percent 5 2 2 5 4" xfId="17983"/>
    <cellStyle name="Percent 5 2 2 5 4 2" xfId="37866"/>
    <cellStyle name="Percent 5 2 2 5 5" xfId="25561"/>
    <cellStyle name="Percent 5 2 2 6" xfId="7169"/>
    <cellStyle name="Percent 5 2 2 6 2" xfId="13363"/>
    <cellStyle name="Percent 5 2 2 6 2 2" xfId="33246"/>
    <cellStyle name="Percent 5 2 2 6 3" xfId="19515"/>
    <cellStyle name="Percent 5 2 2 6 3 2" xfId="39398"/>
    <cellStyle name="Percent 5 2 2 6 4" xfId="27093"/>
    <cellStyle name="Percent 5 2 2 7" xfId="10241"/>
    <cellStyle name="Percent 5 2 2 7 2" xfId="16415"/>
    <cellStyle name="Percent 5 2 2 7 2 2" xfId="36298"/>
    <cellStyle name="Percent 5 2 2 7 3" xfId="22567"/>
    <cellStyle name="Percent 5 2 2 7 3 2" xfId="42450"/>
    <cellStyle name="Percent 5 2 2 7 4" xfId="30145"/>
    <cellStyle name="Percent 5 2 2 8" xfId="10297"/>
    <cellStyle name="Percent 5 2 2 8 2" xfId="30180"/>
    <cellStyle name="Percent 5 2 2 9" xfId="16449"/>
    <cellStyle name="Percent 5 2 2 9 2" xfId="36332"/>
    <cellStyle name="Percent 5 2 3" xfId="4490"/>
    <cellStyle name="Percent 5 2 3 2" xfId="10251"/>
    <cellStyle name="Percent 5 2 3 2 2" xfId="16423"/>
    <cellStyle name="Percent 5 2 3 2 2 2" xfId="36306"/>
    <cellStyle name="Percent 5 2 3 2 3" xfId="22575"/>
    <cellStyle name="Percent 5 2 3 2 3 2" xfId="42458"/>
    <cellStyle name="Percent 5 2 3 2 4" xfId="30153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2 2" xfId="36280"/>
    <cellStyle name="Percent 5 2 4 2 2 2 3" xfId="22549"/>
    <cellStyle name="Percent 5 2 4 2 2 2 3 2" xfId="42432"/>
    <cellStyle name="Percent 5 2 4 2 2 2 4" xfId="30127"/>
    <cellStyle name="Percent 5 2 4 2 2 3" xfId="13331"/>
    <cellStyle name="Percent 5 2 4 2 2 3 2" xfId="33214"/>
    <cellStyle name="Percent 5 2 4 2 2 4" xfId="19483"/>
    <cellStyle name="Percent 5 2 4 2 2 4 2" xfId="39366"/>
    <cellStyle name="Percent 5 2 4 2 2 5" xfId="27061"/>
    <cellStyle name="Percent 5 2 4 2 3" xfId="8669"/>
    <cellStyle name="Percent 5 2 4 2 3 2" xfId="14863"/>
    <cellStyle name="Percent 5 2 4 2 3 2 2" xfId="34746"/>
    <cellStyle name="Percent 5 2 4 2 3 3" xfId="21015"/>
    <cellStyle name="Percent 5 2 4 2 3 3 2" xfId="40898"/>
    <cellStyle name="Percent 5 2 4 2 3 4" xfId="28593"/>
    <cellStyle name="Percent 5 2 4 2 4" xfId="11797"/>
    <cellStyle name="Percent 5 2 4 2 4 2" xfId="31680"/>
    <cellStyle name="Percent 5 2 4 2 5" xfId="17949"/>
    <cellStyle name="Percent 5 2 4 2 5 2" xfId="37832"/>
    <cellStyle name="Percent 5 2 4 2 6" xfId="25527"/>
    <cellStyle name="Percent 5 2 4 3" xfId="6349"/>
    <cellStyle name="Percent 5 2 4 3 2" xfId="9435"/>
    <cellStyle name="Percent 5 2 4 3 2 2" xfId="15628"/>
    <cellStyle name="Percent 5 2 4 3 2 2 2" xfId="35511"/>
    <cellStyle name="Percent 5 2 4 3 2 3" xfId="21780"/>
    <cellStyle name="Percent 5 2 4 3 2 3 2" xfId="41663"/>
    <cellStyle name="Percent 5 2 4 3 2 4" xfId="29358"/>
    <cellStyle name="Percent 5 2 4 3 3" xfId="12562"/>
    <cellStyle name="Percent 5 2 4 3 3 2" xfId="32445"/>
    <cellStyle name="Percent 5 2 4 3 4" xfId="18714"/>
    <cellStyle name="Percent 5 2 4 3 4 2" xfId="38597"/>
    <cellStyle name="Percent 5 2 4 3 5" xfId="26292"/>
    <cellStyle name="Percent 5 2 4 4" xfId="7900"/>
    <cellStyle name="Percent 5 2 4 4 2" xfId="14094"/>
    <cellStyle name="Percent 5 2 4 4 2 2" xfId="33977"/>
    <cellStyle name="Percent 5 2 4 4 3" xfId="20246"/>
    <cellStyle name="Percent 5 2 4 4 3 2" xfId="40129"/>
    <cellStyle name="Percent 5 2 4 4 4" xfId="27824"/>
    <cellStyle name="Percent 5 2 4 5" xfId="11028"/>
    <cellStyle name="Percent 5 2 4 5 2" xfId="30911"/>
    <cellStyle name="Percent 5 2 4 6" xfId="17180"/>
    <cellStyle name="Percent 5 2 4 6 2" xfId="37063"/>
    <cellStyle name="Percent 5 2 4 7" xfId="24758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2 2" xfId="35538"/>
    <cellStyle name="Percent 5 2 6 2 2 3" xfId="21807"/>
    <cellStyle name="Percent 5 2 6 2 2 3 2" xfId="41690"/>
    <cellStyle name="Percent 5 2 6 2 2 4" xfId="29385"/>
    <cellStyle name="Percent 5 2 6 2 3" xfId="12589"/>
    <cellStyle name="Percent 5 2 6 2 3 2" xfId="32472"/>
    <cellStyle name="Percent 5 2 6 2 4" xfId="18741"/>
    <cellStyle name="Percent 5 2 6 2 4 2" xfId="38624"/>
    <cellStyle name="Percent 5 2 6 2 5" xfId="26319"/>
    <cellStyle name="Percent 5 2 6 3" xfId="7927"/>
    <cellStyle name="Percent 5 2 6 3 2" xfId="14121"/>
    <cellStyle name="Percent 5 2 6 3 2 2" xfId="34004"/>
    <cellStyle name="Percent 5 2 6 3 3" xfId="20273"/>
    <cellStyle name="Percent 5 2 6 3 3 2" xfId="40156"/>
    <cellStyle name="Percent 5 2 6 3 4" xfId="27851"/>
    <cellStyle name="Percent 5 2 6 4" xfId="11055"/>
    <cellStyle name="Percent 5 2 6 4 2" xfId="30938"/>
    <cellStyle name="Percent 5 2 6 5" xfId="17207"/>
    <cellStyle name="Percent 5 2 6 5 2" xfId="37090"/>
    <cellStyle name="Percent 5 2 6 6" xfId="24785"/>
    <cellStyle name="Percent 5 2 7" xfId="5589"/>
    <cellStyle name="Percent 5 2 7 2" xfId="8693"/>
    <cellStyle name="Percent 5 2 7 2 2" xfId="14886"/>
    <cellStyle name="Percent 5 2 7 2 2 2" xfId="34769"/>
    <cellStyle name="Percent 5 2 7 2 3" xfId="21038"/>
    <cellStyle name="Percent 5 2 7 2 3 2" xfId="40921"/>
    <cellStyle name="Percent 5 2 7 2 4" xfId="28616"/>
    <cellStyle name="Percent 5 2 7 3" xfId="11820"/>
    <cellStyle name="Percent 5 2 7 3 2" xfId="31703"/>
    <cellStyle name="Percent 5 2 7 4" xfId="17972"/>
    <cellStyle name="Percent 5 2 7 4 2" xfId="37855"/>
    <cellStyle name="Percent 5 2 7 5" xfId="25550"/>
    <cellStyle name="Percent 5 2 8" xfId="7158"/>
    <cellStyle name="Percent 5 2 8 2" xfId="13352"/>
    <cellStyle name="Percent 5 2 8 2 2" xfId="33235"/>
    <cellStyle name="Percent 5 2 8 3" xfId="19504"/>
    <cellStyle name="Percent 5 2 8 3 2" xfId="39387"/>
    <cellStyle name="Percent 5 2 8 4" xfId="27082"/>
    <cellStyle name="Percent 5 2 9" xfId="10240"/>
    <cellStyle name="Percent 5 2 9 2" xfId="16414"/>
    <cellStyle name="Percent 5 2 9 2 2" xfId="36297"/>
    <cellStyle name="Percent 5 2 9 3" xfId="22566"/>
    <cellStyle name="Percent 5 2 9 3 2" xfId="42449"/>
    <cellStyle name="Percent 5 2 9 4" xfId="30144"/>
    <cellStyle name="Percent 5 20" xfId="646"/>
    <cellStyle name="Percent 5 20 2" xfId="1027"/>
    <cellStyle name="Percent 5 20 2 2" xfId="23870"/>
    <cellStyle name="Percent 5 20 3" xfId="22727"/>
    <cellStyle name="Percent 5 20 3 2" xfId="42601"/>
    <cellStyle name="Percent 5 20 4" xfId="22990"/>
    <cellStyle name="Percent 5 20 4 2" xfId="42864"/>
    <cellStyle name="Percent 5 20 5" xfId="23567"/>
    <cellStyle name="Percent 5 21" xfId="672"/>
    <cellStyle name="Percent 5 21 2" xfId="1043"/>
    <cellStyle name="Percent 5 21 2 2" xfId="23886"/>
    <cellStyle name="Percent 5 21 3" xfId="22753"/>
    <cellStyle name="Percent 5 21 3 2" xfId="42627"/>
    <cellStyle name="Percent 5 21 4" xfId="23006"/>
    <cellStyle name="Percent 5 21 4 2" xfId="42880"/>
    <cellStyle name="Percent 5 21 5" xfId="23583"/>
    <cellStyle name="Percent 5 22" xfId="712"/>
    <cellStyle name="Percent 5 22 2" xfId="1059"/>
    <cellStyle name="Percent 5 22 2 2" xfId="23902"/>
    <cellStyle name="Percent 5 22 3" xfId="22644"/>
    <cellStyle name="Percent 5 22 3 2" xfId="42518"/>
    <cellStyle name="Percent 5 22 4" xfId="23022"/>
    <cellStyle name="Percent 5 22 4 2" xfId="42896"/>
    <cellStyle name="Percent 5 22 5" xfId="23599"/>
    <cellStyle name="Percent 5 23" xfId="740"/>
    <cellStyle name="Percent 5 23 2" xfId="1075"/>
    <cellStyle name="Percent 5 23 2 2" xfId="23918"/>
    <cellStyle name="Percent 5 23 3" xfId="22737"/>
    <cellStyle name="Percent 5 23 3 2" xfId="42611"/>
    <cellStyle name="Percent 5 23 4" xfId="23038"/>
    <cellStyle name="Percent 5 23 4 2" xfId="42912"/>
    <cellStyle name="Percent 5 23 5" xfId="23615"/>
    <cellStyle name="Percent 5 24" xfId="766"/>
    <cellStyle name="Percent 5 24 2" xfId="1091"/>
    <cellStyle name="Percent 5 24 2 2" xfId="23934"/>
    <cellStyle name="Percent 5 24 3" xfId="22705"/>
    <cellStyle name="Percent 5 24 3 2" xfId="42579"/>
    <cellStyle name="Percent 5 24 4" xfId="23054"/>
    <cellStyle name="Percent 5 24 4 2" xfId="42928"/>
    <cellStyle name="Percent 5 24 5" xfId="23631"/>
    <cellStyle name="Percent 5 25" xfId="791"/>
    <cellStyle name="Percent 5 25 2" xfId="1107"/>
    <cellStyle name="Percent 5 25 2 2" xfId="23950"/>
    <cellStyle name="Percent 5 25 3" xfId="22650"/>
    <cellStyle name="Percent 5 25 3 2" xfId="42524"/>
    <cellStyle name="Percent 5 25 4" xfId="23070"/>
    <cellStyle name="Percent 5 25 4 2" xfId="42944"/>
    <cellStyle name="Percent 5 25 5" xfId="23647"/>
    <cellStyle name="Percent 5 26" xfId="815"/>
    <cellStyle name="Percent 5 26 2" xfId="1123"/>
    <cellStyle name="Percent 5 26 2 2" xfId="23966"/>
    <cellStyle name="Percent 5 26 3" xfId="22789"/>
    <cellStyle name="Percent 5 26 3 2" xfId="42663"/>
    <cellStyle name="Percent 5 26 4" xfId="23086"/>
    <cellStyle name="Percent 5 26 4 2" xfId="42960"/>
    <cellStyle name="Percent 5 26 5" xfId="23663"/>
    <cellStyle name="Percent 5 27" xfId="831"/>
    <cellStyle name="Percent 5 27 2" xfId="1139"/>
    <cellStyle name="Percent 5 27 2 2" xfId="23982"/>
    <cellStyle name="Percent 5 27 3" xfId="22710"/>
    <cellStyle name="Percent 5 27 3 2" xfId="42584"/>
    <cellStyle name="Percent 5 27 4" xfId="23102"/>
    <cellStyle name="Percent 5 27 4 2" xfId="42976"/>
    <cellStyle name="Percent 5 27 5" xfId="23679"/>
    <cellStyle name="Percent 5 28" xfId="847"/>
    <cellStyle name="Percent 5 28 2" xfId="1155"/>
    <cellStyle name="Percent 5 28 2 2" xfId="23998"/>
    <cellStyle name="Percent 5 28 3" xfId="22697"/>
    <cellStyle name="Percent 5 28 3 2" xfId="42571"/>
    <cellStyle name="Percent 5 28 4" xfId="23118"/>
    <cellStyle name="Percent 5 28 4 2" xfId="42992"/>
    <cellStyle name="Percent 5 28 5" xfId="23695"/>
    <cellStyle name="Percent 5 29" xfId="206"/>
    <cellStyle name="Percent 5 3" xfId="322"/>
    <cellStyle name="Percent 5 3 10" xfId="1309"/>
    <cellStyle name="Percent 5 3 10 2" xfId="24021"/>
    <cellStyle name="Percent 5 3 11" xfId="22861"/>
    <cellStyle name="Percent 5 3 11 2" xfId="42735"/>
    <cellStyle name="Percent 5 3 12" xfId="23325"/>
    <cellStyle name="Percent 5 3 13" xfId="23438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2 2" xfId="36284"/>
    <cellStyle name="Percent 5 3 2 2 2 2 3" xfId="22553"/>
    <cellStyle name="Percent 5 3 2 2 2 2 3 2" xfId="42436"/>
    <cellStyle name="Percent 5 3 2 2 2 2 4" xfId="30131"/>
    <cellStyle name="Percent 5 3 2 2 2 3" xfId="13335"/>
    <cellStyle name="Percent 5 3 2 2 2 3 2" xfId="33218"/>
    <cellStyle name="Percent 5 3 2 2 2 4" xfId="19487"/>
    <cellStyle name="Percent 5 3 2 2 2 4 2" xfId="39370"/>
    <cellStyle name="Percent 5 3 2 2 2 5" xfId="27065"/>
    <cellStyle name="Percent 5 3 2 2 3" xfId="8673"/>
    <cellStyle name="Percent 5 3 2 2 3 2" xfId="14867"/>
    <cellStyle name="Percent 5 3 2 2 3 2 2" xfId="34750"/>
    <cellStyle name="Percent 5 3 2 2 3 3" xfId="21019"/>
    <cellStyle name="Percent 5 3 2 2 3 3 2" xfId="40902"/>
    <cellStyle name="Percent 5 3 2 2 3 4" xfId="28597"/>
    <cellStyle name="Percent 5 3 2 2 4" xfId="11801"/>
    <cellStyle name="Percent 5 3 2 2 4 2" xfId="31684"/>
    <cellStyle name="Percent 5 3 2 2 5" xfId="17953"/>
    <cellStyle name="Percent 5 3 2 2 5 2" xfId="37836"/>
    <cellStyle name="Percent 5 3 2 2 6" xfId="25531"/>
    <cellStyle name="Percent 5 3 2 3" xfId="6353"/>
    <cellStyle name="Percent 5 3 2 3 2" xfId="9439"/>
    <cellStyle name="Percent 5 3 2 3 2 2" xfId="15632"/>
    <cellStyle name="Percent 5 3 2 3 2 2 2" xfId="35515"/>
    <cellStyle name="Percent 5 3 2 3 2 3" xfId="21784"/>
    <cellStyle name="Percent 5 3 2 3 2 3 2" xfId="41667"/>
    <cellStyle name="Percent 5 3 2 3 2 4" xfId="29362"/>
    <cellStyle name="Percent 5 3 2 3 3" xfId="12566"/>
    <cellStyle name="Percent 5 3 2 3 3 2" xfId="32449"/>
    <cellStyle name="Percent 5 3 2 3 4" xfId="18718"/>
    <cellStyle name="Percent 5 3 2 3 4 2" xfId="38601"/>
    <cellStyle name="Percent 5 3 2 3 5" xfId="26296"/>
    <cellStyle name="Percent 5 3 2 4" xfId="7904"/>
    <cellStyle name="Percent 5 3 2 4 2" xfId="14098"/>
    <cellStyle name="Percent 5 3 2 4 2 2" xfId="33981"/>
    <cellStyle name="Percent 5 3 2 4 3" xfId="20250"/>
    <cellStyle name="Percent 5 3 2 4 3 2" xfId="40133"/>
    <cellStyle name="Percent 5 3 2 4 4" xfId="27828"/>
    <cellStyle name="Percent 5 3 2 5" xfId="11032"/>
    <cellStyle name="Percent 5 3 2 5 2" xfId="30915"/>
    <cellStyle name="Percent 5 3 2 6" xfId="17184"/>
    <cellStyle name="Percent 5 3 2 6 2" xfId="37067"/>
    <cellStyle name="Percent 5 3 2 7" xfId="4721"/>
    <cellStyle name="Percent 5 3 2 7 2" xfId="24762"/>
    <cellStyle name="Percent 5 3 2 8" xfId="2374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2 2" xfId="35543"/>
    <cellStyle name="Percent 5 3 4 2 2 3" xfId="21812"/>
    <cellStyle name="Percent 5 3 4 2 2 3 2" xfId="41695"/>
    <cellStyle name="Percent 5 3 4 2 2 4" xfId="29390"/>
    <cellStyle name="Percent 5 3 4 2 3" xfId="12594"/>
    <cellStyle name="Percent 5 3 4 2 3 2" xfId="32477"/>
    <cellStyle name="Percent 5 3 4 2 4" xfId="18746"/>
    <cellStyle name="Percent 5 3 4 2 4 2" xfId="38629"/>
    <cellStyle name="Percent 5 3 4 2 5" xfId="26324"/>
    <cellStyle name="Percent 5 3 4 3" xfId="7932"/>
    <cellStyle name="Percent 5 3 4 3 2" xfId="14126"/>
    <cellStyle name="Percent 5 3 4 3 2 2" xfId="34009"/>
    <cellStyle name="Percent 5 3 4 3 3" xfId="20278"/>
    <cellStyle name="Percent 5 3 4 3 3 2" xfId="40161"/>
    <cellStyle name="Percent 5 3 4 3 4" xfId="27856"/>
    <cellStyle name="Percent 5 3 4 4" xfId="11060"/>
    <cellStyle name="Percent 5 3 4 4 2" xfId="30943"/>
    <cellStyle name="Percent 5 3 4 5" xfId="17212"/>
    <cellStyle name="Percent 5 3 4 5 2" xfId="37095"/>
    <cellStyle name="Percent 5 3 4 6" xfId="24790"/>
    <cellStyle name="Percent 5 3 5" xfId="5595"/>
    <cellStyle name="Percent 5 3 5 2" xfId="8698"/>
    <cellStyle name="Percent 5 3 5 2 2" xfId="14891"/>
    <cellStyle name="Percent 5 3 5 2 2 2" xfId="34774"/>
    <cellStyle name="Percent 5 3 5 2 3" xfId="21043"/>
    <cellStyle name="Percent 5 3 5 2 3 2" xfId="40926"/>
    <cellStyle name="Percent 5 3 5 2 4" xfId="28621"/>
    <cellStyle name="Percent 5 3 5 3" xfId="11825"/>
    <cellStyle name="Percent 5 3 5 3 2" xfId="31708"/>
    <cellStyle name="Percent 5 3 5 4" xfId="17977"/>
    <cellStyle name="Percent 5 3 5 4 2" xfId="37860"/>
    <cellStyle name="Percent 5 3 5 5" xfId="25555"/>
    <cellStyle name="Percent 5 3 6" xfId="7163"/>
    <cellStyle name="Percent 5 3 6 2" xfId="13357"/>
    <cellStyle name="Percent 5 3 6 2 2" xfId="33240"/>
    <cellStyle name="Percent 5 3 6 3" xfId="19509"/>
    <cellStyle name="Percent 5 3 6 3 2" xfId="39392"/>
    <cellStyle name="Percent 5 3 6 4" xfId="27087"/>
    <cellStyle name="Percent 5 3 7" xfId="10250"/>
    <cellStyle name="Percent 5 3 7 2" xfId="16422"/>
    <cellStyle name="Percent 5 3 7 2 2" xfId="36305"/>
    <cellStyle name="Percent 5 3 7 3" xfId="22574"/>
    <cellStyle name="Percent 5 3 7 3 2" xfId="42457"/>
    <cellStyle name="Percent 5 3 7 4" xfId="30152"/>
    <cellStyle name="Percent 5 3 8" xfId="10291"/>
    <cellStyle name="Percent 5 3 8 2" xfId="30174"/>
    <cellStyle name="Percent 5 3 9" xfId="16443"/>
    <cellStyle name="Percent 5 3 9 2" xfId="36326"/>
    <cellStyle name="Percent 5 30" xfId="23323"/>
    <cellStyle name="Percent 5 4" xfId="337"/>
    <cellStyle name="Percent 5 4 10" xfId="23441"/>
    <cellStyle name="Percent 5 4 2" xfId="901"/>
    <cellStyle name="Percent 5 4 2 2" xfId="7114"/>
    <cellStyle name="Percent 5 4 2 2 2" xfId="10200"/>
    <cellStyle name="Percent 5 4 2 2 2 2" xfId="16393"/>
    <cellStyle name="Percent 5 4 2 2 2 2 2" xfId="36276"/>
    <cellStyle name="Percent 5 4 2 2 2 3" xfId="22545"/>
    <cellStyle name="Percent 5 4 2 2 2 3 2" xfId="42428"/>
    <cellStyle name="Percent 5 4 2 2 2 4" xfId="30123"/>
    <cellStyle name="Percent 5 4 2 2 3" xfId="13327"/>
    <cellStyle name="Percent 5 4 2 2 3 2" xfId="33210"/>
    <cellStyle name="Percent 5 4 2 2 4" xfId="19479"/>
    <cellStyle name="Percent 5 4 2 2 4 2" xfId="39362"/>
    <cellStyle name="Percent 5 4 2 2 5" xfId="27057"/>
    <cellStyle name="Percent 5 4 2 3" xfId="8665"/>
    <cellStyle name="Percent 5 4 2 3 2" xfId="14859"/>
    <cellStyle name="Percent 5 4 2 3 2 2" xfId="34742"/>
    <cellStyle name="Percent 5 4 2 3 3" xfId="21011"/>
    <cellStyle name="Percent 5 4 2 3 3 2" xfId="40894"/>
    <cellStyle name="Percent 5 4 2 3 4" xfId="28589"/>
    <cellStyle name="Percent 5 4 2 4" xfId="11793"/>
    <cellStyle name="Percent 5 4 2 4 2" xfId="31676"/>
    <cellStyle name="Percent 5 4 2 5" xfId="17945"/>
    <cellStyle name="Percent 5 4 2 5 2" xfId="37828"/>
    <cellStyle name="Percent 5 4 2 6" xfId="5489"/>
    <cellStyle name="Percent 5 4 2 6 2" xfId="25523"/>
    <cellStyle name="Percent 5 4 2 7" xfId="23744"/>
    <cellStyle name="Percent 5 4 3" xfId="6345"/>
    <cellStyle name="Percent 5 4 3 2" xfId="9431"/>
    <cellStyle name="Percent 5 4 3 2 2" xfId="15624"/>
    <cellStyle name="Percent 5 4 3 2 2 2" xfId="35507"/>
    <cellStyle name="Percent 5 4 3 2 3" xfId="21776"/>
    <cellStyle name="Percent 5 4 3 2 3 2" xfId="41659"/>
    <cellStyle name="Percent 5 4 3 2 4" xfId="29354"/>
    <cellStyle name="Percent 5 4 3 3" xfId="12558"/>
    <cellStyle name="Percent 5 4 3 3 2" xfId="32441"/>
    <cellStyle name="Percent 5 4 3 4" xfId="18710"/>
    <cellStyle name="Percent 5 4 3 4 2" xfId="38593"/>
    <cellStyle name="Percent 5 4 3 5" xfId="26288"/>
    <cellStyle name="Percent 5 4 4" xfId="7896"/>
    <cellStyle name="Percent 5 4 4 2" xfId="14090"/>
    <cellStyle name="Percent 5 4 4 2 2" xfId="33973"/>
    <cellStyle name="Percent 5 4 4 3" xfId="20242"/>
    <cellStyle name="Percent 5 4 4 3 2" xfId="40125"/>
    <cellStyle name="Percent 5 4 4 4" xfId="27820"/>
    <cellStyle name="Percent 5 4 5" xfId="11024"/>
    <cellStyle name="Percent 5 4 5 2" xfId="30907"/>
    <cellStyle name="Percent 5 4 6" xfId="17176"/>
    <cellStyle name="Percent 5 4 6 2" xfId="37059"/>
    <cellStyle name="Percent 5 4 7" xfId="4701"/>
    <cellStyle name="Percent 5 4 7 2" xfId="24754"/>
    <cellStyle name="Percent 5 4 8" xfId="22864"/>
    <cellStyle name="Percent 5 4 8 2" xfId="42738"/>
    <cellStyle name="Percent 5 4 9" xfId="23326"/>
    <cellStyle name="Percent 5 5" xfId="351"/>
    <cellStyle name="Percent 5 5 2" xfId="904"/>
    <cellStyle name="Percent 5 5 2 2" xfId="23747"/>
    <cellStyle name="Percent 5 5 3" xfId="4487"/>
    <cellStyle name="Percent 5 5 4" xfId="22701"/>
    <cellStyle name="Percent 5 5 4 2" xfId="42575"/>
    <cellStyle name="Percent 5 5 5" xfId="22867"/>
    <cellStyle name="Percent 5 5 5 2" xfId="42741"/>
    <cellStyle name="Percent 5 5 6" xfId="23444"/>
    <cellStyle name="Percent 5 6" xfId="367"/>
    <cellStyle name="Percent 5 6 2" xfId="907"/>
    <cellStyle name="Percent 5 6 2 2" xfId="9456"/>
    <cellStyle name="Percent 5 6 2 2 2" xfId="15649"/>
    <cellStyle name="Percent 5 6 2 2 2 2" xfId="35532"/>
    <cellStyle name="Percent 5 6 2 2 3" xfId="21801"/>
    <cellStyle name="Percent 5 6 2 2 3 2" xfId="41684"/>
    <cellStyle name="Percent 5 6 2 2 4" xfId="29379"/>
    <cellStyle name="Percent 5 6 2 3" xfId="12583"/>
    <cellStyle name="Percent 5 6 2 3 2" xfId="32466"/>
    <cellStyle name="Percent 5 6 2 4" xfId="18735"/>
    <cellStyle name="Percent 5 6 2 4 2" xfId="38618"/>
    <cellStyle name="Percent 5 6 2 5" xfId="6370"/>
    <cellStyle name="Percent 5 6 2 5 2" xfId="26313"/>
    <cellStyle name="Percent 5 6 2 6" xfId="23750"/>
    <cellStyle name="Percent 5 6 3" xfId="7921"/>
    <cellStyle name="Percent 5 6 3 2" xfId="14115"/>
    <cellStyle name="Percent 5 6 3 2 2" xfId="33998"/>
    <cellStyle name="Percent 5 6 3 3" xfId="20267"/>
    <cellStyle name="Percent 5 6 3 3 2" xfId="40150"/>
    <cellStyle name="Percent 5 6 3 4" xfId="27845"/>
    <cellStyle name="Percent 5 6 4" xfId="11049"/>
    <cellStyle name="Percent 5 6 4 2" xfId="30932"/>
    <cellStyle name="Percent 5 6 5" xfId="17201"/>
    <cellStyle name="Percent 5 6 5 2" xfId="37084"/>
    <cellStyle name="Percent 5 6 6" xfId="4745"/>
    <cellStyle name="Percent 5 6 6 2" xfId="24779"/>
    <cellStyle name="Percent 5 6 7" xfId="22870"/>
    <cellStyle name="Percent 5 6 7 2" xfId="42744"/>
    <cellStyle name="Percent 5 6 8" xfId="23447"/>
    <cellStyle name="Percent 5 7" xfId="382"/>
    <cellStyle name="Percent 5 7 2" xfId="910"/>
    <cellStyle name="Percent 5 7 2 2" xfId="14880"/>
    <cellStyle name="Percent 5 7 2 2 2" xfId="34763"/>
    <cellStyle name="Percent 5 7 2 3" xfId="21032"/>
    <cellStyle name="Percent 5 7 2 3 2" xfId="40915"/>
    <cellStyle name="Percent 5 7 2 4" xfId="8687"/>
    <cellStyle name="Percent 5 7 2 4 2" xfId="28610"/>
    <cellStyle name="Percent 5 7 2 5" xfId="23753"/>
    <cellStyle name="Percent 5 7 3" xfId="11814"/>
    <cellStyle name="Percent 5 7 3 2" xfId="31697"/>
    <cellStyle name="Percent 5 7 4" xfId="17966"/>
    <cellStyle name="Percent 5 7 4 2" xfId="37849"/>
    <cellStyle name="Percent 5 7 5" xfId="5583"/>
    <cellStyle name="Percent 5 7 5 2" xfId="25544"/>
    <cellStyle name="Percent 5 7 6" xfId="22873"/>
    <cellStyle name="Percent 5 7 6 2" xfId="42747"/>
    <cellStyle name="Percent 5 7 7" xfId="23450"/>
    <cellStyle name="Percent 5 8" xfId="398"/>
    <cellStyle name="Percent 5 8 2" xfId="913"/>
    <cellStyle name="Percent 5 8 2 2" xfId="13346"/>
    <cellStyle name="Percent 5 8 2 2 2" xfId="33229"/>
    <cellStyle name="Percent 5 8 2 3" xfId="23756"/>
    <cellStyle name="Percent 5 8 3" xfId="19498"/>
    <cellStyle name="Percent 5 8 3 2" xfId="39381"/>
    <cellStyle name="Percent 5 8 4" xfId="7152"/>
    <cellStyle name="Percent 5 8 4 2" xfId="27076"/>
    <cellStyle name="Percent 5 8 5" xfId="22876"/>
    <cellStyle name="Percent 5 8 5 2" xfId="42750"/>
    <cellStyle name="Percent 5 8 6" xfId="23453"/>
    <cellStyle name="Percent 5 9" xfId="411"/>
    <cellStyle name="Percent 5 9 2" xfId="916"/>
    <cellStyle name="Percent 5 9 2 2" xfId="16413"/>
    <cellStyle name="Percent 5 9 2 2 2" xfId="36296"/>
    <cellStyle name="Percent 5 9 2 3" xfId="23759"/>
    <cellStyle name="Percent 5 9 3" xfId="22565"/>
    <cellStyle name="Percent 5 9 3 2" xfId="42448"/>
    <cellStyle name="Percent 5 9 4" xfId="10239"/>
    <cellStyle name="Percent 5 9 4 2" xfId="30143"/>
    <cellStyle name="Percent 5 9 5" xfId="22879"/>
    <cellStyle name="Percent 5 9 5 2" xfId="42753"/>
    <cellStyle name="Percent 5 9 6" xfId="23456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 7 2" xfId="4303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 6 2" xfId="4303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2 2" xfId="36308"/>
    <cellStyle name="Percent 8 2 4 3" xfId="22577"/>
    <cellStyle name="Percent 8 2 4 3 2" xfId="42460"/>
    <cellStyle name="Percent 8 2 4 4" xfId="30155"/>
    <cellStyle name="Percent 8 3" xfId="10242"/>
    <cellStyle name="Percent 8 3 2" xfId="16416"/>
    <cellStyle name="Percent 8 3 2 2" xfId="36299"/>
    <cellStyle name="Percent 8 3 3" xfId="22568"/>
    <cellStyle name="Percent 8 3 3 2" xfId="42451"/>
    <cellStyle name="Percent 8 3 4" xfId="30146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2 3" xfId="23389"/>
    <cellStyle name="Percent 9 2 3" xfId="4550"/>
    <cellStyle name="Percent 9 2 4" xfId="4548"/>
    <cellStyle name="Percent 9 2 5" xfId="23351"/>
    <cellStyle name="Percent 9 3" xfId="131"/>
    <cellStyle name="Percent 9 3 2" xfId="23376"/>
    <cellStyle name="Percent 9 4" xfId="116"/>
    <cellStyle name="Percent 9 4 2" xfId="23364"/>
    <cellStyle name="Percent 9 5" xfId="4547"/>
    <cellStyle name="Percent 9 6" xfId="23338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91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4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46120"/>
        <c:axId val="198709344"/>
      </c:scatterChart>
      <c:valAx>
        <c:axId val="19824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09344"/>
        <c:crosses val="autoZero"/>
        <c:crossBetween val="midCat"/>
      </c:valAx>
      <c:valAx>
        <c:axId val="1987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46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543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40864"/>
        <c:axId val="199283832"/>
      </c:scatterChart>
      <c:valAx>
        <c:axId val="18354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83832"/>
        <c:crosses val="autoZero"/>
        <c:crossBetween val="midCat"/>
      </c:valAx>
      <c:valAx>
        <c:axId val="199283832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40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1617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12248"/>
        <c:axId val="198008688"/>
      </c:scatterChart>
      <c:valAx>
        <c:axId val="20101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8688"/>
        <c:crosses val="autoZero"/>
        <c:crossBetween val="midCat"/>
      </c:valAx>
      <c:valAx>
        <c:axId val="198008688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012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2352"/>
        <c:axId val="201845968"/>
      </c:lineChart>
      <c:catAx>
        <c:axId val="2018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45968"/>
        <c:crosses val="autoZero"/>
        <c:auto val="1"/>
        <c:lblAlgn val="ctr"/>
        <c:lblOffset val="100"/>
        <c:noMultiLvlLbl val="0"/>
      </c:catAx>
      <c:valAx>
        <c:axId val="2018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'Net Plant'!$B$3:$J$3</c:f>
              <c:numCache>
                <c:formatCode>_(* #,##0_);_(* \(#,##0\);_(* "-"??_);_(@_)</c:formatCode>
                <c:ptCount val="9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  <c:pt idx="8">
                  <c:v>1250015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68000"/>
        <c:axId val="198188696"/>
      </c:scatterChart>
      <c:valAx>
        <c:axId val="20306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188696"/>
        <c:crosses val="autoZero"/>
        <c:crossBetween val="midCat"/>
      </c:valAx>
      <c:valAx>
        <c:axId val="198188696"/>
        <c:scaling>
          <c:orientation val="minMax"/>
          <c:min val="8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6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474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'Dep-Amort'!$B$3:$J$3</c:f>
              <c:numCache>
                <c:formatCode>_(* #,##0_);_(* \(#,##0\);_(* "-"??_);_(@_)</c:formatCode>
                <c:ptCount val="9"/>
                <c:pt idx="0">
                  <c:v>42949</c:v>
                </c:pt>
                <c:pt idx="1">
                  <c:v>45874</c:v>
                </c:pt>
                <c:pt idx="2">
                  <c:v>48466</c:v>
                </c:pt>
                <c:pt idx="3">
                  <c:v>52270</c:v>
                </c:pt>
                <c:pt idx="4">
                  <c:v>55304</c:v>
                </c:pt>
                <c:pt idx="5">
                  <c:v>58946</c:v>
                </c:pt>
                <c:pt idx="6">
                  <c:v>60308</c:v>
                </c:pt>
                <c:pt idx="7">
                  <c:v>64456</c:v>
                </c:pt>
                <c:pt idx="8">
                  <c:v>67443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67080"/>
        <c:axId val="199596440"/>
      </c:scatterChart>
      <c:valAx>
        <c:axId val="20316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6440"/>
        <c:crosses val="autoZero"/>
        <c:crossBetween val="midCat"/>
      </c:valAx>
      <c:valAx>
        <c:axId val="19959644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6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4897E-2"/>
                  <c:y val="0.216062738840399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'Adj Taxes'!$B$3:$J$3</c:f>
              <c:numCache>
                <c:formatCode>_(* #,##0_);_(* \(#,##0\);_(* "-"??_);_(@_)</c:formatCode>
                <c:ptCount val="9"/>
                <c:pt idx="0">
                  <c:v>24422.193309601087</c:v>
                </c:pt>
                <c:pt idx="1">
                  <c:v>25215.167948905873</c:v>
                </c:pt>
                <c:pt idx="2">
                  <c:v>26617.424405821377</c:v>
                </c:pt>
                <c:pt idx="3">
                  <c:v>29412.477627473563</c:v>
                </c:pt>
                <c:pt idx="4">
                  <c:v>32613.966947797297</c:v>
                </c:pt>
                <c:pt idx="5">
                  <c:v>33700.549684624653</c:v>
                </c:pt>
                <c:pt idx="6">
                  <c:v>36201</c:v>
                </c:pt>
                <c:pt idx="7">
                  <c:v>38403</c:v>
                </c:pt>
                <c:pt idx="8">
                  <c:v>41228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97224"/>
        <c:axId val="199597616"/>
      </c:scatterChart>
      <c:valAx>
        <c:axId val="19959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7616"/>
        <c:crosses val="autoZero"/>
        <c:crossBetween val="midCat"/>
      </c:valAx>
      <c:valAx>
        <c:axId val="199597616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7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/>
              <a:t>Adjusted Operating Expenses 2007-2015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Exp-2007-2015'!$A$3</c:f>
              <c:strCache>
                <c:ptCount val="1"/>
                <c:pt idx="0">
                  <c:v>Adjusted Operating Expenses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5078E-2"/>
                  <c:y val="0.2160627388403994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Exp-2007-2015'!$B$2:$J$2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'Adj Operating Exp-2007-2015'!$B$3:$J$3</c:f>
              <c:numCache>
                <c:formatCode>_(* #,##0_);_(* \(#,##0\);_(* "-"??_);_(@_)</c:formatCode>
                <c:ptCount val="9"/>
                <c:pt idx="0">
                  <c:v>92211.7999895299</c:v>
                </c:pt>
                <c:pt idx="1">
                  <c:v>99146.488212752593</c:v>
                </c:pt>
                <c:pt idx="2">
                  <c:v>108289.20367903885</c:v>
                </c:pt>
                <c:pt idx="3">
                  <c:v>113649.52340035603</c:v>
                </c:pt>
                <c:pt idx="4">
                  <c:v>123418.7529832047</c:v>
                </c:pt>
                <c:pt idx="5">
                  <c:v>134594.49114962851</c:v>
                </c:pt>
                <c:pt idx="6">
                  <c:v>128510</c:v>
                </c:pt>
                <c:pt idx="7">
                  <c:v>130891</c:v>
                </c:pt>
                <c:pt idx="8">
                  <c:v>132584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95656"/>
        <c:axId val="199598400"/>
      </c:scatterChart>
      <c:valAx>
        <c:axId val="199595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8400"/>
        <c:crosses val="autoZero"/>
        <c:crossBetween val="midCat"/>
      </c:valAx>
      <c:valAx>
        <c:axId val="19959840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5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28E-2"/>
                  <c:y val="0.334102143482069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3478.6275000000005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96048"/>
        <c:axId val="199599184"/>
      </c:scatterChart>
      <c:valAx>
        <c:axId val="19959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9184"/>
        <c:crosses val="autoZero"/>
        <c:crossBetween val="midCat"/>
      </c:valAx>
      <c:valAx>
        <c:axId val="19959918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11430</xdr:rowOff>
    </xdr:from>
    <xdr:to>
      <xdr:col>6</xdr:col>
      <xdr:colOff>685800</xdr:colOff>
      <xdr:row>28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66675</xdr:rowOff>
    </xdr:from>
    <xdr:to>
      <xdr:col>6</xdr:col>
      <xdr:colOff>678180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961245" y="965835"/>
          <a:ext cx="200025" cy="35623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5546875" defaultRowHeight="12.75"/>
  <cols>
    <col min="1" max="1" width="8.85546875" style="473"/>
    <col min="2" max="2" width="12.28515625" style="473" customWidth="1"/>
    <col min="3" max="16384" width="8.85546875" style="473"/>
  </cols>
  <sheetData>
    <row r="1" spans="1:8" hidden="1">
      <c r="C1" s="597">
        <v>2009</v>
      </c>
      <c r="D1" s="597">
        <v>2010</v>
      </c>
      <c r="E1" s="597">
        <v>2011</v>
      </c>
      <c r="F1" s="597">
        <v>2012</v>
      </c>
      <c r="G1" s="597">
        <v>2013</v>
      </c>
      <c r="H1" s="597">
        <v>2014</v>
      </c>
    </row>
    <row r="2" spans="1:8" hidden="1">
      <c r="A2" s="473" t="s">
        <v>59</v>
      </c>
    </row>
    <row r="3" spans="1:8" hidden="1">
      <c r="B3" s="473" t="s">
        <v>58</v>
      </c>
      <c r="C3" s="473">
        <v>57116</v>
      </c>
      <c r="D3" s="473">
        <v>81955</v>
      </c>
      <c r="E3" s="473">
        <v>84081</v>
      </c>
      <c r="F3" s="473">
        <v>85247</v>
      </c>
      <c r="G3" s="473">
        <v>91466</v>
      </c>
      <c r="H3" s="473">
        <v>102620</v>
      </c>
    </row>
    <row r="4" spans="1:8" hidden="1">
      <c r="B4" s="473" t="s">
        <v>57</v>
      </c>
      <c r="C4" s="473">
        <v>677646</v>
      </c>
      <c r="D4" s="473">
        <v>692689</v>
      </c>
      <c r="E4" s="473">
        <v>706894</v>
      </c>
      <c r="F4" s="473">
        <v>717448</v>
      </c>
      <c r="G4" s="473">
        <v>738315</v>
      </c>
      <c r="H4" s="473">
        <v>746101</v>
      </c>
    </row>
    <row r="5" spans="1:8" hidden="1">
      <c r="B5" s="473" t="s">
        <v>56</v>
      </c>
      <c r="C5" s="473">
        <v>301090</v>
      </c>
      <c r="D5" s="473">
        <v>312505</v>
      </c>
      <c r="E5" s="473">
        <v>328012</v>
      </c>
      <c r="F5" s="473">
        <v>342382</v>
      </c>
      <c r="G5" s="473">
        <v>359941</v>
      </c>
      <c r="H5" s="473">
        <v>371971</v>
      </c>
    </row>
    <row r="6" spans="1:8" hidden="1">
      <c r="B6" s="473" t="s">
        <v>55</v>
      </c>
      <c r="C6" s="473">
        <v>602201</v>
      </c>
      <c r="D6" s="473">
        <v>642143</v>
      </c>
      <c r="E6" s="473">
        <v>696082</v>
      </c>
      <c r="F6" s="473">
        <v>743732</v>
      </c>
      <c r="G6" s="473">
        <v>796640</v>
      </c>
      <c r="H6" s="473">
        <v>842795</v>
      </c>
    </row>
    <row r="7" spans="1:8" hidden="1">
      <c r="B7" s="598" t="s">
        <v>54</v>
      </c>
      <c r="C7" s="598">
        <v>98727</v>
      </c>
      <c r="D7" s="598">
        <v>120996</v>
      </c>
      <c r="E7" s="598">
        <v>140218</v>
      </c>
      <c r="F7" s="598">
        <v>155104</v>
      </c>
      <c r="G7" s="598">
        <v>179134</v>
      </c>
      <c r="H7" s="598">
        <v>196867</v>
      </c>
    </row>
    <row r="8" spans="1:8" hidden="1">
      <c r="A8" s="473" t="s">
        <v>600</v>
      </c>
    </row>
    <row r="9" spans="1:8" hidden="1">
      <c r="B9" s="473" t="s">
        <v>58</v>
      </c>
      <c r="C9" s="473">
        <v>9302</v>
      </c>
      <c r="D9" s="473">
        <v>12606</v>
      </c>
      <c r="E9" s="473">
        <v>3744</v>
      </c>
      <c r="F9" s="473">
        <v>4369</v>
      </c>
      <c r="G9" s="473">
        <v>17667</v>
      </c>
      <c r="H9" s="473">
        <v>20242</v>
      </c>
    </row>
    <row r="10" spans="1:8" hidden="1">
      <c r="B10" s="473" t="s">
        <v>57</v>
      </c>
      <c r="C10" s="473">
        <v>255390</v>
      </c>
      <c r="D10" s="473">
        <v>272340</v>
      </c>
      <c r="E10" s="473">
        <v>286300</v>
      </c>
      <c r="F10" s="473">
        <v>300170</v>
      </c>
      <c r="G10" s="473">
        <v>314599</v>
      </c>
      <c r="H10" s="473">
        <v>325531</v>
      </c>
    </row>
    <row r="11" spans="1:8" hidden="1">
      <c r="B11" s="473" t="s">
        <v>56</v>
      </c>
      <c r="C11" s="473">
        <v>100649</v>
      </c>
      <c r="D11" s="473">
        <v>106041</v>
      </c>
      <c r="E11" s="473">
        <v>111144</v>
      </c>
      <c r="F11" s="473">
        <v>116316</v>
      </c>
      <c r="G11" s="473">
        <v>122308</v>
      </c>
      <c r="H11" s="473">
        <v>123869</v>
      </c>
    </row>
    <row r="12" spans="1:8" hidden="1">
      <c r="B12" s="473" t="s">
        <v>55</v>
      </c>
      <c r="C12" s="473">
        <v>181327</v>
      </c>
      <c r="D12" s="473">
        <v>194593</v>
      </c>
      <c r="E12" s="473">
        <v>209101</v>
      </c>
      <c r="F12" s="473">
        <v>221408</v>
      </c>
      <c r="G12" s="473">
        <v>236201</v>
      </c>
      <c r="H12" s="473">
        <v>252722</v>
      </c>
    </row>
    <row r="13" spans="1:8" hidden="1">
      <c r="B13" s="598" t="s">
        <v>54</v>
      </c>
      <c r="C13" s="598">
        <v>39153</v>
      </c>
      <c r="D13" s="598">
        <v>43819</v>
      </c>
      <c r="E13" s="598">
        <v>56694</v>
      </c>
      <c r="F13" s="598">
        <v>61871</v>
      </c>
      <c r="G13" s="598">
        <v>58357</v>
      </c>
      <c r="H13" s="598">
        <v>65720</v>
      </c>
    </row>
    <row r="14" spans="1:8" hidden="1"/>
    <row r="15" spans="1:8">
      <c r="A15" s="473" t="s">
        <v>601</v>
      </c>
      <c r="C15" s="597">
        <v>2009</v>
      </c>
      <c r="D15" s="597">
        <v>2010</v>
      </c>
      <c r="E15" s="597">
        <v>2011</v>
      </c>
      <c r="F15" s="597">
        <v>2012</v>
      </c>
      <c r="G15" s="597">
        <v>2013</v>
      </c>
      <c r="H15" s="597">
        <v>2014</v>
      </c>
    </row>
    <row r="16" spans="1:8">
      <c r="B16" s="473" t="s">
        <v>58</v>
      </c>
      <c r="C16" s="473">
        <f t="shared" ref="C16:H20" si="0">C3-C9</f>
        <v>47814</v>
      </c>
      <c r="D16" s="473">
        <f t="shared" si="0"/>
        <v>69349</v>
      </c>
      <c r="E16" s="473">
        <f t="shared" si="0"/>
        <v>80337</v>
      </c>
      <c r="F16" s="473">
        <f t="shared" si="0"/>
        <v>80878</v>
      </c>
      <c r="G16" s="473">
        <f t="shared" si="0"/>
        <v>73799</v>
      </c>
      <c r="H16" s="473">
        <f t="shared" si="0"/>
        <v>82378</v>
      </c>
    </row>
    <row r="17" spans="2:8">
      <c r="B17" s="473" t="s">
        <v>57</v>
      </c>
      <c r="C17" s="473">
        <f t="shared" si="0"/>
        <v>422256</v>
      </c>
      <c r="D17" s="473">
        <f t="shared" si="0"/>
        <v>420349</v>
      </c>
      <c r="E17" s="473">
        <f t="shared" si="0"/>
        <v>420594</v>
      </c>
      <c r="F17" s="473">
        <f t="shared" si="0"/>
        <v>417278</v>
      </c>
      <c r="G17" s="473">
        <f t="shared" si="0"/>
        <v>423716</v>
      </c>
      <c r="H17" s="473">
        <f t="shared" si="0"/>
        <v>420570</v>
      </c>
    </row>
    <row r="18" spans="2:8">
      <c r="B18" s="473" t="s">
        <v>56</v>
      </c>
      <c r="C18" s="473">
        <f t="shared" si="0"/>
        <v>200441</v>
      </c>
      <c r="D18" s="473">
        <f t="shared" si="0"/>
        <v>206464</v>
      </c>
      <c r="E18" s="473">
        <f t="shared" si="0"/>
        <v>216868</v>
      </c>
      <c r="F18" s="473">
        <f t="shared" si="0"/>
        <v>226066</v>
      </c>
      <c r="G18" s="473">
        <f t="shared" si="0"/>
        <v>237633</v>
      </c>
      <c r="H18" s="473">
        <f t="shared" si="0"/>
        <v>248102</v>
      </c>
    </row>
    <row r="19" spans="2:8">
      <c r="B19" s="473" t="s">
        <v>55</v>
      </c>
      <c r="C19" s="473">
        <f t="shared" si="0"/>
        <v>420874</v>
      </c>
      <c r="D19" s="473">
        <f t="shared" si="0"/>
        <v>447550</v>
      </c>
      <c r="E19" s="473">
        <f t="shared" si="0"/>
        <v>486981</v>
      </c>
      <c r="F19" s="473">
        <f t="shared" si="0"/>
        <v>522324</v>
      </c>
      <c r="G19" s="473">
        <f t="shared" si="0"/>
        <v>560439</v>
      </c>
      <c r="H19" s="473">
        <f t="shared" si="0"/>
        <v>590073</v>
      </c>
    </row>
    <row r="20" spans="2:8">
      <c r="B20" s="473" t="s">
        <v>54</v>
      </c>
      <c r="C20" s="598">
        <f t="shared" si="0"/>
        <v>59574</v>
      </c>
      <c r="D20" s="598">
        <f t="shared" si="0"/>
        <v>77177</v>
      </c>
      <c r="E20" s="598">
        <f t="shared" si="0"/>
        <v>83524</v>
      </c>
      <c r="F20" s="598">
        <f t="shared" si="0"/>
        <v>93233</v>
      </c>
      <c r="G20" s="598">
        <f t="shared" si="0"/>
        <v>120777</v>
      </c>
      <c r="H20" s="598">
        <f t="shared" si="0"/>
        <v>131147</v>
      </c>
    </row>
    <row r="23" spans="2:8" hidden="1">
      <c r="C23" s="597">
        <v>2009</v>
      </c>
      <c r="D23" s="597">
        <v>2010</v>
      </c>
      <c r="E23" s="597">
        <v>2011</v>
      </c>
      <c r="F23" s="597">
        <v>2012</v>
      </c>
      <c r="G23" s="597">
        <v>2013</v>
      </c>
      <c r="H23" s="597">
        <v>2014</v>
      </c>
    </row>
    <row r="24" spans="2:8" hidden="1">
      <c r="B24" s="473" t="s">
        <v>58</v>
      </c>
      <c r="C24" s="473">
        <v>47814</v>
      </c>
      <c r="D24" s="473">
        <v>69349</v>
      </c>
      <c r="E24" s="473">
        <v>80337</v>
      </c>
      <c r="F24" s="473">
        <v>80878</v>
      </c>
      <c r="G24" s="473">
        <v>73799</v>
      </c>
      <c r="H24" s="473">
        <v>82378</v>
      </c>
    </row>
    <row r="25" spans="2:8" hidden="1">
      <c r="B25" s="473" t="s">
        <v>54</v>
      </c>
      <c r="C25" s="473">
        <v>59574</v>
      </c>
      <c r="D25" s="473">
        <v>77177</v>
      </c>
      <c r="E25" s="473">
        <v>83524</v>
      </c>
      <c r="F25" s="473">
        <v>93233</v>
      </c>
      <c r="G25" s="473">
        <v>120777</v>
      </c>
      <c r="H25" s="473">
        <v>131147</v>
      </c>
    </row>
    <row r="26" spans="2:8" hidden="1">
      <c r="C26" s="597">
        <v>2009</v>
      </c>
      <c r="D26" s="597">
        <v>2010</v>
      </c>
      <c r="E26" s="597">
        <v>2011</v>
      </c>
      <c r="F26" s="597">
        <v>2012</v>
      </c>
      <c r="G26" s="597">
        <v>2013</v>
      </c>
      <c r="H26" s="597">
        <v>2014</v>
      </c>
    </row>
    <row r="27" spans="2:8" hidden="1">
      <c r="B27" s="473" t="s">
        <v>57</v>
      </c>
      <c r="C27" s="473">
        <v>422256</v>
      </c>
      <c r="D27" s="473">
        <v>420349</v>
      </c>
      <c r="E27" s="473">
        <v>420594</v>
      </c>
      <c r="F27" s="473">
        <v>417278</v>
      </c>
      <c r="G27" s="473">
        <v>423716</v>
      </c>
      <c r="H27" s="473">
        <v>420570</v>
      </c>
    </row>
    <row r="28" spans="2:8" hidden="1">
      <c r="B28" s="473" t="s">
        <v>55</v>
      </c>
      <c r="C28" s="473">
        <v>420874</v>
      </c>
      <c r="D28" s="473">
        <v>447550</v>
      </c>
      <c r="E28" s="473">
        <v>486981</v>
      </c>
      <c r="F28" s="473">
        <v>522324</v>
      </c>
      <c r="G28" s="473">
        <v>560439</v>
      </c>
      <c r="H28" s="473">
        <v>590073</v>
      </c>
    </row>
    <row r="29" spans="2:8" hidden="1">
      <c r="C29" s="597">
        <v>2009</v>
      </c>
      <c r="D29" s="597">
        <v>2010</v>
      </c>
      <c r="E29" s="597">
        <v>2011</v>
      </c>
      <c r="F29" s="597">
        <v>2012</v>
      </c>
      <c r="G29" s="597">
        <v>2013</v>
      </c>
      <c r="H29" s="597">
        <v>2014</v>
      </c>
    </row>
    <row r="30" spans="2:8" hidden="1">
      <c r="B30" s="473" t="s">
        <v>56</v>
      </c>
      <c r="C30" s="473">
        <v>200441</v>
      </c>
      <c r="D30" s="473">
        <v>206464</v>
      </c>
      <c r="E30" s="473">
        <v>216868</v>
      </c>
      <c r="F30" s="473">
        <v>226066</v>
      </c>
      <c r="G30" s="473">
        <v>237633</v>
      </c>
      <c r="H30" s="473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L10" sqref="L10"/>
    </sheetView>
  </sheetViews>
  <sheetFormatPr defaultColWidth="9.140625" defaultRowHeight="15"/>
  <cols>
    <col min="1" max="1" width="7.28515625" style="64" customWidth="1"/>
    <col min="2" max="2" width="17.7109375" style="64" customWidth="1"/>
    <col min="3" max="3" width="17" style="64" customWidth="1"/>
    <col min="4" max="4" width="19" style="64" customWidth="1"/>
    <col min="5" max="5" width="14.28515625" style="67" customWidth="1"/>
    <col min="6" max="6" width="15.85546875" style="67" customWidth="1"/>
    <col min="7" max="7" width="18.85546875" style="64" customWidth="1"/>
    <col min="8" max="8" width="15.28515625" style="67" customWidth="1"/>
    <col min="9" max="9" width="17.5703125" style="64" customWidth="1"/>
    <col min="10" max="10" width="14.140625" style="64" customWidth="1"/>
    <col min="11" max="11" width="16.5703125" style="64" hidden="1" customWidth="1"/>
    <col min="12" max="12" width="12.5703125" style="64" hidden="1" customWidth="1"/>
    <col min="13" max="13" width="22.28515625" style="64" hidden="1" customWidth="1"/>
    <col min="14" max="15" width="0" style="64" hidden="1" customWidth="1"/>
    <col min="16" max="16" width="10.28515625" style="64" hidden="1" customWidth="1"/>
    <col min="17" max="19" width="0" style="64" hidden="1" customWidth="1"/>
    <col min="20" max="20" width="4.42578125" style="64" customWidth="1"/>
    <col min="21" max="21" width="9.7109375" style="64" customWidth="1"/>
    <col min="22" max="22" width="8.42578125" style="64" customWidth="1"/>
    <col min="23" max="23" width="7.5703125" style="64" customWidth="1"/>
    <col min="24" max="24" width="18.7109375" style="64" customWidth="1"/>
    <col min="25" max="25" width="18.7109375" style="64" hidden="1" customWidth="1"/>
    <col min="26" max="27" width="9.140625" style="64"/>
    <col min="28" max="29" width="17" style="64" customWidth="1"/>
    <col min="30" max="16384" width="9.140625" style="64"/>
  </cols>
  <sheetData>
    <row r="1" spans="1:30" s="38" customFormat="1" ht="20.25">
      <c r="A1" s="411"/>
      <c r="B1" s="918" t="s">
        <v>475</v>
      </c>
      <c r="C1" s="918"/>
      <c r="D1" s="918"/>
      <c r="E1" s="918"/>
      <c r="F1" s="918"/>
      <c r="G1" s="918"/>
      <c r="H1" s="918"/>
      <c r="I1" s="918"/>
      <c r="J1" s="918"/>
      <c r="K1" s="411"/>
      <c r="L1" s="411"/>
      <c r="M1" s="411"/>
      <c r="N1" s="411"/>
      <c r="P1" s="39"/>
      <c r="Q1" s="82"/>
    </row>
    <row r="2" spans="1:30" ht="21" thickBot="1">
      <c r="A2" s="694"/>
      <c r="B2" s="932" t="s">
        <v>646</v>
      </c>
      <c r="C2" s="932"/>
      <c r="D2" s="932"/>
      <c r="E2" s="932"/>
      <c r="F2" s="932"/>
      <c r="G2" s="932"/>
      <c r="H2" s="932"/>
      <c r="I2" s="932"/>
      <c r="J2" s="932"/>
    </row>
    <row r="3" spans="1:30">
      <c r="A3" s="694"/>
      <c r="B3" s="65"/>
      <c r="C3" s="65"/>
      <c r="D3" s="65"/>
      <c r="E3" s="66"/>
      <c r="F3" s="66"/>
      <c r="G3" s="65"/>
      <c r="H3" s="66"/>
      <c r="I3" s="65"/>
      <c r="J3" s="65"/>
    </row>
    <row r="4" spans="1:30" ht="15.6" customHeight="1">
      <c r="A4" s="243" t="s">
        <v>3</v>
      </c>
      <c r="B4" s="209"/>
      <c r="C4" s="209"/>
      <c r="D4" s="209"/>
      <c r="E4" s="210" t="s">
        <v>229</v>
      </c>
      <c r="F4" s="210" t="s">
        <v>30</v>
      </c>
      <c r="G4" s="211" t="s">
        <v>112</v>
      </c>
      <c r="H4" s="210" t="s">
        <v>47</v>
      </c>
      <c r="I4" s="211"/>
      <c r="J4" s="212" t="s">
        <v>124</v>
      </c>
      <c r="U4" s="365"/>
      <c r="V4" s="364"/>
      <c r="W4" s="140"/>
    </row>
    <row r="5" spans="1:30" ht="14.45" customHeight="1">
      <c r="A5" s="243" t="s">
        <v>488</v>
      </c>
      <c r="B5" s="213" t="s">
        <v>98</v>
      </c>
      <c r="C5" s="213"/>
      <c r="D5" s="213" t="s">
        <v>99</v>
      </c>
      <c r="E5" s="210" t="s">
        <v>647</v>
      </c>
      <c r="F5" s="210">
        <v>2017</v>
      </c>
      <c r="G5" s="210" t="s">
        <v>118</v>
      </c>
      <c r="H5" s="210" t="s">
        <v>647</v>
      </c>
      <c r="I5" s="211" t="s">
        <v>489</v>
      </c>
      <c r="J5" s="215"/>
      <c r="U5" s="365"/>
      <c r="V5" s="365"/>
      <c r="W5" s="140"/>
      <c r="AB5" s="140"/>
    </row>
    <row r="6" spans="1:30">
      <c r="A6" s="695"/>
      <c r="B6" s="216"/>
      <c r="C6" s="216"/>
      <c r="D6" s="216"/>
      <c r="E6" s="217" t="s">
        <v>120</v>
      </c>
      <c r="F6" s="217" t="s">
        <v>121</v>
      </c>
      <c r="G6" s="217" t="s">
        <v>408</v>
      </c>
      <c r="H6" s="217" t="s">
        <v>122</v>
      </c>
      <c r="I6" s="218" t="s">
        <v>123</v>
      </c>
      <c r="J6" s="217" t="s">
        <v>252</v>
      </c>
      <c r="K6" s="134" t="s">
        <v>255</v>
      </c>
      <c r="L6" s="134" t="s">
        <v>132</v>
      </c>
      <c r="M6" s="135" t="s">
        <v>256</v>
      </c>
      <c r="U6" s="363"/>
      <c r="V6" s="142"/>
      <c r="W6" s="142"/>
      <c r="X6" s="142"/>
      <c r="Y6" s="142"/>
      <c r="Z6" s="140"/>
    </row>
    <row r="7" spans="1:30">
      <c r="A7" s="695">
        <v>1</v>
      </c>
      <c r="B7" s="219" t="s">
        <v>100</v>
      </c>
      <c r="C7" s="219" t="s">
        <v>119</v>
      </c>
      <c r="D7" s="220" t="s">
        <v>101</v>
      </c>
      <c r="E7" s="696">
        <f>'09.2015 Rev Model'!D25</f>
        <v>2481909</v>
      </c>
      <c r="F7" s="696">
        <f>'2017-18 Forecast Billing Determ'!C6</f>
        <v>2528810</v>
      </c>
      <c r="G7" s="222">
        <f>(F7-E7)/E7</f>
        <v>1.8897147316843606E-2</v>
      </c>
      <c r="H7" s="696">
        <f>'09.2015 Rev Model'!D111</f>
        <v>21096226.5</v>
      </c>
      <c r="I7" s="222">
        <f>H7/$H$25</f>
        <v>4.2613131965131314E-2</v>
      </c>
      <c r="J7" s="222">
        <f>I7*G7</f>
        <v>8.0526663237718372E-4</v>
      </c>
      <c r="K7" s="129">
        <f>E7/$E$27</f>
        <v>0.85443324934426212</v>
      </c>
      <c r="L7" s="130">
        <f>I7-K7</f>
        <v>-0.81182011737913085</v>
      </c>
      <c r="M7" s="133">
        <f>L7*G7</f>
        <v>-1.5341084352890704E-2</v>
      </c>
      <c r="N7" s="127"/>
      <c r="O7" s="137" t="s">
        <v>253</v>
      </c>
      <c r="P7" s="126" t="s">
        <v>254</v>
      </c>
      <c r="Q7" s="127"/>
      <c r="T7" s="283"/>
      <c r="U7" s="362"/>
      <c r="V7" s="143"/>
      <c r="W7" s="141"/>
      <c r="X7" s="141"/>
      <c r="Y7" s="141"/>
      <c r="AB7" s="141"/>
      <c r="AC7" s="141"/>
    </row>
    <row r="8" spans="1:30">
      <c r="A8" s="695">
        <v>2</v>
      </c>
      <c r="B8" s="219" t="s">
        <v>102</v>
      </c>
      <c r="C8" s="219" t="s">
        <v>119</v>
      </c>
      <c r="D8" s="220" t="s">
        <v>103</v>
      </c>
      <c r="E8" s="696">
        <f>'09.2015 Rev Model'!E25</f>
        <v>369248</v>
      </c>
      <c r="F8" s="696">
        <f>'2017-18 Forecast Billing Determ'!C7+'2017-18 Forecast Billing Determ'!C8</f>
        <v>377748.82948797464</v>
      </c>
      <c r="G8" s="222">
        <f t="shared" ref="G8:G22" si="0">(F8-E8)/E8</f>
        <v>2.3022005503007842E-2</v>
      </c>
      <c r="H8" s="696">
        <f>'09.2015 Rev Model'!E111</f>
        <v>6646464</v>
      </c>
      <c r="I8" s="222">
        <f>H8/$H$25</f>
        <v>1.3425464859011376E-2</v>
      </c>
      <c r="J8" s="222">
        <f>I8*G8</f>
        <v>3.0908112586459832E-4</v>
      </c>
      <c r="K8" s="129">
        <f>E8/$E$27</f>
        <v>0.12711899124982831</v>
      </c>
      <c r="L8" s="130">
        <f>I8-K8</f>
        <v>-0.11369352639081694</v>
      </c>
      <c r="M8" s="133">
        <f>L8*G8</f>
        <v>-2.6174529902257548E-3</v>
      </c>
      <c r="N8" s="127"/>
      <c r="O8" s="127"/>
      <c r="P8" s="127"/>
      <c r="T8" s="283"/>
      <c r="U8" s="362"/>
      <c r="V8" s="143"/>
      <c r="W8" s="141"/>
      <c r="X8" s="141"/>
      <c r="Y8" s="141"/>
      <c r="AB8" s="141"/>
      <c r="AC8" s="141"/>
    </row>
    <row r="9" spans="1:30">
      <c r="A9" s="695">
        <v>3</v>
      </c>
      <c r="B9" s="219" t="s">
        <v>104</v>
      </c>
      <c r="C9" s="219" t="s">
        <v>359</v>
      </c>
      <c r="D9" s="220" t="s">
        <v>105</v>
      </c>
      <c r="E9" s="696">
        <f>'09.2015 Rev Model'!F25</f>
        <v>24164</v>
      </c>
      <c r="F9" s="696">
        <f>'2017-18 Forecast Billing Determ'!C9+'2017-18 Forecast Billing Determ'!C10</f>
        <v>24310.221779780746</v>
      </c>
      <c r="G9" s="222">
        <f t="shared" si="0"/>
        <v>6.0512241260033996E-3</v>
      </c>
      <c r="H9" s="696">
        <f>'09.2015 Rev Model'!F117</f>
        <v>12082000</v>
      </c>
      <c r="I9" s="222">
        <f t="shared" ref="I9:I22" si="1">H9/$H$25</f>
        <v>2.4404926653717744E-2</v>
      </c>
      <c r="J9" s="222">
        <f>I9*G9</f>
        <v>1.4767968096032023E-4</v>
      </c>
      <c r="K9" s="129"/>
      <c r="L9" s="127"/>
      <c r="M9" s="127"/>
      <c r="N9" s="127"/>
      <c r="O9" s="127"/>
      <c r="P9" s="127"/>
      <c r="T9" s="283"/>
      <c r="U9" s="362"/>
      <c r="V9" s="143"/>
      <c r="W9" s="141"/>
      <c r="X9" s="141"/>
      <c r="Y9" s="141"/>
      <c r="AB9" s="141"/>
      <c r="AC9" s="141"/>
    </row>
    <row r="10" spans="1:30">
      <c r="A10" s="695">
        <v>4</v>
      </c>
      <c r="B10" s="219" t="s">
        <v>106</v>
      </c>
      <c r="C10" s="219" t="s">
        <v>359</v>
      </c>
      <c r="D10" s="220" t="s">
        <v>107</v>
      </c>
      <c r="E10" s="696">
        <f>'09.2015 Rev Model'!G25</f>
        <v>252</v>
      </c>
      <c r="F10" s="696">
        <f>'2017-18 Forecast Billing Determ'!C11</f>
        <v>253.69607314617502</v>
      </c>
      <c r="G10" s="222">
        <f t="shared" si="0"/>
        <v>6.7304489927580329E-3</v>
      </c>
      <c r="H10" s="696">
        <f>'09.2015 Rev Model'!G117</f>
        <v>5292000</v>
      </c>
      <c r="I10" s="222">
        <f t="shared" si="1"/>
        <v>1.0689527549368838E-2</v>
      </c>
      <c r="J10" s="222">
        <f>I10*G10</f>
        <v>7.1945319927708732E-5</v>
      </c>
      <c r="K10" s="129"/>
      <c r="L10" s="127"/>
      <c r="M10" s="127"/>
      <c r="N10" s="127"/>
      <c r="O10" s="127"/>
      <c r="P10" s="127"/>
      <c r="T10" s="283"/>
      <c r="U10" s="362"/>
      <c r="V10" s="143"/>
      <c r="W10" s="141"/>
      <c r="X10" s="141"/>
      <c r="Y10" s="141"/>
      <c r="AB10" s="141"/>
      <c r="AC10" s="141"/>
    </row>
    <row r="11" spans="1:30">
      <c r="A11" s="695">
        <v>5</v>
      </c>
      <c r="B11" s="219" t="s">
        <v>108</v>
      </c>
      <c r="C11" s="219" t="s">
        <v>119</v>
      </c>
      <c r="D11" s="220" t="s">
        <v>109</v>
      </c>
      <c r="E11" s="696">
        <f>'09.2015 Rev Model'!H25</f>
        <v>29169.999999999996</v>
      </c>
      <c r="F11" s="696">
        <f>'2017-18 Forecast Billing Determ'!C13+'2017-18 Forecast Billing Determ'!C14</f>
        <v>29594.78681310363</v>
      </c>
      <c r="G11" s="222">
        <f t="shared" si="0"/>
        <v>1.4562455025835926E-2</v>
      </c>
      <c r="H11" s="696">
        <f>'09.2015 Rev Model'!H111</f>
        <v>525059.99999999988</v>
      </c>
      <c r="I11" s="222">
        <f t="shared" si="1"/>
        <v>1.0605901993710508E-3</v>
      </c>
      <c r="J11" s="223">
        <f>I11*G11</f>
        <v>1.5444797079183286E-5</v>
      </c>
      <c r="K11" s="129">
        <f>E11/$E$28</f>
        <v>5.1287347367457841E-6</v>
      </c>
      <c r="L11" s="130">
        <f>I11-K11</f>
        <v>1.0554614646343051E-3</v>
      </c>
      <c r="M11" s="133">
        <f>L11*G11</f>
        <v>1.5370110110239984E-5</v>
      </c>
      <c r="N11" s="128">
        <f>SUM(M7:M11)</f>
        <v>-1.7943167233006218E-2</v>
      </c>
      <c r="O11" s="128">
        <f>SUM(I7:I11)</f>
        <v>9.2193641226600315E-2</v>
      </c>
      <c r="P11" s="131">
        <f>N11*O11</f>
        <v>-1.6542459223486659E-3</v>
      </c>
      <c r="T11" s="283"/>
      <c r="U11" s="362"/>
      <c r="V11" s="143"/>
      <c r="W11" s="141"/>
      <c r="X11" s="141"/>
      <c r="Y11" s="141"/>
      <c r="AB11" s="141"/>
      <c r="AC11" s="141"/>
    </row>
    <row r="12" spans="1:30">
      <c r="A12" s="695">
        <v>6</v>
      </c>
      <c r="B12" s="224" t="s">
        <v>110</v>
      </c>
      <c r="C12" s="224" t="s">
        <v>119</v>
      </c>
      <c r="D12" s="224" t="s">
        <v>111</v>
      </c>
      <c r="E12" s="697"/>
      <c r="F12" s="697"/>
      <c r="G12" s="225"/>
      <c r="H12" s="696"/>
      <c r="I12" s="222"/>
      <c r="J12" s="223"/>
      <c r="K12" s="127"/>
      <c r="L12" s="127"/>
      <c r="M12" s="127"/>
      <c r="N12" s="127"/>
      <c r="O12" s="127"/>
      <c r="P12" s="127"/>
      <c r="U12" s="141"/>
      <c r="V12" s="141"/>
      <c r="W12" s="141"/>
      <c r="X12" s="141"/>
      <c r="Y12" s="141"/>
      <c r="AB12" s="141"/>
      <c r="AC12" s="141"/>
    </row>
    <row r="13" spans="1:30">
      <c r="A13" s="695">
        <v>7</v>
      </c>
      <c r="B13" s="219" t="s">
        <v>100</v>
      </c>
      <c r="C13" s="219" t="s">
        <v>113</v>
      </c>
      <c r="D13" s="220" t="s">
        <v>101</v>
      </c>
      <c r="E13" s="696">
        <f>'09.2015 Rev Model'!D23</f>
        <v>2375997614</v>
      </c>
      <c r="F13" s="696">
        <f>'2017-18 Forecast Billing Determ'!C69</f>
        <v>2465339689.415597</v>
      </c>
      <c r="G13" s="222">
        <f t="shared" si="0"/>
        <v>3.7601921352601562E-2</v>
      </c>
      <c r="H13" s="698">
        <f>'09.2015 Rev Model'!D152-H7-H19</f>
        <v>189973890.14000005</v>
      </c>
      <c r="I13" s="777">
        <f t="shared" si="1"/>
        <v>0.38373604163119795</v>
      </c>
      <c r="J13" s="777">
        <f t="shared" ref="J13:J18" si="2">I13*G13</f>
        <v>1.4429212457574945E-2</v>
      </c>
      <c r="K13" s="129">
        <f t="shared" ref="K13:K18" si="3">E13/$E$28</f>
        <v>0.41775322239790547</v>
      </c>
      <c r="L13" s="130">
        <f>I13-K13</f>
        <v>-3.4017180766707511E-2</v>
      </c>
      <c r="M13" s="133">
        <f t="shared" ref="M13:M18" si="4">L13*G13</f>
        <v>-1.2791113558269663E-3</v>
      </c>
      <c r="N13" s="127"/>
      <c r="O13" s="127"/>
      <c r="P13" s="127"/>
      <c r="U13" s="362"/>
      <c r="V13" s="143"/>
      <c r="W13" s="143"/>
      <c r="X13" s="141"/>
      <c r="Y13" s="141"/>
      <c r="Z13" s="143"/>
      <c r="AA13" s="143"/>
      <c r="AB13" s="141"/>
      <c r="AC13" s="141"/>
      <c r="AD13" s="143"/>
    </row>
    <row r="14" spans="1:30">
      <c r="A14" s="695">
        <v>8</v>
      </c>
      <c r="B14" s="219" t="s">
        <v>102</v>
      </c>
      <c r="C14" s="219" t="s">
        <v>113</v>
      </c>
      <c r="D14" s="220" t="s">
        <v>103</v>
      </c>
      <c r="E14" s="696">
        <f>'09.2015 Rev Model'!E23</f>
        <v>596483095</v>
      </c>
      <c r="F14" s="696">
        <f>'2017-18 Forecast Billing Determ'!C70+'2017-18 Forecast Billing Determ'!C71</f>
        <v>594879352.90432477</v>
      </c>
      <c r="G14" s="222">
        <f t="shared" si="0"/>
        <v>-2.6886631140405244E-3</v>
      </c>
      <c r="H14" s="696">
        <f>'09.2015 Rev Model'!E152-H8-H20</f>
        <v>61874874.780000001</v>
      </c>
      <c r="I14" s="222">
        <f t="shared" si="1"/>
        <v>0.12498359383495032</v>
      </c>
      <c r="J14" s="222">
        <f t="shared" si="2"/>
        <v>-3.3603877860425365E-4</v>
      </c>
      <c r="K14" s="129">
        <f t="shared" si="3"/>
        <v>0.10487499380213013</v>
      </c>
      <c r="L14" s="130">
        <f t="shared" ref="L14:L22" si="5">I14-K14</f>
        <v>2.0108600032820195E-2</v>
      </c>
      <c r="M14" s="133">
        <f t="shared" si="4"/>
        <v>-5.4065251183237734E-5</v>
      </c>
      <c r="N14" s="127"/>
      <c r="O14" s="127"/>
      <c r="P14" s="127"/>
      <c r="U14" s="362"/>
      <c r="V14" s="143"/>
      <c r="W14" s="143"/>
      <c r="X14" s="141"/>
      <c r="Y14" s="141"/>
      <c r="Z14" s="143"/>
      <c r="AA14" s="143"/>
      <c r="AB14" s="141"/>
      <c r="AC14" s="141"/>
      <c r="AD14" s="143"/>
    </row>
    <row r="15" spans="1:30">
      <c r="A15" s="695">
        <v>9</v>
      </c>
      <c r="B15" s="219" t="s">
        <v>104</v>
      </c>
      <c r="C15" s="219" t="s">
        <v>113</v>
      </c>
      <c r="D15" s="220" t="s">
        <v>105</v>
      </c>
      <c r="E15" s="696">
        <f>'09.2015 Rev Model'!F23</f>
        <v>1425928125</v>
      </c>
      <c r="F15" s="696">
        <f>'2017-18 Forecast Billing Determ'!C72+'2017-18 Forecast Billing Determ'!C73</f>
        <v>1434040121.2580869</v>
      </c>
      <c r="G15" s="222">
        <f t="shared" si="0"/>
        <v>5.6889236672338726E-3</v>
      </c>
      <c r="H15" s="696">
        <f>'09.2015 Rev Model'!F152-H9-H21</f>
        <v>99936476.840000018</v>
      </c>
      <c r="I15" s="222">
        <f t="shared" si="1"/>
        <v>0.20186578276040079</v>
      </c>
      <c r="J15" s="222">
        <f t="shared" si="2"/>
        <v>1.1483990291503356E-3</v>
      </c>
      <c r="K15" s="129">
        <f t="shared" si="3"/>
        <v>0.25070987681831625</v>
      </c>
      <c r="L15" s="130">
        <f t="shared" si="5"/>
        <v>-4.8844094057915455E-2</v>
      </c>
      <c r="M15" s="133">
        <f t="shared" si="4"/>
        <v>-2.7787032269067257E-4</v>
      </c>
      <c r="N15" s="127"/>
      <c r="O15" s="127"/>
      <c r="P15" s="127"/>
      <c r="U15" s="362"/>
      <c r="V15" s="143"/>
      <c r="W15" s="143"/>
      <c r="X15" s="141"/>
      <c r="Y15" s="141"/>
      <c r="Z15" s="143"/>
      <c r="AA15" s="143"/>
      <c r="AB15" s="141"/>
      <c r="AC15" s="141"/>
      <c r="AD15" s="143"/>
    </row>
    <row r="16" spans="1:30">
      <c r="A16" s="695">
        <v>10</v>
      </c>
      <c r="B16" s="219" t="s">
        <v>106</v>
      </c>
      <c r="C16" s="219" t="s">
        <v>113</v>
      </c>
      <c r="D16" s="220" t="s">
        <v>107</v>
      </c>
      <c r="E16" s="696">
        <f>'09.2015 Rev Model'!G23</f>
        <v>1108671541</v>
      </c>
      <c r="F16" s="696">
        <f>'2017-18 Forecast Billing Determ'!C74</f>
        <v>1145620987.8967597</v>
      </c>
      <c r="G16" s="222">
        <f t="shared" si="0"/>
        <v>3.3327676891058346E-2</v>
      </c>
      <c r="H16" s="696">
        <f>'09.2015 Rev Model'!G152-H10-H22</f>
        <v>52632199.86999999</v>
      </c>
      <c r="I16" s="222">
        <f t="shared" si="1"/>
        <v>0.1063139362234036</v>
      </c>
      <c r="J16" s="222">
        <f t="shared" si="2"/>
        <v>3.5431965154701789E-3</v>
      </c>
      <c r="K16" s="129">
        <f t="shared" si="3"/>
        <v>0.19492911360878226</v>
      </c>
      <c r="L16" s="130">
        <f t="shared" si="5"/>
        <v>-8.8615177385378663E-2</v>
      </c>
      <c r="M16" s="133">
        <f t="shared" si="4"/>
        <v>-2.9533379995437207E-3</v>
      </c>
      <c r="N16" s="127"/>
      <c r="O16" s="127"/>
      <c r="P16" s="127"/>
      <c r="U16" s="362"/>
      <c r="V16" s="143"/>
      <c r="W16" s="143"/>
      <c r="X16" s="141"/>
      <c r="Y16" s="141"/>
      <c r="Z16" s="143"/>
      <c r="AA16" s="143"/>
      <c r="AB16" s="141"/>
      <c r="AC16" s="141"/>
      <c r="AD16" s="143"/>
    </row>
    <row r="17" spans="1:30">
      <c r="A17" s="695">
        <v>11</v>
      </c>
      <c r="B17" s="219" t="s">
        <v>108</v>
      </c>
      <c r="C17" s="219" t="s">
        <v>113</v>
      </c>
      <c r="D17" s="220" t="s">
        <v>109</v>
      </c>
      <c r="E17" s="696">
        <f>'09.2015 Rev Model'!H23</f>
        <v>154884909.26666999</v>
      </c>
      <c r="F17" s="696">
        <f>'2017-18 Forecast Billing Determ'!C76+'2017-18 Forecast Billing Determ'!C77</f>
        <v>133667851.87888858</v>
      </c>
      <c r="G17" s="222">
        <f t="shared" si="0"/>
        <v>-0.1369859561414816</v>
      </c>
      <c r="H17" s="696">
        <f>'09.2015 Rev Model'!H152-H11-H23</f>
        <v>11985355.1</v>
      </c>
      <c r="I17" s="222">
        <f>H17/$H$25</f>
        <v>2.4209709661832633E-2</v>
      </c>
      <c r="J17" s="223">
        <f t="shared" si="2"/>
        <v>-3.3163902259338083E-3</v>
      </c>
      <c r="K17" s="129">
        <f t="shared" si="3"/>
        <v>2.7232211667935873E-2</v>
      </c>
      <c r="L17" s="130">
        <f t="shared" si="5"/>
        <v>-3.0225020061032393E-3</v>
      </c>
      <c r="M17" s="133">
        <f t="shared" si="4"/>
        <v>4.1404032724559847E-4</v>
      </c>
      <c r="N17" s="127"/>
      <c r="O17" s="127"/>
      <c r="P17" s="127"/>
      <c r="U17" s="362"/>
      <c r="V17" s="143"/>
      <c r="W17" s="143"/>
      <c r="X17" s="141"/>
      <c r="Y17" s="141"/>
      <c r="Z17" s="143"/>
      <c r="AA17" s="143"/>
      <c r="AB17" s="141"/>
      <c r="AC17" s="141"/>
      <c r="AD17" s="143"/>
    </row>
    <row r="18" spans="1:30">
      <c r="A18" s="695">
        <v>12</v>
      </c>
      <c r="B18" s="224" t="s">
        <v>110</v>
      </c>
      <c r="C18" s="224" t="s">
        <v>113</v>
      </c>
      <c r="D18" s="224" t="s">
        <v>111</v>
      </c>
      <c r="E18" s="697">
        <f>'09.2015 Rev Model'!I23</f>
        <v>25597340.293740001</v>
      </c>
      <c r="F18" s="697">
        <f>'2017-18 Forecast Billing Determ'!C78</f>
        <v>24453677.284240972</v>
      </c>
      <c r="G18" s="225">
        <v>0</v>
      </c>
      <c r="H18" s="697">
        <f>'09.2015 Rev Model'!I152-H12</f>
        <v>6952992.1202784004</v>
      </c>
      <c r="I18" s="223">
        <f t="shared" si="1"/>
        <v>1.40446335639192E-2</v>
      </c>
      <c r="J18" s="223">
        <f t="shared" si="2"/>
        <v>0</v>
      </c>
      <c r="K18" s="129">
        <f t="shared" si="3"/>
        <v>4.5005817049299582E-3</v>
      </c>
      <c r="L18" s="130">
        <f t="shared" si="5"/>
        <v>9.5440518589892422E-3</v>
      </c>
      <c r="M18" s="133">
        <f t="shared" si="4"/>
        <v>0</v>
      </c>
      <c r="N18" s="128">
        <f>SUM(M13:M18)</f>
        <v>-4.1503446019989986E-3</v>
      </c>
      <c r="O18" s="128">
        <f>SUM(I13:I18)</f>
        <v>0.85515369767570448</v>
      </c>
      <c r="P18" s="131">
        <f>N18*O18</f>
        <v>-3.5491825330278438E-3</v>
      </c>
      <c r="U18" s="362"/>
      <c r="V18" s="143"/>
      <c r="W18" s="143"/>
      <c r="X18" s="141"/>
      <c r="Y18" s="141">
        <v>27986</v>
      </c>
      <c r="Z18" s="143"/>
      <c r="AA18" s="143"/>
      <c r="AB18" s="141"/>
      <c r="AC18" s="141"/>
      <c r="AD18" s="143"/>
    </row>
    <row r="19" spans="1:30">
      <c r="A19" s="695">
        <v>13</v>
      </c>
      <c r="B19" s="219" t="s">
        <v>100</v>
      </c>
      <c r="C19" s="219" t="s">
        <v>114</v>
      </c>
      <c r="D19" s="220" t="s">
        <v>101</v>
      </c>
      <c r="E19" s="696"/>
      <c r="F19" s="226"/>
      <c r="G19" s="222"/>
      <c r="H19" s="696">
        <v>0</v>
      </c>
      <c r="I19" s="777"/>
      <c r="J19" s="777"/>
      <c r="K19" s="132"/>
      <c r="L19" s="130"/>
      <c r="M19" s="133"/>
      <c r="N19" s="127"/>
      <c r="O19" s="127"/>
      <c r="P19" s="127"/>
      <c r="U19" s="141"/>
      <c r="V19" s="141"/>
      <c r="W19" s="141"/>
      <c r="X19" s="141"/>
      <c r="Y19" s="141">
        <v>4831</v>
      </c>
      <c r="Z19" s="143"/>
      <c r="AA19" s="143"/>
      <c r="AB19" s="141"/>
      <c r="AC19" s="141"/>
    </row>
    <row r="20" spans="1:30">
      <c r="A20" s="695">
        <v>14</v>
      </c>
      <c r="B20" s="219" t="s">
        <v>102</v>
      </c>
      <c r="C20" s="219" t="s">
        <v>114</v>
      </c>
      <c r="D20" s="220" t="s">
        <v>103</v>
      </c>
      <c r="E20" s="696">
        <f>'09.2015 Rev Model'!E27</f>
        <v>407826</v>
      </c>
      <c r="F20" s="696">
        <f>'2017-18 Forecast Billing Determ'!C42+'2017-18 Forecast Billing Determ'!C43</f>
        <v>402284</v>
      </c>
      <c r="G20" s="222">
        <f t="shared" si="0"/>
        <v>-1.3589128697042365E-2</v>
      </c>
      <c r="H20" s="696">
        <f>'09.2015 Rev Model'!E118+'09.2015 Rev Model'!E119</f>
        <v>2453871</v>
      </c>
      <c r="I20" s="222">
        <f t="shared" si="1"/>
        <v>4.956674538378167E-3</v>
      </c>
      <c r="J20" s="222">
        <f>I20*G20</f>
        <v>-6.7356888211373968E-5</v>
      </c>
      <c r="K20" s="133">
        <f>E20/$E$29</f>
        <v>8.9846999301538097E-2</v>
      </c>
      <c r="L20" s="130">
        <f t="shared" si="5"/>
        <v>-8.4890324763159927E-2</v>
      </c>
      <c r="M20" s="133">
        <f>L20*G20</f>
        <v>1.1535855483403028E-3</v>
      </c>
      <c r="N20" s="127"/>
      <c r="O20" s="127"/>
      <c r="P20" s="127"/>
      <c r="U20" s="362"/>
      <c r="V20" s="143"/>
      <c r="W20" s="141"/>
      <c r="X20" s="141"/>
      <c r="Y20" s="141"/>
      <c r="Z20" s="143"/>
      <c r="AA20" s="143"/>
      <c r="AB20" s="141"/>
      <c r="AC20" s="141"/>
    </row>
    <row r="21" spans="1:30">
      <c r="A21" s="695">
        <v>15</v>
      </c>
      <c r="B21" s="219" t="s">
        <v>104</v>
      </c>
      <c r="C21" s="219" t="s">
        <v>114</v>
      </c>
      <c r="D21" s="220" t="s">
        <v>105</v>
      </c>
      <c r="E21" s="696">
        <f>'09.2015 Rev Model'!F27</f>
        <v>2838029.5333333332</v>
      </c>
      <c r="F21" s="696">
        <f>'2017-18 Forecast Billing Determ'!C44+'2017-18 Forecast Billing Determ'!C45</f>
        <v>2748135.9999999995</v>
      </c>
      <c r="G21" s="222">
        <f t="shared" si="0"/>
        <v>-3.1674629272709358E-2</v>
      </c>
      <c r="H21" s="696">
        <f>'09.2015 Rev Model'!F118+'09.2015 Rev Model'!F119+'09.2015 Rev Model'!F120</f>
        <v>17086327.099999998</v>
      </c>
      <c r="I21" s="222">
        <f t="shared" si="1"/>
        <v>3.4513371929889895E-2</v>
      </c>
      <c r="J21" s="222">
        <f>I21*G21</f>
        <v>-1.093198260830396E-3</v>
      </c>
      <c r="K21" s="133">
        <f>E21/$E$29</f>
        <v>0.62523830628538757</v>
      </c>
      <c r="L21" s="130">
        <f t="shared" si="5"/>
        <v>-0.59072493435549767</v>
      </c>
      <c r="M21" s="133">
        <f>L21*G21</f>
        <v>1.8710993297855961E-2</v>
      </c>
      <c r="N21" s="127"/>
      <c r="O21" s="127"/>
      <c r="P21" s="127"/>
      <c r="U21" s="596"/>
      <c r="V21" s="143"/>
      <c r="W21" s="141"/>
      <c r="X21" s="141"/>
      <c r="Y21" s="141"/>
      <c r="Z21" s="143"/>
      <c r="AA21" s="143"/>
      <c r="AB21" s="141"/>
      <c r="AC21" s="141"/>
    </row>
    <row r="22" spans="1:30">
      <c r="A22" s="695">
        <v>16</v>
      </c>
      <c r="B22" s="219" t="s">
        <v>106</v>
      </c>
      <c r="C22" s="219" t="s">
        <v>114</v>
      </c>
      <c r="D22" s="220" t="s">
        <v>107</v>
      </c>
      <c r="E22" s="696">
        <f>'09.2015 Rev Model'!G27</f>
        <v>1293261</v>
      </c>
      <c r="F22" s="696">
        <f>'2017-18 Forecast Billing Determ'!C46</f>
        <v>1290752</v>
      </c>
      <c r="G22" s="222">
        <f t="shared" si="0"/>
        <v>-1.9400569567937175E-3</v>
      </c>
      <c r="H22" s="696">
        <f>'09.2015 Rev Model'!G118+'09.2015 Rev Model'!G120</f>
        <v>6526237.5999999996</v>
      </c>
      <c r="I22" s="222">
        <f t="shared" si="1"/>
        <v>1.3182614629426825E-2</v>
      </c>
      <c r="J22" s="222">
        <f>I22*G22</f>
        <v>-2.5575023220550145E-5</v>
      </c>
      <c r="K22" s="133">
        <f>E22/$E$29</f>
        <v>0.28491469441307432</v>
      </c>
      <c r="L22" s="130">
        <f t="shared" si="5"/>
        <v>-0.2717320797836475</v>
      </c>
      <c r="M22" s="133">
        <f>L22*G22</f>
        <v>5.2717571176829085E-4</v>
      </c>
      <c r="N22" s="128">
        <f>SUM(M20:M22)</f>
        <v>2.0391754557964555E-2</v>
      </c>
      <c r="O22" s="128">
        <f>SUM(I20:I22)</f>
        <v>5.265266109769489E-2</v>
      </c>
      <c r="P22" s="131">
        <f>N22*O22</f>
        <v>1.0736801419278827E-3</v>
      </c>
      <c r="U22" s="362"/>
      <c r="V22" s="143"/>
      <c r="W22" s="141"/>
      <c r="X22" s="141"/>
      <c r="Y22" s="141"/>
      <c r="Z22" s="143"/>
      <c r="AA22" s="143"/>
      <c r="AB22" s="141"/>
      <c r="AC22" s="141"/>
    </row>
    <row r="23" spans="1:30">
      <c r="A23" s="695">
        <v>17</v>
      </c>
      <c r="B23" s="219" t="s">
        <v>108</v>
      </c>
      <c r="C23" s="219" t="s">
        <v>114</v>
      </c>
      <c r="D23" s="220" t="s">
        <v>109</v>
      </c>
      <c r="E23" s="696"/>
      <c r="F23" s="227"/>
      <c r="G23" s="228"/>
      <c r="H23" s="696"/>
      <c r="I23" s="222"/>
      <c r="J23" s="222"/>
      <c r="N23" s="127"/>
      <c r="O23" s="127"/>
      <c r="P23" s="127"/>
      <c r="U23" s="141"/>
      <c r="V23" s="141"/>
      <c r="W23" s="141"/>
      <c r="X23" s="141"/>
      <c r="Y23" s="141"/>
      <c r="Z23" s="143"/>
      <c r="AA23" s="143"/>
      <c r="AB23" s="141"/>
      <c r="AC23" s="141"/>
    </row>
    <row r="24" spans="1:30" ht="15.75" thickBot="1">
      <c r="A24" s="695">
        <v>18</v>
      </c>
      <c r="B24" s="229" t="s">
        <v>110</v>
      </c>
      <c r="C24" s="229" t="s">
        <v>114</v>
      </c>
      <c r="D24" s="229" t="s">
        <v>111</v>
      </c>
      <c r="E24" s="699"/>
      <c r="F24" s="230"/>
      <c r="G24" s="231"/>
      <c r="H24" s="699"/>
      <c r="I24" s="232"/>
      <c r="J24" s="223"/>
      <c r="M24" s="413"/>
      <c r="N24" s="127"/>
      <c r="O24" s="128">
        <f>O11+O18+O22</f>
        <v>0.99999999999999967</v>
      </c>
      <c r="P24" s="128">
        <f>P11+P18+P22</f>
        <v>-4.1297483134486272E-3</v>
      </c>
      <c r="U24" s="141"/>
      <c r="V24" s="141"/>
      <c r="W24" s="141"/>
      <c r="X24" s="141"/>
      <c r="Y24" s="141"/>
      <c r="Z24" s="143"/>
      <c r="AA24" s="143"/>
      <c r="AB24" s="141"/>
      <c r="AC24" s="141"/>
    </row>
    <row r="25" spans="1:30" ht="16.5" thickTop="1" thickBot="1">
      <c r="A25" s="695">
        <v>19</v>
      </c>
      <c r="B25" s="209" t="s">
        <v>8</v>
      </c>
      <c r="C25" s="209"/>
      <c r="D25" s="209"/>
      <c r="E25" s="696"/>
      <c r="F25" s="700"/>
      <c r="G25" s="212"/>
      <c r="H25" s="701">
        <f>SUM(H7:H24)</f>
        <v>495063975.0502786</v>
      </c>
      <c r="I25" s="222">
        <f>SUM(I7:I24)</f>
        <v>0.99999999999999956</v>
      </c>
      <c r="J25" s="781">
        <f>SUM(J7:J24)</f>
        <v>1.5631666381604074E-2</v>
      </c>
      <c r="K25" s="136"/>
      <c r="L25" s="136"/>
      <c r="M25" s="136"/>
      <c r="P25" s="128">
        <f>J25-P24</f>
        <v>1.9761414695052701E-2</v>
      </c>
      <c r="V25" s="233"/>
    </row>
    <row r="26" spans="1:30" ht="16.5" thickTop="1" thickBot="1">
      <c r="A26" s="695"/>
      <c r="B26" s="209"/>
      <c r="C26" s="209"/>
      <c r="D26" s="209"/>
      <c r="E26" s="696"/>
      <c r="F26" s="700"/>
      <c r="G26" s="234"/>
      <c r="H26" s="701"/>
      <c r="I26" s="221"/>
      <c r="J26" s="233"/>
    </row>
    <row r="27" spans="1:30">
      <c r="A27" s="695"/>
      <c r="B27" s="322" t="s">
        <v>129</v>
      </c>
      <c r="C27" s="323"/>
      <c r="D27" s="323"/>
      <c r="E27" s="702">
        <f>SUM(E7:E12)</f>
        <v>2904743</v>
      </c>
      <c r="F27" s="702">
        <f>SUM(F7:F12)</f>
        <v>2960717.5341540053</v>
      </c>
      <c r="G27" s="324">
        <f>(F27-E27)/E27</f>
        <v>1.9270047007258595E-2</v>
      </c>
      <c r="H27" s="703"/>
      <c r="I27" s="324"/>
      <c r="J27" s="325"/>
    </row>
    <row r="28" spans="1:30">
      <c r="A28" s="695"/>
      <c r="B28" s="326" t="s">
        <v>130</v>
      </c>
      <c r="C28" s="214"/>
      <c r="D28" s="214"/>
      <c r="E28" s="704">
        <f>SUM(E13:E18)</f>
        <v>5687562624.5604105</v>
      </c>
      <c r="F28" s="704">
        <f>SUM(F13:F18)</f>
        <v>5798001680.6378975</v>
      </c>
      <c r="G28" s="222">
        <f>(F28-E28)/E28</f>
        <v>1.9417642207679917E-2</v>
      </c>
      <c r="H28" s="705"/>
      <c r="I28" s="223"/>
      <c r="J28" s="327"/>
    </row>
    <row r="29" spans="1:30">
      <c r="A29" s="695"/>
      <c r="B29" s="326" t="s">
        <v>131</v>
      </c>
      <c r="C29" s="214"/>
      <c r="D29" s="214"/>
      <c r="E29" s="704">
        <f>SUM(E19:E24)</f>
        <v>4539116.5333333332</v>
      </c>
      <c r="F29" s="704">
        <f>SUM(F19:F24)</f>
        <v>4441172</v>
      </c>
      <c r="G29" s="222">
        <f>(F29-E29)/E29</f>
        <v>-2.157788473022677E-2</v>
      </c>
      <c r="H29" s="705"/>
      <c r="I29" s="223"/>
      <c r="J29" s="327"/>
    </row>
    <row r="30" spans="1:30" ht="15.75" thickBot="1">
      <c r="A30" s="695"/>
      <c r="B30" s="328"/>
      <c r="C30" s="329"/>
      <c r="D30" s="329"/>
      <c r="E30" s="706"/>
      <c r="F30" s="706"/>
      <c r="G30" s="330"/>
      <c r="H30" s="706"/>
      <c r="I30" s="330"/>
      <c r="J30" s="331"/>
    </row>
    <row r="31" spans="1:30">
      <c r="A31" s="142"/>
      <c r="B31" s="215"/>
      <c r="C31" s="215"/>
      <c r="D31" s="215"/>
      <c r="E31" s="215"/>
      <c r="F31" s="215"/>
      <c r="G31" s="215"/>
      <c r="H31" s="215"/>
      <c r="I31" s="215"/>
      <c r="J31" s="215"/>
    </row>
    <row r="32" spans="1:30">
      <c r="A32" s="142"/>
      <c r="B32" s="235"/>
      <c r="C32" s="235"/>
      <c r="D32" s="235"/>
      <c r="E32" s="215"/>
      <c r="F32" s="215"/>
      <c r="G32" s="235"/>
      <c r="H32" s="332"/>
      <c r="I32" s="333"/>
      <c r="J32" s="223"/>
      <c r="Z32" s="144"/>
      <c r="AD32" s="144"/>
    </row>
  </sheetData>
  <mergeCells count="2">
    <mergeCell ref="B2:J2"/>
    <mergeCell ref="B1:J1"/>
  </mergeCells>
  <phoneticPr fontId="54" type="noConversion"/>
  <printOptions horizontalCentered="1"/>
  <pageMargins left="0.7" right="0.7" top="0.75" bottom="0.75" header="0.3" footer="0.3"/>
  <pageSetup scale="79" orientation="landscape" r:id="rId1"/>
  <headerFooter scaleWithDoc="0">
    <oddHeader>&amp;RExhibit No. __(EMA-2)</oddHeader>
    <oddFooter>&amp;RPage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zoomScaleSheetLayoutView="115" workbookViewId="0">
      <selection activeCell="O43" sqref="O43"/>
    </sheetView>
  </sheetViews>
  <sheetFormatPr defaultRowHeight="12.75"/>
  <cols>
    <col min="1" max="1" width="25.7109375" customWidth="1"/>
    <col min="7" max="7" width="11.140625" customWidth="1"/>
    <col min="8" max="8" width="9.140625" style="473"/>
  </cols>
  <sheetData>
    <row r="1" spans="1:8" s="473" customFormat="1">
      <c r="B1" s="597">
        <v>2009</v>
      </c>
      <c r="C1" s="597">
        <v>2010</v>
      </c>
      <c r="D1" s="597">
        <v>2011</v>
      </c>
      <c r="E1" s="597">
        <v>2012</v>
      </c>
      <c r="F1" s="597">
        <v>2013</v>
      </c>
      <c r="G1" s="597">
        <v>2014</v>
      </c>
      <c r="H1" s="641"/>
    </row>
    <row r="2" spans="1:8">
      <c r="A2" t="s">
        <v>599</v>
      </c>
      <c r="B2" s="254">
        <f>'Cost Trends'!O141</f>
        <v>2813.6201999999994</v>
      </c>
      <c r="C2" s="254">
        <f>'Cost Trends'!P141</f>
        <v>2813.1288000000004</v>
      </c>
      <c r="D2" s="254">
        <f>'Cost Trends'!Q141</f>
        <v>2812.3060000000005</v>
      </c>
      <c r="E2" s="254">
        <f>'Cost Trends'!R141</f>
        <v>3314.6805999999997</v>
      </c>
      <c r="F2" s="254">
        <f>'Cost Trends'!S141</f>
        <v>3464</v>
      </c>
      <c r="G2" s="254">
        <f>'Cost Trends'!T141</f>
        <v>3478.6275000000005</v>
      </c>
      <c r="H2" s="642"/>
    </row>
    <row r="3" spans="1:8">
      <c r="H3" s="405"/>
    </row>
    <row r="5" spans="1:8">
      <c r="A5" s="473" t="s">
        <v>604</v>
      </c>
      <c r="B5" s="2">
        <v>142</v>
      </c>
      <c r="C5" s="473"/>
    </row>
    <row r="6" spans="1:8">
      <c r="A6" s="473" t="s">
        <v>602</v>
      </c>
      <c r="B6" s="599">
        <f>B5/G2</f>
        <v>4.0820697243381186E-2</v>
      </c>
      <c r="C6" s="473"/>
    </row>
    <row r="7" spans="1:8">
      <c r="A7" s="474" t="s">
        <v>627</v>
      </c>
      <c r="B7" s="599">
        <f>B6*2</f>
        <v>8.1641394486762373E-2</v>
      </c>
      <c r="C7" s="780" t="s">
        <v>606</v>
      </c>
      <c r="D7" s="778"/>
      <c r="E7" s="778"/>
      <c r="F7" s="778"/>
      <c r="G7" s="77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R300"/>
  <sheetViews>
    <sheetView workbookViewId="0"/>
  </sheetViews>
  <sheetFormatPr defaultColWidth="10.7109375" defaultRowHeight="11.25"/>
  <cols>
    <col min="1" max="1" width="9.7109375" style="86" customWidth="1"/>
    <col min="2" max="2" width="25.7109375" style="87" customWidth="1"/>
    <col min="3" max="4" width="11.85546875" style="87" customWidth="1"/>
    <col min="5" max="5" width="11.5703125" style="87" customWidth="1"/>
    <col min="6" max="6" width="11.85546875" style="87" customWidth="1"/>
    <col min="7" max="7" width="11.7109375" style="87" customWidth="1"/>
    <col min="8" max="8" width="11.28515625" style="87" customWidth="1"/>
    <col min="9" max="9" width="11.85546875" style="87" customWidth="1"/>
    <col min="10" max="10" width="10.7109375" style="87" customWidth="1"/>
    <col min="11" max="11" width="3.7109375" style="87" customWidth="1"/>
    <col min="12" max="12" width="13.28515625" style="87" customWidth="1"/>
    <col min="13" max="13" width="3.7109375" style="87" customWidth="1"/>
    <col min="14" max="15" width="10.7109375" style="87" customWidth="1"/>
    <col min="16" max="16" width="35.7109375" style="87" customWidth="1"/>
    <col min="17" max="16384" width="10.7109375" style="87"/>
  </cols>
  <sheetData>
    <row r="1" spans="1:18">
      <c r="A1" s="707" t="s">
        <v>648</v>
      </c>
      <c r="B1" s="708"/>
      <c r="C1" s="708"/>
      <c r="D1" s="708"/>
      <c r="E1" s="708"/>
      <c r="F1" s="708"/>
      <c r="G1" s="708"/>
      <c r="H1" s="708"/>
      <c r="I1" s="708"/>
    </row>
    <row r="2" spans="1:18" ht="22.5" customHeight="1">
      <c r="A2" s="707"/>
      <c r="B2" s="709" t="str">
        <f>IF(Base1_Billing2=2,"BILLED","")</f>
        <v/>
      </c>
      <c r="C2" s="708"/>
      <c r="D2" s="708"/>
      <c r="E2" s="708"/>
      <c r="F2" s="708"/>
      <c r="G2" s="708"/>
      <c r="H2" s="708"/>
      <c r="I2" s="708"/>
    </row>
    <row r="3" spans="1:18">
      <c r="A3" s="707"/>
      <c r="B3" s="708"/>
      <c r="C3" s="708"/>
      <c r="D3" s="708"/>
      <c r="E3" s="708"/>
      <c r="F3" s="708"/>
      <c r="G3" s="708"/>
      <c r="H3" s="708"/>
      <c r="I3" s="708"/>
    </row>
    <row r="4" spans="1:18" s="88" customFormat="1">
      <c r="A4" s="707" t="s">
        <v>146</v>
      </c>
      <c r="B4" s="710"/>
      <c r="C4" s="710" t="s">
        <v>95</v>
      </c>
      <c r="D4" s="710" t="s">
        <v>100</v>
      </c>
      <c r="E4" s="710" t="s">
        <v>102</v>
      </c>
      <c r="F4" s="710" t="s">
        <v>104</v>
      </c>
      <c r="G4" s="710" t="s">
        <v>106</v>
      </c>
      <c r="H4" s="710" t="s">
        <v>108</v>
      </c>
      <c r="I4" s="710" t="s">
        <v>110</v>
      </c>
    </row>
    <row r="5" spans="1:18" s="88" customFormat="1">
      <c r="A5" s="707" t="s">
        <v>147</v>
      </c>
      <c r="B5" s="710"/>
      <c r="C5" s="711" t="s">
        <v>86</v>
      </c>
      <c r="D5" s="711" t="s">
        <v>101</v>
      </c>
      <c r="E5" s="711" t="s">
        <v>103</v>
      </c>
      <c r="F5" s="711" t="s">
        <v>105</v>
      </c>
      <c r="G5" s="711" t="s">
        <v>107</v>
      </c>
      <c r="H5" s="711" t="s">
        <v>109</v>
      </c>
      <c r="I5" s="711" t="s">
        <v>111</v>
      </c>
      <c r="P5" s="89" t="s">
        <v>148</v>
      </c>
    </row>
    <row r="6" spans="1:18" ht="11.25" customHeight="1">
      <c r="A6" s="707"/>
      <c r="B6" s="712" t="s">
        <v>149</v>
      </c>
      <c r="C6" s="708"/>
      <c r="D6" s="708"/>
      <c r="E6" s="708"/>
      <c r="F6" s="708"/>
      <c r="G6" s="708"/>
      <c r="H6" s="708"/>
      <c r="I6" s="708"/>
      <c r="K6" s="88"/>
      <c r="L6" s="90" t="s">
        <v>150</v>
      </c>
      <c r="M6" s="88"/>
      <c r="N6" s="88"/>
      <c r="P6" s="933" t="str">
        <f>"AVISTA UTILITIES
WASHINGTON ELECTRIC
PRO FORMA REVENUE UNDER PRESENT AND PROPOSED "&amp;N9&amp;" RATES
12 MONTHS ENDED SEPTEMBER 30, 2015"</f>
        <v>AVISTA UTILITIES
WASHINGTON ELECTRIC
PRO FORMA REVENUE UNDER PRESENT AND PROPOSED BASE TARIFF RATES
12 MONTHS ENDED SEPTEMBER 30, 2015</v>
      </c>
      <c r="Q6" s="933"/>
      <c r="R6" s="933"/>
    </row>
    <row r="7" spans="1:18" ht="10.15" customHeight="1">
      <c r="A7" s="707"/>
      <c r="B7" s="713" t="s">
        <v>151</v>
      </c>
      <c r="C7" s="708"/>
      <c r="D7" s="708"/>
      <c r="E7" s="708"/>
      <c r="F7" s="708"/>
      <c r="G7" s="708"/>
      <c r="H7" s="708"/>
      <c r="I7" s="708"/>
      <c r="K7" s="91" t="s">
        <v>152</v>
      </c>
      <c r="L7" s="87" t="s">
        <v>153</v>
      </c>
      <c r="M7" s="88"/>
      <c r="N7" s="88"/>
      <c r="P7" s="933"/>
      <c r="Q7" s="933"/>
      <c r="R7" s="933"/>
    </row>
    <row r="8" spans="1:18" ht="10.15" customHeight="1">
      <c r="A8" s="707" t="s">
        <v>154</v>
      </c>
      <c r="B8" s="708" t="s">
        <v>155</v>
      </c>
      <c r="C8" s="714"/>
      <c r="D8" s="714">
        <v>1568799173.4194205</v>
      </c>
      <c r="E8" s="714">
        <v>417235444.63635033</v>
      </c>
      <c r="F8" s="714">
        <v>1286691866.9453735</v>
      </c>
      <c r="G8" s="714">
        <v>126000000</v>
      </c>
      <c r="H8" s="714">
        <v>52021552.456657603</v>
      </c>
      <c r="I8" s="714"/>
      <c r="L8" s="88" t="s">
        <v>156</v>
      </c>
      <c r="N8" s="93">
        <v>1</v>
      </c>
      <c r="P8" s="933"/>
      <c r="Q8" s="933"/>
      <c r="R8" s="933"/>
    </row>
    <row r="9" spans="1:18" ht="10.15" customHeight="1">
      <c r="A9" s="707" t="s">
        <v>154</v>
      </c>
      <c r="B9" s="708" t="s">
        <v>157</v>
      </c>
      <c r="C9" s="714"/>
      <c r="D9" s="714">
        <v>501965104.29546225</v>
      </c>
      <c r="E9" s="714">
        <v>184374178.3636497</v>
      </c>
      <c r="F9" s="714">
        <v>165092233.05462646</v>
      </c>
      <c r="G9" s="714">
        <v>568211715</v>
      </c>
      <c r="H9" s="714">
        <v>102695896.8100124</v>
      </c>
      <c r="I9" s="714"/>
      <c r="K9" s="91" t="s">
        <v>158</v>
      </c>
      <c r="L9" s="87" t="s">
        <v>159</v>
      </c>
      <c r="N9" s="87" t="str">
        <f>CHOOSE(Base1_Billing2,L7,L9)</f>
        <v>BASE TARIFF</v>
      </c>
      <c r="P9" s="933"/>
      <c r="Q9" s="933"/>
      <c r="R9" s="933"/>
    </row>
    <row r="10" spans="1:18" ht="10.15" customHeight="1">
      <c r="A10" s="707" t="s">
        <v>154</v>
      </c>
      <c r="B10" s="708" t="s">
        <v>160</v>
      </c>
      <c r="C10" s="714"/>
      <c r="D10" s="714">
        <v>289516840.28511739</v>
      </c>
      <c r="E10" s="714"/>
      <c r="F10" s="714"/>
      <c r="G10" s="714">
        <v>414459826</v>
      </c>
      <c r="H10" s="714"/>
      <c r="I10" s="714"/>
      <c r="N10" s="87" t="str">
        <f>CHOOSE(Base1_Billing2,"Base","Billing")</f>
        <v>Base</v>
      </c>
      <c r="P10" s="933"/>
      <c r="Q10" s="933"/>
      <c r="R10" s="933"/>
    </row>
    <row r="11" spans="1:18" ht="10.15" customHeight="1">
      <c r="A11" s="707"/>
      <c r="B11" s="708" t="s">
        <v>161</v>
      </c>
      <c r="C11" s="714"/>
      <c r="D11" s="714"/>
      <c r="E11" s="714"/>
      <c r="F11" s="714"/>
      <c r="G11" s="714"/>
      <c r="H11" s="714"/>
      <c r="I11" s="714"/>
      <c r="P11" s="933"/>
      <c r="Q11" s="933"/>
      <c r="R11" s="933"/>
    </row>
    <row r="12" spans="1:18">
      <c r="A12" s="707" t="s">
        <v>649</v>
      </c>
      <c r="B12" s="708" t="s">
        <v>162</v>
      </c>
      <c r="C12" s="715"/>
      <c r="D12" s="715"/>
      <c r="E12" s="715"/>
      <c r="F12" s="715"/>
      <c r="G12" s="715"/>
      <c r="H12" s="715"/>
      <c r="I12" s="479">
        <v>25597340.293740001</v>
      </c>
      <c r="N12" s="92"/>
    </row>
    <row r="13" spans="1:18">
      <c r="A13" s="707"/>
      <c r="B13" s="708"/>
      <c r="C13" s="714"/>
      <c r="D13" s="714"/>
      <c r="E13" s="714"/>
      <c r="F13" s="714"/>
      <c r="G13" s="714"/>
      <c r="H13" s="714"/>
      <c r="I13" s="716"/>
      <c r="N13" s="94"/>
    </row>
    <row r="14" spans="1:18">
      <c r="A14" s="707"/>
      <c r="B14" s="708" t="s">
        <v>163</v>
      </c>
      <c r="C14" s="714">
        <f>SUM(D14:I14)</f>
        <v>5702661171.5604105</v>
      </c>
      <c r="D14" s="714">
        <f t="shared" ref="D14:I14" si="0">SUM(D8:D12)</f>
        <v>2360281118</v>
      </c>
      <c r="E14" s="714">
        <f t="shared" si="0"/>
        <v>601609623</v>
      </c>
      <c r="F14" s="714">
        <f t="shared" si="0"/>
        <v>1451784100</v>
      </c>
      <c r="G14" s="714">
        <f t="shared" si="0"/>
        <v>1108671541</v>
      </c>
      <c r="H14" s="714">
        <f t="shared" si="0"/>
        <v>154717449.26666999</v>
      </c>
      <c r="I14" s="714">
        <f t="shared" si="0"/>
        <v>25597340.293740001</v>
      </c>
    </row>
    <row r="15" spans="1:18" s="96" customFormat="1">
      <c r="A15" s="707"/>
      <c r="B15" s="95"/>
      <c r="C15" s="714"/>
      <c r="D15" s="714"/>
      <c r="E15" s="714"/>
      <c r="F15" s="714"/>
      <c r="G15" s="714"/>
      <c r="H15" s="714"/>
      <c r="I15" s="714"/>
    </row>
    <row r="16" spans="1:18">
      <c r="A16" s="707"/>
      <c r="B16" s="708"/>
      <c r="C16" s="717"/>
      <c r="D16" s="717"/>
      <c r="E16" s="717"/>
      <c r="F16" s="717"/>
      <c r="G16" s="717"/>
      <c r="H16" s="717"/>
      <c r="I16" s="717"/>
    </row>
    <row r="17" spans="1:9">
      <c r="A17" s="707"/>
      <c r="B17" s="708" t="s">
        <v>163</v>
      </c>
      <c r="C17" s="714">
        <f>SUM(D17:I17)</f>
        <v>5702661171.5604105</v>
      </c>
      <c r="D17" s="714">
        <f t="shared" ref="D17:I17" si="1">D14+D15</f>
        <v>2360281118</v>
      </c>
      <c r="E17" s="714">
        <f t="shared" si="1"/>
        <v>601609623</v>
      </c>
      <c r="F17" s="714">
        <f t="shared" si="1"/>
        <v>1451784100</v>
      </c>
      <c r="G17" s="714">
        <f t="shared" si="1"/>
        <v>1108671541</v>
      </c>
      <c r="H17" s="714">
        <f t="shared" si="1"/>
        <v>154717449.26666999</v>
      </c>
      <c r="I17" s="714">
        <f t="shared" si="1"/>
        <v>25597340.293740001</v>
      </c>
    </row>
    <row r="18" spans="1:9">
      <c r="A18" s="707" t="s">
        <v>154</v>
      </c>
      <c r="B18" s="708" t="s">
        <v>164</v>
      </c>
      <c r="C18" s="714">
        <f>SUM(D18:I18)</f>
        <v>0</v>
      </c>
      <c r="D18" s="714">
        <v>0</v>
      </c>
      <c r="E18" s="714">
        <v>0</v>
      </c>
      <c r="F18" s="714">
        <v>0</v>
      </c>
      <c r="G18" s="718">
        <v>0</v>
      </c>
      <c r="H18" s="714">
        <v>0</v>
      </c>
      <c r="I18" s="718">
        <v>0</v>
      </c>
    </row>
    <row r="19" spans="1:9">
      <c r="A19" s="707"/>
      <c r="B19" s="708"/>
      <c r="C19" s="717"/>
      <c r="D19" s="717"/>
      <c r="E19" s="717"/>
      <c r="F19" s="717"/>
      <c r="G19" s="717"/>
      <c r="H19" s="717"/>
      <c r="I19" s="717"/>
    </row>
    <row r="20" spans="1:9">
      <c r="A20" s="707"/>
      <c r="B20" s="708" t="s">
        <v>165</v>
      </c>
      <c r="C20" s="714">
        <f>SUM(D20:I20)</f>
        <v>5702661171.5604105</v>
      </c>
      <c r="D20" s="714">
        <f t="shared" ref="D20:I20" si="2">D17+D18</f>
        <v>2360281118</v>
      </c>
      <c r="E20" s="714">
        <f t="shared" si="2"/>
        <v>601609623</v>
      </c>
      <c r="F20" s="714">
        <f t="shared" si="2"/>
        <v>1451784100</v>
      </c>
      <c r="G20" s="714">
        <f t="shared" si="2"/>
        <v>1108671541</v>
      </c>
      <c r="H20" s="714">
        <f t="shared" si="2"/>
        <v>154717449.26666999</v>
      </c>
      <c r="I20" s="714">
        <f t="shared" si="2"/>
        <v>25597340.293740001</v>
      </c>
    </row>
    <row r="21" spans="1:9" s="96" customFormat="1">
      <c r="A21" s="707" t="s">
        <v>166</v>
      </c>
      <c r="B21" s="95" t="s">
        <v>167</v>
      </c>
      <c r="C21" s="97">
        <f>SUM(D21:I21)</f>
        <v>-15098547</v>
      </c>
      <c r="D21" s="97">
        <f t="shared" ref="D21:I21" si="3">D142+D145</f>
        <v>15716496</v>
      </c>
      <c r="E21" s="97">
        <f t="shared" si="3"/>
        <v>-5126528</v>
      </c>
      <c r="F21" s="97">
        <f t="shared" si="3"/>
        <v>-25855975</v>
      </c>
      <c r="G21" s="125">
        <f t="shared" si="3"/>
        <v>0</v>
      </c>
      <c r="H21" s="97">
        <f t="shared" si="3"/>
        <v>167460</v>
      </c>
      <c r="I21" s="97">
        <f t="shared" si="3"/>
        <v>0</v>
      </c>
    </row>
    <row r="22" spans="1:9">
      <c r="A22" s="707"/>
      <c r="B22" s="708"/>
      <c r="C22" s="717"/>
      <c r="D22" s="717"/>
      <c r="E22" s="717"/>
      <c r="F22" s="717"/>
      <c r="G22" s="717"/>
      <c r="H22" s="717"/>
      <c r="I22" s="717"/>
    </row>
    <row r="23" spans="1:9">
      <c r="A23" s="707"/>
      <c r="B23" s="708" t="s">
        <v>168</v>
      </c>
      <c r="C23" s="714">
        <f>IF(ROUND(SUM(D23:I23),3)&lt;&gt;ROUND(SUM(C20:C21),3),#VALUE!,SUM(D23:I23))</f>
        <v>5687562624.5604105</v>
      </c>
      <c r="D23" s="714">
        <f t="shared" ref="D23:I23" si="4">D20+D21</f>
        <v>2375997614</v>
      </c>
      <c r="E23" s="714">
        <f t="shared" si="4"/>
        <v>596483095</v>
      </c>
      <c r="F23" s="714">
        <f t="shared" si="4"/>
        <v>1425928125</v>
      </c>
      <c r="G23" s="714">
        <f t="shared" si="4"/>
        <v>1108671541</v>
      </c>
      <c r="H23" s="714">
        <f t="shared" si="4"/>
        <v>154884909.26666999</v>
      </c>
      <c r="I23" s="714">
        <f t="shared" si="4"/>
        <v>25597340.293740001</v>
      </c>
    </row>
    <row r="24" spans="1:9">
      <c r="A24" s="707"/>
      <c r="B24" s="708"/>
      <c r="C24" s="714"/>
      <c r="D24" s="714"/>
      <c r="E24" s="714"/>
      <c r="F24" s="714"/>
      <c r="G24" s="714"/>
      <c r="H24" s="714"/>
      <c r="I24" s="714"/>
    </row>
    <row r="25" spans="1:9">
      <c r="A25" s="707" t="s">
        <v>154</v>
      </c>
      <c r="B25" s="708" t="s">
        <v>169</v>
      </c>
      <c r="C25" s="714"/>
      <c r="D25" s="714">
        <v>2481909</v>
      </c>
      <c r="E25" s="714">
        <v>369248</v>
      </c>
      <c r="F25" s="714">
        <v>24164</v>
      </c>
      <c r="G25" s="714">
        <v>252</v>
      </c>
      <c r="H25" s="714">
        <v>29169.999999999996</v>
      </c>
      <c r="I25" s="714"/>
    </row>
    <row r="26" spans="1:9">
      <c r="A26" s="707"/>
      <c r="B26" s="708" t="s">
        <v>170</v>
      </c>
      <c r="C26" s="714"/>
      <c r="D26" s="714"/>
      <c r="E26" s="714"/>
      <c r="F26" s="714"/>
      <c r="G26" s="714"/>
      <c r="H26" s="714"/>
      <c r="I26" s="714"/>
    </row>
    <row r="27" spans="1:9">
      <c r="A27" s="707" t="s">
        <v>154</v>
      </c>
      <c r="B27" s="708" t="s">
        <v>171</v>
      </c>
      <c r="C27" s="714"/>
      <c r="D27" s="714"/>
      <c r="E27" s="714">
        <v>407826</v>
      </c>
      <c r="F27" s="714">
        <v>2838029.5333333332</v>
      </c>
      <c r="G27" s="714">
        <v>1293261</v>
      </c>
      <c r="H27" s="714"/>
      <c r="I27" s="714"/>
    </row>
    <row r="28" spans="1:9">
      <c r="A28" s="707"/>
      <c r="B28" s="708"/>
      <c r="C28" s="719"/>
      <c r="D28" s="719"/>
      <c r="E28" s="719"/>
      <c r="F28" s="719"/>
      <c r="G28" s="719"/>
      <c r="H28" s="719"/>
      <c r="I28" s="719"/>
    </row>
    <row r="29" spans="1:9" ht="12.75">
      <c r="A29" s="707"/>
      <c r="B29" s="712" t="s">
        <v>172</v>
      </c>
      <c r="C29" s="708"/>
      <c r="D29" s="708"/>
      <c r="E29" s="708"/>
      <c r="F29" s="708"/>
      <c r="G29" s="708"/>
      <c r="H29" s="708"/>
      <c r="I29" s="708"/>
    </row>
    <row r="30" spans="1:9" s="99" customFormat="1">
      <c r="A30" s="720"/>
      <c r="B30" s="713" t="s">
        <v>151</v>
      </c>
      <c r="C30" s="721"/>
      <c r="D30" s="721"/>
      <c r="E30" s="721"/>
      <c r="F30" s="721"/>
      <c r="G30" s="721"/>
      <c r="H30" s="721"/>
      <c r="I30" s="721"/>
    </row>
    <row r="31" spans="1:9">
      <c r="A31" s="707"/>
      <c r="B31" s="708" t="s">
        <v>155</v>
      </c>
      <c r="C31" s="714"/>
      <c r="D31" s="714">
        <f t="shared" ref="D31:I35" si="5">D8</f>
        <v>1568799173.4194205</v>
      </c>
      <c r="E31" s="714">
        <f t="shared" si="5"/>
        <v>417235444.63635033</v>
      </c>
      <c r="F31" s="714">
        <f t="shared" si="5"/>
        <v>1286691866.9453735</v>
      </c>
      <c r="G31" s="714">
        <f t="shared" si="5"/>
        <v>126000000</v>
      </c>
      <c r="H31" s="714">
        <f t="shared" si="5"/>
        <v>52021552.456657603</v>
      </c>
      <c r="I31" s="714">
        <f t="shared" si="5"/>
        <v>0</v>
      </c>
    </row>
    <row r="32" spans="1:9">
      <c r="A32" s="707"/>
      <c r="B32" s="708" t="s">
        <v>157</v>
      </c>
      <c r="C32" s="714"/>
      <c r="D32" s="714">
        <f t="shared" si="5"/>
        <v>501965104.29546225</v>
      </c>
      <c r="E32" s="714">
        <f t="shared" si="5"/>
        <v>184374178.3636497</v>
      </c>
      <c r="F32" s="714">
        <f t="shared" si="5"/>
        <v>165092233.05462646</v>
      </c>
      <c r="G32" s="714">
        <f>G9</f>
        <v>568211715</v>
      </c>
      <c r="H32" s="714">
        <f t="shared" si="5"/>
        <v>102695896.8100124</v>
      </c>
      <c r="I32" s="714">
        <f t="shared" si="5"/>
        <v>0</v>
      </c>
    </row>
    <row r="33" spans="1:9">
      <c r="A33" s="707"/>
      <c r="B33" s="708" t="s">
        <v>160</v>
      </c>
      <c r="C33" s="714"/>
      <c r="D33" s="714">
        <f t="shared" si="5"/>
        <v>289516840.28511739</v>
      </c>
      <c r="E33" s="714">
        <f t="shared" si="5"/>
        <v>0</v>
      </c>
      <c r="F33" s="714">
        <f t="shared" si="5"/>
        <v>0</v>
      </c>
      <c r="G33" s="714">
        <f>G10</f>
        <v>414459826</v>
      </c>
      <c r="H33" s="714">
        <f t="shared" si="5"/>
        <v>0</v>
      </c>
      <c r="I33" s="714">
        <f t="shared" si="5"/>
        <v>0</v>
      </c>
    </row>
    <row r="34" spans="1:9">
      <c r="A34" s="707"/>
      <c r="B34" s="708" t="s">
        <v>161</v>
      </c>
      <c r="C34" s="714"/>
      <c r="D34" s="714">
        <f t="shared" si="5"/>
        <v>0</v>
      </c>
      <c r="E34" s="714">
        <f t="shared" si="5"/>
        <v>0</v>
      </c>
      <c r="F34" s="714">
        <f t="shared" si="5"/>
        <v>0</v>
      </c>
      <c r="G34" s="714">
        <f t="shared" si="5"/>
        <v>0</v>
      </c>
      <c r="H34" s="714">
        <f t="shared" si="5"/>
        <v>0</v>
      </c>
      <c r="I34" s="714">
        <f t="shared" si="5"/>
        <v>0</v>
      </c>
    </row>
    <row r="35" spans="1:9">
      <c r="A35" s="707"/>
      <c r="B35" s="708" t="s">
        <v>162</v>
      </c>
      <c r="C35" s="722"/>
      <c r="D35" s="714">
        <f t="shared" si="5"/>
        <v>0</v>
      </c>
      <c r="E35" s="714">
        <f t="shared" si="5"/>
        <v>0</v>
      </c>
      <c r="F35" s="714">
        <f t="shared" si="5"/>
        <v>0</v>
      </c>
      <c r="G35" s="714">
        <f t="shared" si="5"/>
        <v>0</v>
      </c>
      <c r="H35" s="714">
        <f t="shared" si="5"/>
        <v>0</v>
      </c>
      <c r="I35" s="714">
        <f t="shared" si="5"/>
        <v>25597340.293740001</v>
      </c>
    </row>
    <row r="36" spans="1:9">
      <c r="A36" s="707"/>
      <c r="B36" s="708"/>
      <c r="C36" s="717"/>
      <c r="D36" s="717"/>
      <c r="E36" s="717"/>
      <c r="F36" s="717"/>
      <c r="G36" s="717"/>
      <c r="H36" s="717"/>
      <c r="I36" s="717"/>
    </row>
    <row r="37" spans="1:9">
      <c r="A37" s="707"/>
      <c r="B37" s="708" t="s">
        <v>163</v>
      </c>
      <c r="C37" s="714">
        <f>SUM(D37:I37)</f>
        <v>5702661171.5604105</v>
      </c>
      <c r="D37" s="714">
        <f t="shared" ref="D37:I37" si="6">SUM(D31:D35)</f>
        <v>2360281118</v>
      </c>
      <c r="E37" s="714">
        <f t="shared" si="6"/>
        <v>601609623</v>
      </c>
      <c r="F37" s="714">
        <f t="shared" si="6"/>
        <v>1451784100</v>
      </c>
      <c r="G37" s="714">
        <f t="shared" si="6"/>
        <v>1108671541</v>
      </c>
      <c r="H37" s="714">
        <f t="shared" si="6"/>
        <v>154717449.26666999</v>
      </c>
      <c r="I37" s="714">
        <f t="shared" si="6"/>
        <v>25597340.293740001</v>
      </c>
    </row>
    <row r="38" spans="1:9" s="96" customFormat="1">
      <c r="A38" s="100"/>
      <c r="B38" s="101"/>
      <c r="C38" s="714">
        <f>SUM(D38:I38)</f>
        <v>0</v>
      </c>
      <c r="D38" s="97">
        <f t="shared" ref="D38:I38" si="7">D15</f>
        <v>0</v>
      </c>
      <c r="E38" s="97">
        <f t="shared" si="7"/>
        <v>0</v>
      </c>
      <c r="F38" s="97">
        <f t="shared" si="7"/>
        <v>0</v>
      </c>
      <c r="G38" s="97">
        <f t="shared" si="7"/>
        <v>0</v>
      </c>
      <c r="H38" s="97">
        <f t="shared" si="7"/>
        <v>0</v>
      </c>
      <c r="I38" s="97">
        <f t="shared" si="7"/>
        <v>0</v>
      </c>
    </row>
    <row r="39" spans="1:9">
      <c r="A39" s="707"/>
      <c r="B39" s="708"/>
      <c r="C39" s="717"/>
      <c r="D39" s="717"/>
      <c r="E39" s="717"/>
      <c r="F39" s="717"/>
      <c r="G39" s="717"/>
      <c r="H39" s="717"/>
      <c r="I39" s="717"/>
    </row>
    <row r="40" spans="1:9">
      <c r="A40" s="707"/>
      <c r="B40" s="708" t="s">
        <v>163</v>
      </c>
      <c r="C40" s="714">
        <f>SUM(D40:I40)</f>
        <v>5702661171.5604105</v>
      </c>
      <c r="D40" s="714">
        <f t="shared" ref="D40:I40" si="8">D37+D38</f>
        <v>2360281118</v>
      </c>
      <c r="E40" s="714">
        <f t="shared" si="8"/>
        <v>601609623</v>
      </c>
      <c r="F40" s="714">
        <f t="shared" si="8"/>
        <v>1451784100</v>
      </c>
      <c r="G40" s="714">
        <f t="shared" si="8"/>
        <v>1108671541</v>
      </c>
      <c r="H40" s="714">
        <f t="shared" si="8"/>
        <v>154717449.26666999</v>
      </c>
      <c r="I40" s="714">
        <f t="shared" si="8"/>
        <v>25597340.293740001</v>
      </c>
    </row>
    <row r="41" spans="1:9">
      <c r="A41" s="707"/>
      <c r="B41" s="708" t="s">
        <v>164</v>
      </c>
      <c r="C41" s="714">
        <f>SUM(D41:I41)</f>
        <v>0</v>
      </c>
      <c r="D41" s="714">
        <f t="shared" ref="D41:I41" si="9">D18</f>
        <v>0</v>
      </c>
      <c r="E41" s="714">
        <f t="shared" si="9"/>
        <v>0</v>
      </c>
      <c r="F41" s="714">
        <f t="shared" si="9"/>
        <v>0</v>
      </c>
      <c r="G41" s="714">
        <f t="shared" si="9"/>
        <v>0</v>
      </c>
      <c r="H41" s="714">
        <f t="shared" si="9"/>
        <v>0</v>
      </c>
      <c r="I41" s="714">
        <f t="shared" si="9"/>
        <v>0</v>
      </c>
    </row>
    <row r="42" spans="1:9">
      <c r="A42" s="707"/>
      <c r="B42" s="708"/>
      <c r="C42" s="717"/>
      <c r="D42" s="717"/>
      <c r="E42" s="717"/>
      <c r="F42" s="717"/>
      <c r="G42" s="717"/>
      <c r="H42" s="717"/>
      <c r="I42" s="717"/>
    </row>
    <row r="43" spans="1:9">
      <c r="A43" s="707"/>
      <c r="B43" s="708" t="s">
        <v>165</v>
      </c>
      <c r="C43" s="714">
        <f>SUM(D43:I43)</f>
        <v>5702661171.5604105</v>
      </c>
      <c r="D43" s="714">
        <f t="shared" ref="D43:I43" si="10">D40+D41</f>
        <v>2360281118</v>
      </c>
      <c r="E43" s="714">
        <f t="shared" si="10"/>
        <v>601609623</v>
      </c>
      <c r="F43" s="714">
        <f t="shared" si="10"/>
        <v>1451784100</v>
      </c>
      <c r="G43" s="714">
        <f t="shared" si="10"/>
        <v>1108671541</v>
      </c>
      <c r="H43" s="714">
        <f t="shared" si="10"/>
        <v>154717449.26666999</v>
      </c>
      <c r="I43" s="714">
        <f t="shared" si="10"/>
        <v>25597340.293740001</v>
      </c>
    </row>
    <row r="44" spans="1:9" s="96" customFormat="1">
      <c r="A44" s="100"/>
      <c r="B44" s="95" t="s">
        <v>167</v>
      </c>
      <c r="C44" s="97">
        <f>SUM(D44:I44)</f>
        <v>-15098547</v>
      </c>
      <c r="D44" s="97">
        <f t="shared" ref="D44:I44" si="11">D21</f>
        <v>15716496</v>
      </c>
      <c r="E44" s="97">
        <f t="shared" si="11"/>
        <v>-5126528</v>
      </c>
      <c r="F44" s="97">
        <f t="shared" si="11"/>
        <v>-25855975</v>
      </c>
      <c r="G44" s="97">
        <f t="shared" si="11"/>
        <v>0</v>
      </c>
      <c r="H44" s="97">
        <f t="shared" si="11"/>
        <v>167460</v>
      </c>
      <c r="I44" s="97">
        <f t="shared" si="11"/>
        <v>0</v>
      </c>
    </row>
    <row r="45" spans="1:9">
      <c r="A45" s="707"/>
      <c r="B45" s="708"/>
      <c r="C45" s="717"/>
      <c r="D45" s="717"/>
      <c r="E45" s="717"/>
      <c r="F45" s="717"/>
      <c r="G45" s="717"/>
      <c r="H45" s="717"/>
      <c r="I45" s="717"/>
    </row>
    <row r="46" spans="1:9">
      <c r="A46" s="707"/>
      <c r="B46" s="708" t="s">
        <v>168</v>
      </c>
      <c r="C46" s="714">
        <f>IF(ROUND(SUM(D46:I46),3)&lt;&gt;ROUND(SUM(C43:C44),3),#VALUE!,SUM(D46:I46))</f>
        <v>5687562624.5604105</v>
      </c>
      <c r="D46" s="714">
        <f t="shared" ref="D46:I46" si="12">D43+D44</f>
        <v>2375997614</v>
      </c>
      <c r="E46" s="714">
        <f t="shared" si="12"/>
        <v>596483095</v>
      </c>
      <c r="F46" s="714">
        <f t="shared" si="12"/>
        <v>1425928125</v>
      </c>
      <c r="G46" s="714">
        <f t="shared" si="12"/>
        <v>1108671541</v>
      </c>
      <c r="H46" s="714">
        <f t="shared" si="12"/>
        <v>154884909.26666999</v>
      </c>
      <c r="I46" s="714">
        <f t="shared" si="12"/>
        <v>25597340.293740001</v>
      </c>
    </row>
    <row r="47" spans="1:9">
      <c r="A47" s="707"/>
      <c r="B47" s="708"/>
      <c r="C47" s="714"/>
      <c r="D47" s="714"/>
      <c r="E47" s="714"/>
      <c r="F47" s="714"/>
      <c r="G47" s="714"/>
      <c r="H47" s="714"/>
      <c r="I47" s="714"/>
    </row>
    <row r="48" spans="1:9">
      <c r="A48" s="707"/>
      <c r="B48" s="708" t="s">
        <v>169</v>
      </c>
      <c r="C48" s="714"/>
      <c r="D48" s="714">
        <f>D25</f>
        <v>2481909</v>
      </c>
      <c r="E48" s="714">
        <f>E25</f>
        <v>369248</v>
      </c>
      <c r="F48" s="714">
        <f>F25</f>
        <v>24164</v>
      </c>
      <c r="G48" s="714">
        <f>G25</f>
        <v>252</v>
      </c>
      <c r="H48" s="714">
        <f>H25</f>
        <v>29169.999999999996</v>
      </c>
      <c r="I48" s="714"/>
    </row>
    <row r="49" spans="1:14">
      <c r="A49" s="707"/>
      <c r="B49" s="708" t="s">
        <v>170</v>
      </c>
      <c r="C49" s="714"/>
      <c r="D49" s="714"/>
      <c r="E49" s="714"/>
      <c r="F49" s="714"/>
      <c r="G49" s="714"/>
      <c r="H49" s="714"/>
      <c r="I49" s="714"/>
    </row>
    <row r="50" spans="1:14">
      <c r="A50" s="707"/>
      <c r="B50" s="708" t="s">
        <v>171</v>
      </c>
      <c r="C50" s="714"/>
      <c r="D50" s="714"/>
      <c r="E50" s="714">
        <f>E27</f>
        <v>407826</v>
      </c>
      <c r="F50" s="714">
        <f>F27</f>
        <v>2838029.5333333332</v>
      </c>
      <c r="G50" s="714">
        <f>G27</f>
        <v>1293261</v>
      </c>
      <c r="H50" s="714"/>
      <c r="I50" s="714"/>
    </row>
    <row r="51" spans="1:14" s="88" customFormat="1">
      <c r="A51" s="707"/>
      <c r="B51" s="710"/>
      <c r="C51" s="719"/>
      <c r="D51" s="719"/>
      <c r="E51" s="719"/>
      <c r="F51" s="719"/>
      <c r="G51" s="719"/>
      <c r="H51" s="719"/>
      <c r="I51" s="719"/>
    </row>
    <row r="52" spans="1:14" s="88" customFormat="1">
      <c r="A52" s="707"/>
      <c r="B52" s="710"/>
      <c r="C52" s="719"/>
      <c r="D52" s="719"/>
      <c r="E52" s="719"/>
      <c r="F52" s="719"/>
      <c r="G52" s="719"/>
      <c r="H52" s="719"/>
      <c r="I52" s="719"/>
    </row>
    <row r="53" spans="1:14" s="88" customFormat="1" ht="27.75" customHeight="1">
      <c r="A53" s="707"/>
      <c r="B53" s="710"/>
      <c r="C53" s="719"/>
      <c r="D53" s="719"/>
      <c r="E53" s="719"/>
      <c r="F53" s="719"/>
      <c r="G53" s="719"/>
      <c r="H53" s="719"/>
      <c r="I53" s="719"/>
    </row>
    <row r="54" spans="1:14" s="88" customFormat="1">
      <c r="A54" s="707"/>
      <c r="B54" s="710"/>
      <c r="C54" s="719"/>
      <c r="D54" s="719"/>
      <c r="E54" s="719"/>
      <c r="F54" s="719"/>
      <c r="G54" s="719"/>
      <c r="H54" s="719"/>
      <c r="I54" s="719"/>
    </row>
    <row r="55" spans="1:14" s="88" customFormat="1">
      <c r="A55" s="707"/>
      <c r="B55" s="710"/>
      <c r="C55" s="719"/>
      <c r="D55" s="723">
        <v>1</v>
      </c>
      <c r="E55" s="723">
        <v>2</v>
      </c>
      <c r="F55" s="723">
        <v>3</v>
      </c>
      <c r="G55" s="723">
        <v>4</v>
      </c>
      <c r="H55" s="723">
        <v>5</v>
      </c>
      <c r="I55" s="723">
        <v>6</v>
      </c>
      <c r="L55" s="102">
        <f>SUMPRODUCT(--(ISBLANK(D55:I55)))</f>
        <v>0</v>
      </c>
    </row>
    <row r="56" spans="1:14" s="88" customFormat="1">
      <c r="A56" s="707" t="s">
        <v>146</v>
      </c>
      <c r="B56" s="710"/>
      <c r="C56" s="710" t="s">
        <v>95</v>
      </c>
      <c r="D56" s="710" t="s">
        <v>100</v>
      </c>
      <c r="E56" s="710" t="s">
        <v>102</v>
      </c>
      <c r="F56" s="710" t="s">
        <v>104</v>
      </c>
      <c r="G56" s="710" t="s">
        <v>106</v>
      </c>
      <c r="H56" s="710" t="s">
        <v>108</v>
      </c>
      <c r="I56" s="710" t="s">
        <v>110</v>
      </c>
      <c r="L56" s="87" t="str">
        <f ca="1">"selected in cell "&amp;CELL("address",Base1_Billing2)&amp;":"</f>
        <v>selected in cell $N$8:</v>
      </c>
    </row>
    <row r="57" spans="1:14" s="88" customFormat="1">
      <c r="A57" s="707" t="s">
        <v>147</v>
      </c>
      <c r="B57" s="710"/>
      <c r="C57" s="711" t="s">
        <v>86</v>
      </c>
      <c r="D57" s="711" t="s">
        <v>101</v>
      </c>
      <c r="E57" s="711" t="s">
        <v>103</v>
      </c>
      <c r="F57" s="711" t="s">
        <v>105</v>
      </c>
      <c r="G57" s="711" t="s">
        <v>107</v>
      </c>
      <c r="H57" s="711" t="s">
        <v>109</v>
      </c>
      <c r="I57" s="711" t="s">
        <v>111</v>
      </c>
      <c r="L57" s="99" t="str">
        <f>N10</f>
        <v>Base</v>
      </c>
    </row>
    <row r="58" spans="1:14" ht="12.75">
      <c r="A58" s="707"/>
      <c r="B58" s="712" t="s">
        <v>173</v>
      </c>
      <c r="C58" s="708"/>
      <c r="D58" s="708"/>
      <c r="E58" s="708"/>
      <c r="F58" s="708"/>
      <c r="G58" s="708"/>
      <c r="H58" s="708"/>
      <c r="I58" s="708"/>
      <c r="L58" s="87" t="str">
        <f>"Rates_"&amp;$L$57&amp;"_Present"</f>
        <v>Rates_Base_Present</v>
      </c>
      <c r="N58" s="103" t="s">
        <v>174</v>
      </c>
    </row>
    <row r="59" spans="1:14">
      <c r="A59" s="707" t="s">
        <v>650</v>
      </c>
      <c r="B59" s="708" t="s">
        <v>175</v>
      </c>
      <c r="C59" s="708"/>
      <c r="D59" s="724">
        <v>8.5</v>
      </c>
      <c r="E59" s="724">
        <v>18</v>
      </c>
      <c r="F59" s="724">
        <v>0</v>
      </c>
      <c r="G59" s="724">
        <v>0</v>
      </c>
      <c r="H59" s="724">
        <v>18</v>
      </c>
      <c r="I59" s="724">
        <v>0</v>
      </c>
      <c r="K59" s="104">
        <v>1</v>
      </c>
      <c r="L59" s="87" t="str">
        <f>"Rates_"&amp;$L$57&amp;"_Proposed"</f>
        <v>Rates_Base_Proposed</v>
      </c>
      <c r="N59" s="103" t="s">
        <v>176</v>
      </c>
    </row>
    <row r="60" spans="1:14">
      <c r="A60" s="707"/>
      <c r="B60" s="708" t="s">
        <v>177</v>
      </c>
      <c r="C60" s="708"/>
      <c r="D60" s="725"/>
      <c r="E60" s="708"/>
      <c r="F60" s="708"/>
      <c r="G60" s="708"/>
      <c r="H60" s="708"/>
      <c r="I60" s="708"/>
    </row>
    <row r="61" spans="1:14">
      <c r="A61" s="707"/>
      <c r="B61" s="708"/>
      <c r="C61" s="708"/>
      <c r="D61" s="708"/>
      <c r="E61" s="708"/>
      <c r="F61" s="708"/>
      <c r="G61" s="708"/>
      <c r="H61" s="708"/>
      <c r="I61" s="708"/>
    </row>
    <row r="62" spans="1:14">
      <c r="A62" s="707" t="s">
        <v>650</v>
      </c>
      <c r="B62" s="708" t="s">
        <v>178</v>
      </c>
      <c r="C62" s="708"/>
      <c r="D62" s="726">
        <v>7.39</v>
      </c>
      <c r="E62" s="726">
        <v>11.292999999999999</v>
      </c>
      <c r="F62" s="726">
        <v>7.0890000000000004</v>
      </c>
      <c r="G62" s="726">
        <v>5.5049999999999999</v>
      </c>
      <c r="H62" s="726">
        <v>9.5459999999999994</v>
      </c>
      <c r="I62" s="726">
        <v>0</v>
      </c>
      <c r="K62" s="104">
        <v>2</v>
      </c>
    </row>
    <row r="63" spans="1:14">
      <c r="A63" s="707" t="s">
        <v>650</v>
      </c>
      <c r="B63" s="708" t="s">
        <v>179</v>
      </c>
      <c r="C63" s="708"/>
      <c r="D63" s="726">
        <v>8.5980000000000008</v>
      </c>
      <c r="E63" s="726">
        <v>8.298</v>
      </c>
      <c r="F63" s="726">
        <v>6.34</v>
      </c>
      <c r="G63" s="726">
        <v>4.9530000000000003</v>
      </c>
      <c r="H63" s="726">
        <v>6.8179999999999996</v>
      </c>
      <c r="I63" s="726">
        <v>0</v>
      </c>
      <c r="K63" s="104">
        <v>3</v>
      </c>
    </row>
    <row r="64" spans="1:14">
      <c r="A64" s="707" t="s">
        <v>650</v>
      </c>
      <c r="B64" s="708" t="s">
        <v>180</v>
      </c>
      <c r="C64" s="708"/>
      <c r="D64" s="726">
        <v>10.08</v>
      </c>
      <c r="E64" s="726">
        <v>0</v>
      </c>
      <c r="F64" s="726">
        <v>0</v>
      </c>
      <c r="G64" s="726">
        <v>4.2350000000000003</v>
      </c>
      <c r="H64" s="726">
        <v>0</v>
      </c>
      <c r="I64" s="726">
        <v>0</v>
      </c>
      <c r="K64" s="104">
        <v>4</v>
      </c>
    </row>
    <row r="65" spans="1:12">
      <c r="A65" s="707"/>
      <c r="B65" s="708" t="s">
        <v>181</v>
      </c>
      <c r="C65" s="708"/>
      <c r="D65" s="727"/>
      <c r="E65" s="727"/>
      <c r="F65" s="727"/>
      <c r="G65" s="727"/>
      <c r="H65" s="727"/>
      <c r="I65" s="727"/>
      <c r="K65" s="104">
        <v>5</v>
      </c>
    </row>
    <row r="66" spans="1:12">
      <c r="A66" s="707"/>
      <c r="B66" s="708"/>
      <c r="C66" s="708"/>
      <c r="D66" s="727"/>
      <c r="E66" s="727"/>
      <c r="F66" s="727"/>
      <c r="G66" s="727"/>
      <c r="H66" s="727"/>
      <c r="I66" s="727"/>
    </row>
    <row r="67" spans="1:12">
      <c r="A67" s="707"/>
      <c r="B67" s="708" t="s">
        <v>182</v>
      </c>
      <c r="C67" s="708"/>
      <c r="D67" s="726">
        <f>(D124-D111)/D14*100</f>
        <v>7.9768682914151094</v>
      </c>
      <c r="E67" s="726">
        <f>(E124-E111-SUM(E117:E120))/E14*100</f>
        <v>10.375127939068888</v>
      </c>
      <c r="F67" s="726">
        <f>(F124-F111-SUM(F117:F120))/F14*100</f>
        <v>7.0038261219419624</v>
      </c>
      <c r="G67" s="726"/>
      <c r="H67" s="726">
        <f>(H124-H111-SUM(H117:H120))/H14*100</f>
        <v>7.7352513867859889</v>
      </c>
      <c r="I67" s="726"/>
    </row>
    <row r="68" spans="1:12">
      <c r="A68" s="707"/>
      <c r="B68" s="708"/>
      <c r="C68" s="708"/>
      <c r="D68" s="727"/>
      <c r="E68" s="727"/>
      <c r="F68" s="727"/>
      <c r="G68" s="727"/>
      <c r="H68" s="727"/>
      <c r="I68" s="727"/>
    </row>
    <row r="69" spans="1:12" s="105" customFormat="1">
      <c r="A69" s="707" t="s">
        <v>650</v>
      </c>
      <c r="B69" s="725" t="s">
        <v>183</v>
      </c>
      <c r="C69" s="725"/>
      <c r="D69" s="724">
        <v>0</v>
      </c>
      <c r="E69" s="724">
        <v>0</v>
      </c>
      <c r="F69" s="724">
        <v>500</v>
      </c>
      <c r="G69" s="724">
        <v>21000</v>
      </c>
      <c r="H69" s="724">
        <v>0</v>
      </c>
      <c r="I69" s="724">
        <v>0</v>
      </c>
      <c r="K69" s="104">
        <v>6</v>
      </c>
    </row>
    <row r="70" spans="1:12" s="105" customFormat="1">
      <c r="A70" s="707" t="s">
        <v>650</v>
      </c>
      <c r="B70" s="725" t="s">
        <v>184</v>
      </c>
      <c r="C70" s="725"/>
      <c r="D70" s="724">
        <v>0</v>
      </c>
      <c r="E70" s="724">
        <v>6</v>
      </c>
      <c r="F70" s="724">
        <v>6</v>
      </c>
      <c r="G70" s="724">
        <v>6</v>
      </c>
      <c r="H70" s="724">
        <v>0</v>
      </c>
      <c r="I70" s="724">
        <v>0</v>
      </c>
      <c r="K70" s="104">
        <v>7</v>
      </c>
    </row>
    <row r="71" spans="1:12">
      <c r="A71" s="707"/>
      <c r="B71" s="708"/>
      <c r="C71" s="708"/>
      <c r="D71" s="727"/>
      <c r="E71" s="727"/>
      <c r="F71" s="727"/>
      <c r="G71" s="727"/>
      <c r="H71" s="727"/>
      <c r="I71" s="727"/>
    </row>
    <row r="72" spans="1:12">
      <c r="A72" s="707"/>
      <c r="B72" s="708"/>
      <c r="C72" s="708"/>
      <c r="D72" s="727"/>
      <c r="E72" s="727"/>
      <c r="F72" s="727"/>
      <c r="G72" s="727"/>
      <c r="H72" s="727"/>
      <c r="I72" s="727"/>
    </row>
    <row r="73" spans="1:12">
      <c r="A73" s="707"/>
      <c r="B73" s="708"/>
      <c r="C73" s="708"/>
      <c r="D73" s="727"/>
      <c r="E73" s="727"/>
      <c r="F73" s="727"/>
      <c r="G73" s="727"/>
      <c r="H73" s="727"/>
      <c r="I73" s="727"/>
    </row>
    <row r="74" spans="1:12">
      <c r="A74" s="707"/>
      <c r="B74" s="708"/>
      <c r="C74" s="708"/>
      <c r="D74" s="727"/>
      <c r="E74" s="727"/>
      <c r="F74" s="727"/>
      <c r="G74" s="727"/>
      <c r="H74" s="727"/>
      <c r="I74" s="727"/>
    </row>
    <row r="75" spans="1:12" ht="12.75">
      <c r="A75" s="707"/>
      <c r="B75" s="712" t="s">
        <v>185</v>
      </c>
      <c r="C75" s="708"/>
      <c r="D75" s="708"/>
      <c r="E75" s="708"/>
      <c r="F75" s="708"/>
      <c r="G75" s="708"/>
      <c r="H75" s="708"/>
      <c r="I75" s="708"/>
    </row>
    <row r="76" spans="1:12">
      <c r="A76" s="707"/>
      <c r="B76" s="708" t="s">
        <v>175</v>
      </c>
      <c r="C76" s="708"/>
      <c r="D76" s="724">
        <v>8.5</v>
      </c>
      <c r="E76" s="724">
        <v>18</v>
      </c>
      <c r="F76" s="724"/>
      <c r="G76" s="724"/>
      <c r="H76" s="724">
        <v>18</v>
      </c>
      <c r="I76" s="724"/>
      <c r="K76" s="104">
        <v>1</v>
      </c>
      <c r="L76" s="107"/>
    </row>
    <row r="77" spans="1:12">
      <c r="A77" s="707"/>
      <c r="B77" s="708" t="s">
        <v>177</v>
      </c>
      <c r="C77" s="708"/>
      <c r="D77" s="725"/>
      <c r="E77" s="708"/>
      <c r="F77" s="708"/>
      <c r="G77" s="708"/>
      <c r="H77" s="708"/>
      <c r="I77" s="708"/>
    </row>
    <row r="78" spans="1:12">
      <c r="A78" s="707"/>
      <c r="B78" s="708"/>
      <c r="C78" s="708"/>
      <c r="D78" s="708"/>
      <c r="E78" s="708"/>
      <c r="F78" s="708"/>
      <c r="G78" s="708"/>
      <c r="H78" s="708"/>
      <c r="I78" s="708"/>
    </row>
    <row r="79" spans="1:12">
      <c r="A79" s="707"/>
      <c r="B79" s="708" t="s">
        <v>178</v>
      </c>
      <c r="C79" s="728"/>
      <c r="D79" s="726">
        <v>7.39</v>
      </c>
      <c r="E79" s="726">
        <v>11.292999999999999</v>
      </c>
      <c r="F79" s="726">
        <v>7.0890000000000004</v>
      </c>
      <c r="G79" s="726">
        <v>5.5049999999999999</v>
      </c>
      <c r="H79" s="726">
        <v>9.5459999999999994</v>
      </c>
      <c r="I79" s="726"/>
      <c r="K79" s="104">
        <v>2</v>
      </c>
    </row>
    <row r="80" spans="1:12">
      <c r="A80" s="707"/>
      <c r="B80" s="708" t="s">
        <v>179</v>
      </c>
      <c r="C80" s="728"/>
      <c r="D80" s="726">
        <v>8.5980000000000008</v>
      </c>
      <c r="E80" s="726">
        <v>8.298</v>
      </c>
      <c r="F80" s="726">
        <v>6.34</v>
      </c>
      <c r="G80" s="726">
        <v>4.9530000000000003</v>
      </c>
      <c r="H80" s="726">
        <v>6.8179999999999996</v>
      </c>
      <c r="I80" s="726"/>
      <c r="K80" s="104">
        <v>3</v>
      </c>
    </row>
    <row r="81" spans="1:11">
      <c r="A81" s="707"/>
      <c r="B81" s="708" t="s">
        <v>180</v>
      </c>
      <c r="C81" s="728"/>
      <c r="D81" s="726">
        <v>10.08</v>
      </c>
      <c r="E81" s="726"/>
      <c r="F81" s="726"/>
      <c r="G81" s="726">
        <v>4.2350000000000003</v>
      </c>
      <c r="H81" s="726"/>
      <c r="I81" s="726"/>
      <c r="K81" s="104">
        <v>4</v>
      </c>
    </row>
    <row r="82" spans="1:11">
      <c r="A82" s="707"/>
      <c r="B82" s="708" t="s">
        <v>181</v>
      </c>
      <c r="C82" s="708"/>
      <c r="D82" s="727"/>
      <c r="E82" s="727"/>
      <c r="F82" s="727"/>
      <c r="G82" s="727"/>
      <c r="H82" s="727"/>
      <c r="I82" s="727"/>
      <c r="K82" s="104">
        <v>5</v>
      </c>
    </row>
    <row r="83" spans="1:11">
      <c r="A83" s="707"/>
      <c r="B83" s="708"/>
      <c r="C83" s="708"/>
      <c r="D83" s="727"/>
      <c r="E83" s="727"/>
      <c r="F83" s="727"/>
      <c r="G83" s="727"/>
      <c r="H83" s="727"/>
      <c r="I83" s="727"/>
    </row>
    <row r="84" spans="1:11">
      <c r="A84" s="707"/>
      <c r="B84" s="708" t="s">
        <v>182</v>
      </c>
      <c r="C84" s="708"/>
      <c r="D84" s="726">
        <f>(D177-D164)/D37*100</f>
        <v>7.9768682914151094</v>
      </c>
      <c r="E84" s="726">
        <f>(E177-E164-SUM(E170:E173))/E37*100</f>
        <v>10.375127939068888</v>
      </c>
      <c r="F84" s="726">
        <f>(F177-F164-SUM(F170:F173))/F37*100</f>
        <v>7.0038261219419624</v>
      </c>
      <c r="G84" s="726"/>
      <c r="H84" s="726">
        <f>(H177-H164-SUM(H170:H173))/H37*100</f>
        <v>7.7352513867859889</v>
      </c>
      <c r="I84" s="726"/>
    </row>
    <row r="85" spans="1:11">
      <c r="A85" s="707"/>
      <c r="B85" s="708"/>
      <c r="C85" s="708"/>
      <c r="D85" s="727"/>
      <c r="E85" s="727"/>
      <c r="F85" s="727"/>
      <c r="G85" s="727"/>
      <c r="H85" s="727"/>
      <c r="I85" s="727"/>
    </row>
    <row r="86" spans="1:11" s="105" customFormat="1">
      <c r="A86" s="707"/>
      <c r="B86" s="725" t="s">
        <v>183</v>
      </c>
      <c r="C86" s="725"/>
      <c r="D86" s="724"/>
      <c r="E86" s="724"/>
      <c r="F86" s="724">
        <v>500</v>
      </c>
      <c r="G86" s="724">
        <v>21000</v>
      </c>
      <c r="H86" s="724"/>
      <c r="I86" s="724"/>
      <c r="K86" s="104">
        <v>6</v>
      </c>
    </row>
    <row r="87" spans="1:11" s="105" customFormat="1">
      <c r="A87" s="707"/>
      <c r="B87" s="725" t="s">
        <v>184</v>
      </c>
      <c r="C87" s="725"/>
      <c r="D87" s="724"/>
      <c r="E87" s="724">
        <v>6</v>
      </c>
      <c r="F87" s="724">
        <v>6</v>
      </c>
      <c r="G87" s="724">
        <v>6</v>
      </c>
      <c r="H87" s="724"/>
      <c r="I87" s="724"/>
      <c r="K87" s="104">
        <v>7</v>
      </c>
    </row>
    <row r="88" spans="1:11" s="105" customFormat="1">
      <c r="A88" s="707"/>
      <c r="B88" s="725"/>
      <c r="C88" s="725"/>
      <c r="D88" s="708"/>
      <c r="E88" s="725"/>
      <c r="F88" s="725"/>
      <c r="G88" s="725"/>
      <c r="H88" s="725"/>
      <c r="I88" s="725"/>
    </row>
    <row r="89" spans="1:11" s="105" customFormat="1">
      <c r="A89" s="707"/>
      <c r="B89" s="725"/>
      <c r="C89" s="725"/>
      <c r="D89" s="708"/>
      <c r="E89" s="725"/>
      <c r="F89" s="725"/>
      <c r="G89" s="725"/>
      <c r="H89" s="725"/>
      <c r="I89" s="725"/>
    </row>
    <row r="90" spans="1:11" s="105" customFormat="1">
      <c r="A90" s="707"/>
      <c r="B90" s="725"/>
      <c r="C90" s="725"/>
      <c r="D90" s="708"/>
      <c r="E90" s="725"/>
      <c r="F90" s="725"/>
      <c r="G90" s="725"/>
      <c r="H90" s="725"/>
      <c r="I90" s="725"/>
    </row>
    <row r="91" spans="1:11" s="105" customFormat="1">
      <c r="A91" s="707"/>
      <c r="B91" s="725"/>
      <c r="C91" s="725"/>
      <c r="D91" s="708"/>
      <c r="E91" s="725"/>
      <c r="F91" s="725"/>
      <c r="G91" s="725"/>
      <c r="H91" s="725"/>
      <c r="I91" s="725"/>
    </row>
    <row r="92" spans="1:11" s="105" customFormat="1">
      <c r="A92" s="707"/>
      <c r="B92" s="725"/>
      <c r="C92" s="725"/>
      <c r="D92" s="708"/>
      <c r="E92" s="725"/>
      <c r="F92" s="725"/>
      <c r="G92" s="725"/>
      <c r="H92" s="725"/>
      <c r="I92" s="725"/>
    </row>
    <row r="93" spans="1:11" s="105" customFormat="1">
      <c r="A93" s="707"/>
      <c r="B93" s="725"/>
      <c r="C93" s="725"/>
      <c r="D93" s="708"/>
      <c r="E93" s="725"/>
      <c r="F93" s="725"/>
      <c r="G93" s="725"/>
      <c r="H93" s="725"/>
      <c r="I93" s="725"/>
    </row>
    <row r="94" spans="1:11" s="105" customFormat="1">
      <c r="A94" s="707"/>
      <c r="B94" s="725"/>
      <c r="C94" s="725"/>
      <c r="D94" s="708"/>
      <c r="E94" s="725"/>
      <c r="F94" s="725"/>
      <c r="G94" s="725"/>
      <c r="H94" s="725"/>
      <c r="I94" s="725"/>
    </row>
    <row r="95" spans="1:11" s="105" customFormat="1" ht="10.15" customHeight="1">
      <c r="A95" s="707"/>
      <c r="B95" s="934" t="str">
        <f>CHOOSE(Base1_Billing2,"Note: Rates do not include BPA Residential Exchange Program Schedule 59, Public Purpose Rider Adjustments Schedules 89, 91 and 92 or ERM and REC Adjustment Schedules 93 and 98.","")</f>
        <v>Note: Rates do not include BPA Residential Exchange Program Schedule 59, Public Purpose Rider Adjustments Schedules 89, 91 and 92 or ERM and REC Adjustment Schedules 93 and 98.</v>
      </c>
      <c r="C95" s="935"/>
      <c r="D95" s="935"/>
      <c r="E95" s="935"/>
      <c r="F95" s="935"/>
      <c r="G95" s="935"/>
      <c r="H95" s="935"/>
      <c r="I95" s="725"/>
    </row>
    <row r="96" spans="1:11" s="105" customFormat="1" ht="10.15" customHeight="1">
      <c r="A96" s="707"/>
      <c r="B96" s="935"/>
      <c r="C96" s="935"/>
      <c r="D96" s="935"/>
      <c r="E96" s="935"/>
      <c r="F96" s="935"/>
      <c r="G96" s="935"/>
      <c r="H96" s="935"/>
      <c r="I96" s="725"/>
    </row>
    <row r="97" spans="1:9" s="105" customFormat="1">
      <c r="A97" s="707"/>
      <c r="B97" s="725"/>
      <c r="C97" s="725"/>
      <c r="D97" s="708"/>
      <c r="E97" s="725"/>
      <c r="F97" s="725"/>
      <c r="G97" s="725"/>
      <c r="H97" s="725"/>
      <c r="I97" s="725"/>
    </row>
    <row r="98" spans="1:9" s="105" customFormat="1">
      <c r="A98" s="707"/>
      <c r="B98" s="725"/>
      <c r="C98" s="725"/>
      <c r="D98" s="708"/>
      <c r="E98" s="725"/>
      <c r="F98" s="725"/>
      <c r="G98" s="725"/>
      <c r="H98" s="725"/>
      <c r="I98" s="725"/>
    </row>
    <row r="99" spans="1:9" s="105" customFormat="1">
      <c r="A99" s="707"/>
      <c r="B99" s="725"/>
      <c r="C99" s="725"/>
      <c r="D99" s="708"/>
      <c r="E99" s="725"/>
      <c r="F99" s="725"/>
      <c r="G99" s="725"/>
      <c r="H99" s="725"/>
      <c r="I99" s="725"/>
    </row>
    <row r="100" spans="1:9" s="105" customFormat="1">
      <c r="A100" s="707"/>
      <c r="B100" s="725"/>
      <c r="C100" s="725"/>
      <c r="D100" s="708"/>
      <c r="E100" s="725"/>
      <c r="F100" s="725"/>
      <c r="G100" s="725"/>
      <c r="H100" s="725"/>
      <c r="I100" s="725"/>
    </row>
    <row r="101" spans="1:9" s="105" customFormat="1">
      <c r="A101" s="707"/>
      <c r="B101" s="725"/>
      <c r="C101" s="725"/>
      <c r="D101" s="708"/>
      <c r="E101" s="725"/>
      <c r="F101" s="725"/>
      <c r="G101" s="725"/>
      <c r="H101" s="725"/>
      <c r="I101" s="725"/>
    </row>
    <row r="102" spans="1:9" s="105" customFormat="1">
      <c r="A102" s="707"/>
      <c r="B102" s="725"/>
      <c r="C102" s="725"/>
      <c r="D102" s="708"/>
      <c r="E102" s="725"/>
      <c r="F102" s="725"/>
      <c r="G102" s="725"/>
      <c r="H102" s="725"/>
      <c r="I102" s="725"/>
    </row>
    <row r="103" spans="1:9" s="105" customFormat="1">
      <c r="A103" s="707"/>
      <c r="B103" s="725"/>
      <c r="C103" s="725"/>
      <c r="D103" s="708"/>
      <c r="E103" s="725"/>
      <c r="F103" s="725"/>
      <c r="G103" s="725"/>
      <c r="H103" s="725"/>
      <c r="I103" s="725"/>
    </row>
    <row r="104" spans="1:9" s="105" customFormat="1">
      <c r="A104" s="707"/>
      <c r="B104" s="725"/>
      <c r="C104" s="725"/>
      <c r="D104" s="708"/>
      <c r="E104" s="725"/>
      <c r="F104" s="725"/>
      <c r="G104" s="725"/>
      <c r="H104" s="725"/>
      <c r="I104" s="725"/>
    </row>
    <row r="105" spans="1:9" s="105" customFormat="1">
      <c r="A105" s="707"/>
      <c r="B105" s="725"/>
      <c r="C105" s="725"/>
      <c r="D105" s="708"/>
      <c r="E105" s="725"/>
      <c r="F105" s="725"/>
      <c r="G105" s="725"/>
      <c r="H105" s="725"/>
      <c r="I105" s="725"/>
    </row>
    <row r="106" spans="1:9" s="105" customFormat="1">
      <c r="A106" s="707"/>
      <c r="B106" s="725"/>
      <c r="C106" s="725"/>
      <c r="D106" s="708"/>
      <c r="E106" s="725"/>
      <c r="F106" s="725"/>
      <c r="G106" s="725"/>
      <c r="H106" s="725"/>
      <c r="I106" s="725"/>
    </row>
    <row r="107" spans="1:9" s="88" customFormat="1">
      <c r="A107" s="707" t="s">
        <v>146</v>
      </c>
      <c r="B107" s="710"/>
      <c r="C107" s="710" t="s">
        <v>95</v>
      </c>
      <c r="D107" s="710" t="s">
        <v>100</v>
      </c>
      <c r="E107" s="710" t="s">
        <v>102</v>
      </c>
      <c r="F107" s="710" t="s">
        <v>104</v>
      </c>
      <c r="G107" s="710" t="s">
        <v>106</v>
      </c>
      <c r="H107" s="710" t="s">
        <v>108</v>
      </c>
      <c r="I107" s="710" t="s">
        <v>110</v>
      </c>
    </row>
    <row r="108" spans="1:9" s="88" customFormat="1">
      <c r="A108" s="707" t="s">
        <v>147</v>
      </c>
      <c r="B108" s="710"/>
      <c r="C108" s="711" t="s">
        <v>86</v>
      </c>
      <c r="D108" s="711" t="s">
        <v>101</v>
      </c>
      <c r="E108" s="711" t="s">
        <v>103</v>
      </c>
      <c r="F108" s="711" t="s">
        <v>105</v>
      </c>
      <c r="G108" s="711" t="s">
        <v>107</v>
      </c>
      <c r="H108" s="711" t="s">
        <v>109</v>
      </c>
      <c r="I108" s="711" t="s">
        <v>111</v>
      </c>
    </row>
    <row r="109" spans="1:9" ht="12.75">
      <c r="A109" s="707"/>
      <c r="B109" s="712" t="s">
        <v>186</v>
      </c>
      <c r="C109" s="729"/>
      <c r="D109" s="729"/>
      <c r="E109" s="729"/>
      <c r="F109" s="729"/>
      <c r="G109" s="729"/>
      <c r="H109" s="729"/>
      <c r="I109" s="729"/>
    </row>
    <row r="110" spans="1:9">
      <c r="A110" s="707"/>
      <c r="B110" s="708" t="str">
        <f>UPPER(CHOOSE(Base1_Billing2,$N$9,$N$10))&amp;" REVENUE"</f>
        <v>BASE TARIFF REVENUE</v>
      </c>
      <c r="C110" s="729"/>
      <c r="D110" s="729"/>
      <c r="E110" s="729"/>
      <c r="F110" s="729"/>
      <c r="G110" s="729"/>
      <c r="H110" s="729"/>
      <c r="I110" s="729"/>
    </row>
    <row r="111" spans="1:9">
      <c r="A111" s="707"/>
      <c r="B111" s="730" t="s">
        <v>175</v>
      </c>
      <c r="C111" s="729">
        <f t="shared" ref="C111:C122" si="13">SUM(D111:I111)</f>
        <v>28267750.5</v>
      </c>
      <c r="D111" s="729">
        <f>D25*D59</f>
        <v>21096226.5</v>
      </c>
      <c r="E111" s="729">
        <f>E25*E59</f>
        <v>6646464</v>
      </c>
      <c r="F111" s="729"/>
      <c r="G111" s="729"/>
      <c r="H111" s="729">
        <f>H25*H59</f>
        <v>525059.99999999988</v>
      </c>
      <c r="I111" s="729"/>
    </row>
    <row r="112" spans="1:9">
      <c r="A112" s="707"/>
      <c r="B112" s="730" t="s">
        <v>177</v>
      </c>
      <c r="C112" s="714">
        <f t="shared" si="13"/>
        <v>0</v>
      </c>
      <c r="D112" s="714"/>
      <c r="E112" s="714"/>
      <c r="F112" s="714"/>
      <c r="G112" s="714"/>
      <c r="H112" s="714"/>
      <c r="I112" s="714"/>
    </row>
    <row r="113" spans="1:9">
      <c r="A113" s="707"/>
      <c r="B113" s="730" t="s">
        <v>155</v>
      </c>
      <c r="C113" s="714">
        <f t="shared" si="13"/>
        <v>266168521.53</v>
      </c>
      <c r="D113" s="714">
        <f t="shared" ref="D113:H115" si="14">ROUND(D8*D62/100,2)</f>
        <v>115934258.92</v>
      </c>
      <c r="E113" s="714">
        <f t="shared" si="14"/>
        <v>47118398.759999998</v>
      </c>
      <c r="F113" s="714">
        <f t="shared" si="14"/>
        <v>91213586.450000003</v>
      </c>
      <c r="G113" s="714">
        <f t="shared" si="14"/>
        <v>6936300</v>
      </c>
      <c r="H113" s="714">
        <f t="shared" si="14"/>
        <v>4965977.4000000004</v>
      </c>
      <c r="I113" s="714"/>
    </row>
    <row r="114" spans="1:9">
      <c r="A114" s="707"/>
      <c r="B114" s="730" t="s">
        <v>157</v>
      </c>
      <c r="C114" s="714">
        <f t="shared" si="13"/>
        <v>104070509.05</v>
      </c>
      <c r="D114" s="714">
        <f t="shared" si="14"/>
        <v>43158959.670000002</v>
      </c>
      <c r="E114" s="714">
        <f t="shared" si="14"/>
        <v>15299369.32</v>
      </c>
      <c r="F114" s="714">
        <f t="shared" si="14"/>
        <v>10466847.58</v>
      </c>
      <c r="G114" s="714">
        <f t="shared" si="14"/>
        <v>28143526.239999998</v>
      </c>
      <c r="H114" s="714">
        <f t="shared" si="14"/>
        <v>7001806.2400000002</v>
      </c>
      <c r="I114" s="714"/>
    </row>
    <row r="115" spans="1:9">
      <c r="A115" s="707"/>
      <c r="B115" s="730" t="s">
        <v>160</v>
      </c>
      <c r="C115" s="714">
        <f t="shared" si="13"/>
        <v>46735671.129999995</v>
      </c>
      <c r="D115" s="714">
        <f>ROUND(D10*D64/100,2)</f>
        <v>29183297.5</v>
      </c>
      <c r="E115" s="714"/>
      <c r="F115" s="714"/>
      <c r="G115" s="714">
        <f t="shared" si="14"/>
        <v>17552373.629999999</v>
      </c>
      <c r="H115" s="714"/>
      <c r="I115" s="714"/>
    </row>
    <row r="116" spans="1:9">
      <c r="A116" s="707"/>
      <c r="B116" s="730" t="s">
        <v>161</v>
      </c>
      <c r="C116" s="714">
        <f t="shared" si="13"/>
        <v>0</v>
      </c>
      <c r="D116" s="714"/>
      <c r="E116" s="714"/>
      <c r="F116" s="714"/>
      <c r="G116" s="714"/>
      <c r="H116" s="714"/>
      <c r="I116" s="714"/>
    </row>
    <row r="117" spans="1:9">
      <c r="A117" s="707"/>
      <c r="B117" s="730" t="s">
        <v>183</v>
      </c>
      <c r="C117" s="714">
        <f t="shared" si="13"/>
        <v>17374000</v>
      </c>
      <c r="D117" s="714"/>
      <c r="E117" s="714"/>
      <c r="F117" s="714">
        <f>F25*F69</f>
        <v>12082000</v>
      </c>
      <c r="G117" s="714">
        <f>G25*G69</f>
        <v>5292000</v>
      </c>
      <c r="H117" s="714"/>
      <c r="I117" s="714"/>
    </row>
    <row r="118" spans="1:9">
      <c r="A118" s="707"/>
      <c r="B118" s="730" t="s">
        <v>184</v>
      </c>
      <c r="C118" s="714">
        <f t="shared" si="13"/>
        <v>27234699.199999999</v>
      </c>
      <c r="D118" s="714"/>
      <c r="E118" s="714">
        <f>E27*E70</f>
        <v>2446956</v>
      </c>
      <c r="F118" s="714">
        <f>F27*F70</f>
        <v>17028177.199999999</v>
      </c>
      <c r="G118" s="714">
        <f>G27*G70</f>
        <v>7759566</v>
      </c>
      <c r="H118" s="714"/>
      <c r="I118" s="714"/>
    </row>
    <row r="119" spans="1:9">
      <c r="A119" s="731" t="s">
        <v>651</v>
      </c>
      <c r="B119" s="730" t="s">
        <v>187</v>
      </c>
      <c r="C119" s="714">
        <f t="shared" si="13"/>
        <v>140172.91</v>
      </c>
      <c r="D119" s="714"/>
      <c r="E119" s="475">
        <v>6915</v>
      </c>
      <c r="F119" s="475">
        <v>128639.9</v>
      </c>
      <c r="G119" s="475"/>
      <c r="H119" s="475">
        <v>4618.01</v>
      </c>
      <c r="I119" s="480"/>
    </row>
    <row r="120" spans="1:9">
      <c r="A120" s="731" t="s">
        <v>652</v>
      </c>
      <c r="B120" s="730" t="s">
        <v>188</v>
      </c>
      <c r="C120" s="714">
        <f t="shared" si="13"/>
        <v>-1303818.3999999999</v>
      </c>
      <c r="D120" s="714"/>
      <c r="E120" s="480"/>
      <c r="F120" s="732">
        <v>-70490</v>
      </c>
      <c r="G120" s="480">
        <v>-1233328.3999999999</v>
      </c>
      <c r="H120" s="480"/>
      <c r="I120" s="480"/>
    </row>
    <row r="121" spans="1:9" ht="12.75">
      <c r="A121" s="733"/>
      <c r="B121" s="730" t="s">
        <v>189</v>
      </c>
      <c r="C121" s="714">
        <f t="shared" si="13"/>
        <v>0</v>
      </c>
      <c r="D121" s="714"/>
      <c r="E121" s="480"/>
      <c r="F121" s="480"/>
      <c r="G121" s="480"/>
      <c r="H121" s="480"/>
      <c r="I121" s="480"/>
    </row>
    <row r="122" spans="1:9">
      <c r="A122" s="731" t="s">
        <v>190</v>
      </c>
      <c r="B122" s="730" t="s">
        <v>191</v>
      </c>
      <c r="C122" s="715">
        <f t="shared" si="13"/>
        <v>6952992.1202784004</v>
      </c>
      <c r="D122" s="734"/>
      <c r="E122" s="735"/>
      <c r="F122" s="735"/>
      <c r="G122" s="735"/>
      <c r="H122" s="735"/>
      <c r="I122" s="479">
        <v>6952992.1202784004</v>
      </c>
    </row>
    <row r="123" spans="1:9">
      <c r="A123" s="707"/>
      <c r="B123" s="708"/>
      <c r="C123" s="729"/>
      <c r="D123" s="729"/>
      <c r="E123" s="729"/>
      <c r="F123" s="729"/>
      <c r="G123" s="729"/>
      <c r="H123" s="729"/>
      <c r="I123" s="729"/>
    </row>
    <row r="124" spans="1:9">
      <c r="A124" s="707"/>
      <c r="B124" s="708" t="s">
        <v>163</v>
      </c>
      <c r="C124" s="729">
        <f>IF(ROUND(SUM(C111:C122),3)&lt;&gt;ROUND(SUM(D124:I124),3),#VALUE!,SUM(D124:I124))</f>
        <v>495640498.04027838</v>
      </c>
      <c r="D124" s="729">
        <f t="shared" ref="D124:I124" si="15">SUM(D111:D122)</f>
        <v>209372742.59000003</v>
      </c>
      <c r="E124" s="729">
        <f t="shared" si="15"/>
        <v>71518103.079999998</v>
      </c>
      <c r="F124" s="729">
        <f t="shared" si="15"/>
        <v>130848761.13000001</v>
      </c>
      <c r="G124" s="729">
        <f t="shared" si="15"/>
        <v>64450437.469999991</v>
      </c>
      <c r="H124" s="729">
        <f t="shared" si="15"/>
        <v>12497461.65</v>
      </c>
      <c r="I124" s="729">
        <f t="shared" si="15"/>
        <v>6952992.1202784004</v>
      </c>
    </row>
    <row r="125" spans="1:9">
      <c r="A125" s="707"/>
      <c r="B125" s="95"/>
      <c r="C125" s="715">
        <f>SUM(D125:I125)</f>
        <v>0</v>
      </c>
      <c r="D125" s="715">
        <f>ROUND(D15*D67/100,2)</f>
        <v>0</v>
      </c>
      <c r="E125" s="715">
        <f>ROUND(E15*E67/100,2)</f>
        <v>0</v>
      </c>
      <c r="F125" s="715">
        <f>ROUND(F15*F67/100,2)</f>
        <v>0</v>
      </c>
      <c r="G125" s="715">
        <f>ROUND(G15*G63/100,2)</f>
        <v>0</v>
      </c>
      <c r="H125" s="715">
        <f>ROUND(H15*H67/100,2)</f>
        <v>0</v>
      </c>
      <c r="I125" s="715"/>
    </row>
    <row r="126" spans="1:9">
      <c r="A126" s="707"/>
      <c r="B126" s="708"/>
      <c r="C126" s="729"/>
      <c r="D126" s="729"/>
      <c r="E126" s="729"/>
      <c r="F126" s="729"/>
      <c r="G126" s="729"/>
      <c r="H126" s="729"/>
      <c r="I126" s="729"/>
    </row>
    <row r="127" spans="1:9">
      <c r="A127" s="707"/>
      <c r="B127" s="708" t="s">
        <v>163</v>
      </c>
      <c r="C127" s="729">
        <f>SUM(D127:I127)</f>
        <v>495640498.04027838</v>
      </c>
      <c r="D127" s="729">
        <f t="shared" ref="D127:I127" si="16">D124+D125</f>
        <v>209372742.59000003</v>
      </c>
      <c r="E127" s="729">
        <f t="shared" si="16"/>
        <v>71518103.079999998</v>
      </c>
      <c r="F127" s="729">
        <f t="shared" si="16"/>
        <v>130848761.13000001</v>
      </c>
      <c r="G127" s="729">
        <f t="shared" si="16"/>
        <v>64450437.469999991</v>
      </c>
      <c r="H127" s="729">
        <f t="shared" si="16"/>
        <v>12497461.65</v>
      </c>
      <c r="I127" s="729">
        <f t="shared" si="16"/>
        <v>6952992.1202784004</v>
      </c>
    </row>
    <row r="128" spans="1:9">
      <c r="A128" s="707"/>
      <c r="B128" s="708" t="s">
        <v>192</v>
      </c>
      <c r="C128" s="715">
        <f>SUM(D128:I128)</f>
        <v>0</v>
      </c>
      <c r="D128" s="715">
        <f t="shared" ref="D128:I128" si="17">ROUND(D18*D67/100,2)</f>
        <v>0</v>
      </c>
      <c r="E128" s="715">
        <f t="shared" si="17"/>
        <v>0</v>
      </c>
      <c r="F128" s="715">
        <f t="shared" si="17"/>
        <v>0</v>
      </c>
      <c r="G128" s="715">
        <f t="shared" si="17"/>
        <v>0</v>
      </c>
      <c r="H128" s="715">
        <f t="shared" si="17"/>
        <v>0</v>
      </c>
      <c r="I128" s="715">
        <f t="shared" si="17"/>
        <v>0</v>
      </c>
    </row>
    <row r="129" spans="1:16">
      <c r="A129" s="707"/>
      <c r="B129" s="708"/>
      <c r="C129" s="729"/>
      <c r="D129" s="729"/>
      <c r="E129" s="729"/>
      <c r="F129" s="729"/>
      <c r="G129" s="729"/>
      <c r="H129" s="729"/>
      <c r="I129" s="729"/>
    </row>
    <row r="130" spans="1:16">
      <c r="A130" s="707"/>
      <c r="B130" s="708" t="str">
        <f>"TOTAL "&amp;UPPER(CHOOSE(Base1_Billing2,$N$9,$N$10))&amp;" REVENUE"</f>
        <v>TOTAL BASE TARIFF REVENUE</v>
      </c>
      <c r="C130" s="729">
        <f>IF(ROUND(SUM(D130:I130),3)&lt;&gt;ROUND(SUM(C127:C128),3),#VALUE!,SUM(D130:I130))</f>
        <v>495640498.04027838</v>
      </c>
      <c r="D130" s="729">
        <f t="shared" ref="D130:I130" si="18">D127+D128</f>
        <v>209372742.59000003</v>
      </c>
      <c r="E130" s="729">
        <f t="shared" si="18"/>
        <v>71518103.079999998</v>
      </c>
      <c r="F130" s="729">
        <f t="shared" si="18"/>
        <v>130848761.13000001</v>
      </c>
      <c r="G130" s="729">
        <f t="shared" si="18"/>
        <v>64450437.469999991</v>
      </c>
      <c r="H130" s="729">
        <f t="shared" si="18"/>
        <v>12497461.65</v>
      </c>
      <c r="I130" s="729">
        <f t="shared" si="18"/>
        <v>6952992.1202784004</v>
      </c>
    </row>
    <row r="131" spans="1:16">
      <c r="A131" s="707"/>
      <c r="B131" s="708"/>
      <c r="C131" s="729"/>
      <c r="D131" s="729"/>
      <c r="E131" s="729"/>
      <c r="F131" s="729"/>
      <c r="G131" s="729"/>
      <c r="H131" s="729"/>
      <c r="I131" s="729"/>
    </row>
    <row r="132" spans="1:16">
      <c r="A132" s="707"/>
      <c r="B132" s="708" t="s">
        <v>193</v>
      </c>
      <c r="C132" s="729"/>
      <c r="D132" s="729"/>
      <c r="E132" s="729"/>
      <c r="F132" s="729"/>
      <c r="G132" s="729"/>
      <c r="H132" s="729"/>
      <c r="I132" s="729"/>
    </row>
    <row r="133" spans="1:16">
      <c r="A133" s="707"/>
      <c r="B133" s="736" t="s">
        <v>194</v>
      </c>
      <c r="C133" s="729"/>
      <c r="D133" s="729"/>
      <c r="E133" s="729"/>
      <c r="F133" s="729"/>
      <c r="G133" s="729"/>
      <c r="H133" s="729"/>
      <c r="I133" s="729"/>
      <c r="L133" s="737">
        <f>D8/$D$14</f>
        <v>0.66466623888799858</v>
      </c>
      <c r="M133" s="708"/>
      <c r="N133" s="96">
        <f>$D$134*L133</f>
        <v>-14023505.838482682</v>
      </c>
      <c r="O133" s="708"/>
      <c r="P133" s="738">
        <f>N133*(D62/100)</f>
        <v>-1036337.0814638701</v>
      </c>
    </row>
    <row r="134" spans="1:16" s="92" customFormat="1">
      <c r="A134" s="739" t="s">
        <v>653</v>
      </c>
      <c r="B134" s="740" t="s">
        <v>195</v>
      </c>
      <c r="C134" s="714">
        <f>SUM(D134:I134)</f>
        <v>-42358120</v>
      </c>
      <c r="D134" s="475">
        <v>-21098568</v>
      </c>
      <c r="E134" s="475">
        <v>-5656561</v>
      </c>
      <c r="F134" s="475">
        <v>-15770451</v>
      </c>
      <c r="G134" s="475"/>
      <c r="H134" s="475">
        <v>167460</v>
      </c>
      <c r="I134" s="741"/>
      <c r="L134" s="737">
        <f>D9/$D$14</f>
        <v>0.21267174510161982</v>
      </c>
      <c r="M134" s="708"/>
      <c r="N134" s="96">
        <f>$D$134*L134</f>
        <v>-4487069.2757051922</v>
      </c>
      <c r="O134" s="708"/>
      <c r="P134" s="738">
        <f>N134*(D63/100)</f>
        <v>-385798.21632513241</v>
      </c>
    </row>
    <row r="135" spans="1:16" s="106" customFormat="1">
      <c r="A135" s="731" t="s">
        <v>196</v>
      </c>
      <c r="B135" s="742" t="s">
        <v>197</v>
      </c>
      <c r="C135" s="727"/>
      <c r="D135" s="727">
        <f>D67</f>
        <v>7.9768682914151094</v>
      </c>
      <c r="E135" s="727">
        <f>E67</f>
        <v>10.375127939068888</v>
      </c>
      <c r="F135" s="727">
        <f>F67</f>
        <v>7.0038261219419624</v>
      </c>
      <c r="G135" s="727"/>
      <c r="H135" s="743">
        <f>H67</f>
        <v>7.7352513867859889</v>
      </c>
      <c r="I135" s="727"/>
      <c r="L135" s="744">
        <f>D10/$D$14</f>
        <v>0.1226620160103816</v>
      </c>
      <c r="M135" s="714"/>
      <c r="N135" s="745">
        <f>$D$134*L135</f>
        <v>-2587992.8858121247</v>
      </c>
      <c r="O135" s="722"/>
      <c r="P135" s="746">
        <f>N135*(D64/100)</f>
        <v>-260869.68288986216</v>
      </c>
    </row>
    <row r="136" spans="1:16" s="94" customFormat="1">
      <c r="A136" s="731"/>
      <c r="B136" s="747" t="s">
        <v>198</v>
      </c>
      <c r="C136" s="729">
        <f>SUM(D136:I136)</f>
        <v>-3361461.9399999995</v>
      </c>
      <c r="D136" s="748">
        <f>ROUND(D134*D135/100,2)</f>
        <v>-1683004.98</v>
      </c>
      <c r="E136" s="748">
        <f>ROUND(E134*E135/100,2)</f>
        <v>-586875.43999999994</v>
      </c>
      <c r="F136" s="748">
        <f>ROUND(F134*F135/100,2)</f>
        <v>-1104534.97</v>
      </c>
      <c r="G136" s="748"/>
      <c r="H136" s="748">
        <f>ROUND(H134*H135/100,2)</f>
        <v>12953.45</v>
      </c>
      <c r="I136" s="748"/>
      <c r="L136" s="737">
        <f>SUM(L133:L135)</f>
        <v>1</v>
      </c>
      <c r="M136" s="727"/>
      <c r="N136" s="96">
        <f>SUM(N133:N135)</f>
        <v>-21098568</v>
      </c>
      <c r="O136" s="727"/>
      <c r="P136" s="738">
        <f>SUM(P133:P135)</f>
        <v>-1683004.9806788648</v>
      </c>
    </row>
    <row r="137" spans="1:16" s="94" customFormat="1">
      <c r="A137" s="731"/>
      <c r="B137" s="747"/>
      <c r="C137" s="729"/>
      <c r="D137" s="729"/>
      <c r="E137" s="729"/>
      <c r="F137" s="729"/>
      <c r="G137" s="729"/>
      <c r="H137" s="729"/>
      <c r="I137" s="729"/>
    </row>
    <row r="138" spans="1:16" s="96" customFormat="1">
      <c r="A138" s="731" t="s">
        <v>199</v>
      </c>
      <c r="B138" s="747" t="s">
        <v>200</v>
      </c>
      <c r="C138" s="97">
        <f>SUM(D138:I138)</f>
        <v>0</v>
      </c>
      <c r="D138" s="296">
        <v>0</v>
      </c>
      <c r="E138" s="296">
        <v>0</v>
      </c>
      <c r="F138" s="296">
        <v>0</v>
      </c>
      <c r="G138" s="108"/>
      <c r="H138" s="108"/>
      <c r="I138" s="108"/>
    </row>
    <row r="139" spans="1:16" s="106" customFormat="1">
      <c r="A139" s="731" t="s">
        <v>196</v>
      </c>
      <c r="B139" s="742" t="s">
        <v>201</v>
      </c>
      <c r="C139" s="727"/>
      <c r="D139" s="743">
        <f>I226</f>
        <v>9.182053925148109</v>
      </c>
      <c r="E139" s="743">
        <f>I245</f>
        <v>8.298</v>
      </c>
      <c r="F139" s="727">
        <f>I278</f>
        <v>6.34</v>
      </c>
      <c r="G139" s="727"/>
      <c r="H139" s="727"/>
      <c r="I139" s="727"/>
    </row>
    <row r="140" spans="1:16" s="94" customFormat="1">
      <c r="A140" s="731"/>
      <c r="B140" s="747" t="s">
        <v>202</v>
      </c>
      <c r="C140" s="729">
        <f>SUM(D140:I140)</f>
        <v>0</v>
      </c>
      <c r="D140" s="749">
        <f>ROUND(D138*D139/100,2)</f>
        <v>0</v>
      </c>
      <c r="E140" s="749">
        <f>ROUND(E138*E139/100,2)</f>
        <v>0</v>
      </c>
      <c r="F140" s="749">
        <f>ROUND(F138*F139/100,2)</f>
        <v>0</v>
      </c>
      <c r="G140" s="748"/>
      <c r="H140" s="748"/>
      <c r="I140" s="748"/>
    </row>
    <row r="141" spans="1:16" s="94" customFormat="1">
      <c r="A141" s="731"/>
      <c r="B141" s="747"/>
      <c r="C141" s="729"/>
      <c r="D141" s="750"/>
      <c r="E141" s="750"/>
      <c r="F141" s="729"/>
      <c r="G141" s="729"/>
      <c r="H141" s="729"/>
      <c r="I141" s="729"/>
    </row>
    <row r="142" spans="1:16" s="98" customFormat="1">
      <c r="A142" s="739" t="s">
        <v>653</v>
      </c>
      <c r="B142" s="751" t="s">
        <v>203</v>
      </c>
      <c r="C142" s="714">
        <f>IF(ROUND(C134+C138,3)&lt;&gt;ROUND(SUM(D142:I142),3),#VALUE!,C134+C138)</f>
        <v>-42358120</v>
      </c>
      <c r="D142" s="480">
        <f>D134+D138</f>
        <v>-21098568</v>
      </c>
      <c r="E142" s="480">
        <f>E134+E138</f>
        <v>-5656561</v>
      </c>
      <c r="F142" s="714">
        <f>F134+F138</f>
        <v>-15770451</v>
      </c>
      <c r="G142" s="714"/>
      <c r="H142" s="714">
        <f>H134+H138</f>
        <v>167460</v>
      </c>
      <c r="I142" s="714">
        <f>I134+I138</f>
        <v>0</v>
      </c>
    </row>
    <row r="143" spans="1:16" s="94" customFormat="1">
      <c r="A143" s="731"/>
      <c r="B143" s="747" t="s">
        <v>204</v>
      </c>
      <c r="C143" s="729">
        <f>IF(ROUND(C136+C140,3)&lt;&gt;ROUND(SUM(D143:I143),3),#VALUE!,C136+C140)</f>
        <v>-3361461.9399999995</v>
      </c>
      <c r="D143" s="750">
        <f>D136+D140</f>
        <v>-1683004.98</v>
      </c>
      <c r="E143" s="750">
        <f>E136+E140</f>
        <v>-586875.43999999994</v>
      </c>
      <c r="F143" s="729">
        <f>F136+F140</f>
        <v>-1104534.97</v>
      </c>
      <c r="G143" s="729"/>
      <c r="H143" s="729">
        <f>H136+H140</f>
        <v>12953.45</v>
      </c>
      <c r="I143" s="729"/>
    </row>
    <row r="144" spans="1:16" ht="12.75">
      <c r="A144" s="733"/>
      <c r="B144" s="736" t="s">
        <v>205</v>
      </c>
      <c r="C144" s="729"/>
      <c r="D144" s="750"/>
      <c r="E144" s="750"/>
      <c r="F144" s="729"/>
      <c r="G144" s="729"/>
      <c r="H144" s="729"/>
      <c r="I144" s="729"/>
    </row>
    <row r="145" spans="1:9" s="96" customFormat="1">
      <c r="A145" s="739" t="s">
        <v>199</v>
      </c>
      <c r="B145" s="742" t="s">
        <v>200</v>
      </c>
      <c r="C145" s="96">
        <f>SUM(D145:I145)</f>
        <v>27259573</v>
      </c>
      <c r="D145" s="477">
        <v>36815064</v>
      </c>
      <c r="E145" s="477">
        <v>530033</v>
      </c>
      <c r="F145" s="478">
        <v>-10085524</v>
      </c>
      <c r="G145" s="477"/>
      <c r="H145" s="477"/>
      <c r="I145" s="476"/>
    </row>
    <row r="146" spans="1:9" s="106" customFormat="1">
      <c r="A146" s="731" t="s">
        <v>196</v>
      </c>
      <c r="B146" s="742" t="s">
        <v>201</v>
      </c>
      <c r="C146" s="752"/>
      <c r="D146" s="727">
        <f>I226</f>
        <v>9.182053925148109</v>
      </c>
      <c r="E146" s="727">
        <f>I245</f>
        <v>8.298</v>
      </c>
      <c r="F146" s="727">
        <f>I278</f>
        <v>6.34</v>
      </c>
      <c r="G146" s="727"/>
      <c r="H146" s="727"/>
      <c r="I146" s="727"/>
    </row>
    <row r="147" spans="1:9" s="94" customFormat="1">
      <c r="A147" s="707"/>
      <c r="B147" s="747" t="s">
        <v>202</v>
      </c>
      <c r="C147" s="729">
        <f>SUM(D147:I147)</f>
        <v>2784938.95</v>
      </c>
      <c r="D147" s="748">
        <f>ROUND(D145*D146/100,2)</f>
        <v>3380379.03</v>
      </c>
      <c r="E147" s="748">
        <f>ROUND(E145*E146/100,2)</f>
        <v>43982.14</v>
      </c>
      <c r="F147" s="748">
        <f>ROUND(F145*F146/100,2)</f>
        <v>-639422.22</v>
      </c>
      <c r="G147" s="748"/>
      <c r="H147" s="748"/>
      <c r="I147" s="748"/>
    </row>
    <row r="148" spans="1:9">
      <c r="A148" s="707"/>
      <c r="B148" s="708"/>
      <c r="C148" s="729"/>
      <c r="D148" s="729"/>
      <c r="E148" s="729"/>
      <c r="F148" s="729"/>
      <c r="G148" s="729"/>
      <c r="H148" s="729"/>
      <c r="I148" s="729"/>
    </row>
    <row r="149" spans="1:9">
      <c r="A149" s="707"/>
      <c r="B149" s="708" t="s">
        <v>206</v>
      </c>
      <c r="C149" s="729">
        <f>IF(ROUND(C143+C147,3)&lt;&gt;ROUND(SUM(D149:I149),3),#VALUE!,C143+C147)</f>
        <v>-576522.98999999929</v>
      </c>
      <c r="D149" s="729">
        <f>D147+D143</f>
        <v>1697374.0499999998</v>
      </c>
      <c r="E149" s="729">
        <f>E147+E143</f>
        <v>-542893.29999999993</v>
      </c>
      <c r="F149" s="729">
        <f>F147+F143</f>
        <v>-1743957.19</v>
      </c>
      <c r="G149" s="729"/>
      <c r="H149" s="729">
        <f>H147+H143</f>
        <v>12953.45</v>
      </c>
      <c r="I149" s="729"/>
    </row>
    <row r="150" spans="1:9">
      <c r="A150" s="707"/>
      <c r="B150" s="708" t="str">
        <f>B130</f>
        <v>TOTAL BASE TARIFF REVENUE</v>
      </c>
      <c r="C150" s="714">
        <f t="shared" ref="C150:I150" si="19">C130</f>
        <v>495640498.04027838</v>
      </c>
      <c r="D150" s="714">
        <f t="shared" si="19"/>
        <v>209372742.59000003</v>
      </c>
      <c r="E150" s="714">
        <f t="shared" si="19"/>
        <v>71518103.079999998</v>
      </c>
      <c r="F150" s="714">
        <f t="shared" si="19"/>
        <v>130848761.13000001</v>
      </c>
      <c r="G150" s="714">
        <f t="shared" si="19"/>
        <v>64450437.469999991</v>
      </c>
      <c r="H150" s="714">
        <f t="shared" si="19"/>
        <v>12497461.65</v>
      </c>
      <c r="I150" s="714">
        <f t="shared" si="19"/>
        <v>6952992.1202784004</v>
      </c>
    </row>
    <row r="151" spans="1:9">
      <c r="A151" s="707"/>
      <c r="B151" s="708"/>
      <c r="C151" s="748"/>
      <c r="D151" s="748"/>
      <c r="E151" s="748"/>
      <c r="F151" s="748"/>
      <c r="G151" s="748"/>
      <c r="H151" s="748"/>
      <c r="I151" s="748"/>
    </row>
    <row r="152" spans="1:9">
      <c r="A152" s="707"/>
      <c r="B152" s="708" t="s">
        <v>207</v>
      </c>
      <c r="C152" s="729">
        <f>IF(ROUND(C149+C150,3)&lt;&gt;ROUND(SUM(D152:I152),3),#VALUE!,SUM(D152:I152))</f>
        <v>495063975.05027848</v>
      </c>
      <c r="D152" s="729">
        <f t="shared" ref="D152:I152" si="20">D149+D150</f>
        <v>211070116.64000005</v>
      </c>
      <c r="E152" s="729">
        <f t="shared" si="20"/>
        <v>70975209.780000001</v>
      </c>
      <c r="F152" s="729">
        <f t="shared" si="20"/>
        <v>129104803.94000001</v>
      </c>
      <c r="G152" s="729">
        <f t="shared" si="20"/>
        <v>64450437.469999991</v>
      </c>
      <c r="H152" s="729">
        <f t="shared" si="20"/>
        <v>12510415.1</v>
      </c>
      <c r="I152" s="729">
        <f t="shared" si="20"/>
        <v>6952992.1202784004</v>
      </c>
    </row>
    <row r="153" spans="1:9">
      <c r="A153" s="707"/>
      <c r="B153" s="708"/>
      <c r="C153" s="729"/>
      <c r="D153" s="729"/>
      <c r="E153" s="753"/>
      <c r="F153" s="729"/>
      <c r="G153" s="729"/>
      <c r="H153" s="729"/>
      <c r="I153" s="729"/>
    </row>
    <row r="154" spans="1:9">
      <c r="A154" s="707"/>
      <c r="B154" s="708"/>
      <c r="C154" s="729"/>
      <c r="D154" s="729"/>
      <c r="E154" s="729"/>
      <c r="F154" s="729"/>
      <c r="G154" s="729"/>
      <c r="H154" s="729"/>
      <c r="I154" s="729"/>
    </row>
    <row r="155" spans="1:9">
      <c r="A155" s="707"/>
      <c r="B155" s="708"/>
      <c r="C155" s="729"/>
      <c r="D155" s="729"/>
      <c r="E155" s="729"/>
      <c r="F155" s="729"/>
      <c r="G155" s="729"/>
      <c r="H155" s="729"/>
      <c r="I155" s="729"/>
    </row>
    <row r="156" spans="1:9">
      <c r="A156" s="707"/>
      <c r="B156" s="708"/>
      <c r="C156" s="729"/>
      <c r="D156" s="729"/>
      <c r="E156" s="729"/>
      <c r="F156" s="729"/>
      <c r="G156" s="729"/>
      <c r="H156" s="729"/>
      <c r="I156" s="729"/>
    </row>
    <row r="157" spans="1:9">
      <c r="A157" s="707"/>
      <c r="B157" s="708"/>
      <c r="C157" s="729"/>
      <c r="D157" s="729"/>
      <c r="E157" s="729"/>
      <c r="F157" s="729"/>
      <c r="G157" s="729"/>
      <c r="H157" s="729"/>
      <c r="I157" s="729"/>
    </row>
    <row r="158" spans="1:9">
      <c r="A158" s="707"/>
      <c r="B158" s="708"/>
      <c r="C158" s="729"/>
      <c r="D158" s="729"/>
      <c r="E158" s="729"/>
      <c r="F158" s="729"/>
      <c r="G158" s="729"/>
      <c r="H158" s="729"/>
      <c r="I158" s="729"/>
    </row>
    <row r="159" spans="1:9">
      <c r="A159" s="707"/>
      <c r="B159" s="708"/>
      <c r="C159" s="729"/>
      <c r="D159" s="729"/>
      <c r="E159" s="729"/>
      <c r="F159" s="729"/>
      <c r="G159" s="729"/>
      <c r="H159" s="729"/>
      <c r="I159" s="729"/>
    </row>
    <row r="160" spans="1:9" s="88" customFormat="1">
      <c r="A160" s="707" t="s">
        <v>146</v>
      </c>
      <c r="B160" s="710"/>
      <c r="C160" s="710" t="s">
        <v>95</v>
      </c>
      <c r="D160" s="710" t="s">
        <v>100</v>
      </c>
      <c r="E160" s="710" t="s">
        <v>102</v>
      </c>
      <c r="F160" s="710" t="s">
        <v>104</v>
      </c>
      <c r="G160" s="710" t="s">
        <v>106</v>
      </c>
      <c r="H160" s="710" t="s">
        <v>108</v>
      </c>
      <c r="I160" s="710" t="s">
        <v>110</v>
      </c>
    </row>
    <row r="161" spans="1:9" s="88" customFormat="1">
      <c r="A161" s="707" t="s">
        <v>147</v>
      </c>
      <c r="B161" s="710"/>
      <c r="C161" s="711" t="s">
        <v>86</v>
      </c>
      <c r="D161" s="711" t="s">
        <v>101</v>
      </c>
      <c r="E161" s="711" t="s">
        <v>103</v>
      </c>
      <c r="F161" s="711" t="s">
        <v>105</v>
      </c>
      <c r="G161" s="711" t="s">
        <v>107</v>
      </c>
      <c r="H161" s="711" t="s">
        <v>109</v>
      </c>
      <c r="I161" s="711" t="s">
        <v>111</v>
      </c>
    </row>
    <row r="162" spans="1:9" ht="12.75">
      <c r="A162" s="707"/>
      <c r="B162" s="712" t="s">
        <v>208</v>
      </c>
      <c r="C162" s="729"/>
      <c r="D162" s="729"/>
      <c r="E162" s="729"/>
      <c r="F162" s="729"/>
      <c r="G162" s="729"/>
      <c r="H162" s="729"/>
      <c r="I162" s="729"/>
    </row>
    <row r="163" spans="1:9">
      <c r="A163" s="707"/>
      <c r="B163" s="708" t="str">
        <f>UPPER(CHOOSE(Base1_Billing2,$N$9,$N$10))&amp;" REVENUE"</f>
        <v>BASE TARIFF REVENUE</v>
      </c>
      <c r="C163" s="729"/>
      <c r="D163" s="729"/>
      <c r="E163" s="729"/>
      <c r="F163" s="729"/>
      <c r="G163" s="729"/>
      <c r="H163" s="729"/>
      <c r="I163" s="729"/>
    </row>
    <row r="164" spans="1:9">
      <c r="A164" s="707"/>
      <c r="B164" s="730" t="s">
        <v>175</v>
      </c>
      <c r="C164" s="729">
        <f t="shared" ref="C164:C175" si="21">SUM(D164:I164)</f>
        <v>28267750.5</v>
      </c>
      <c r="D164" s="729">
        <f>D48*D76</f>
        <v>21096226.5</v>
      </c>
      <c r="E164" s="729">
        <f>E48*E76</f>
        <v>6646464</v>
      </c>
      <c r="F164" s="729"/>
      <c r="G164" s="729"/>
      <c r="H164" s="729">
        <f>H48*H76</f>
        <v>525059.99999999988</v>
      </c>
      <c r="I164" s="729"/>
    </row>
    <row r="165" spans="1:9">
      <c r="A165" s="707"/>
      <c r="B165" s="730" t="s">
        <v>177</v>
      </c>
      <c r="C165" s="714">
        <f t="shared" si="21"/>
        <v>0</v>
      </c>
      <c r="D165" s="714">
        <f>D49*D77</f>
        <v>0</v>
      </c>
      <c r="E165" s="714"/>
      <c r="F165" s="714"/>
      <c r="G165" s="714"/>
      <c r="H165" s="714"/>
      <c r="I165" s="714"/>
    </row>
    <row r="166" spans="1:9">
      <c r="A166" s="707"/>
      <c r="B166" s="730" t="s">
        <v>155</v>
      </c>
      <c r="C166" s="714">
        <f t="shared" si="21"/>
        <v>266168521.53</v>
      </c>
      <c r="D166" s="714">
        <f t="shared" ref="D166:H168" si="22">ROUND(D31*D79/100,2)</f>
        <v>115934258.92</v>
      </c>
      <c r="E166" s="714">
        <f t="shared" si="22"/>
        <v>47118398.759999998</v>
      </c>
      <c r="F166" s="714">
        <f t="shared" si="22"/>
        <v>91213586.450000003</v>
      </c>
      <c r="G166" s="714">
        <f t="shared" si="22"/>
        <v>6936300</v>
      </c>
      <c r="H166" s="714">
        <f>ROUND(H31*H79/100,2)</f>
        <v>4965977.4000000004</v>
      </c>
      <c r="I166" s="714"/>
    </row>
    <row r="167" spans="1:9">
      <c r="A167" s="707"/>
      <c r="B167" s="730" t="s">
        <v>157</v>
      </c>
      <c r="C167" s="714">
        <f t="shared" si="21"/>
        <v>104070509.05</v>
      </c>
      <c r="D167" s="714">
        <f t="shared" si="22"/>
        <v>43158959.670000002</v>
      </c>
      <c r="E167" s="714">
        <f t="shared" si="22"/>
        <v>15299369.32</v>
      </c>
      <c r="F167" s="714">
        <f t="shared" si="22"/>
        <v>10466847.58</v>
      </c>
      <c r="G167" s="714">
        <f t="shared" si="22"/>
        <v>28143526.239999998</v>
      </c>
      <c r="H167" s="714">
        <f t="shared" si="22"/>
        <v>7001806.2400000002</v>
      </c>
      <c r="I167" s="714"/>
    </row>
    <row r="168" spans="1:9">
      <c r="A168" s="707"/>
      <c r="B168" s="730" t="s">
        <v>160</v>
      </c>
      <c r="C168" s="714">
        <f t="shared" si="21"/>
        <v>46735671.129999995</v>
      </c>
      <c r="D168" s="714">
        <f>ROUND(D33*D81/100,2)</f>
        <v>29183297.5</v>
      </c>
      <c r="E168" s="714"/>
      <c r="F168" s="714"/>
      <c r="G168" s="714">
        <f t="shared" si="22"/>
        <v>17552373.629999999</v>
      </c>
      <c r="H168" s="714"/>
      <c r="I168" s="714"/>
    </row>
    <row r="169" spans="1:9">
      <c r="A169" s="707"/>
      <c r="B169" s="730" t="s">
        <v>161</v>
      </c>
      <c r="C169" s="714">
        <f t="shared" si="21"/>
        <v>0</v>
      </c>
      <c r="D169" s="714">
        <f>ROUND(D34*D82/100,2)</f>
        <v>0</v>
      </c>
      <c r="E169" s="714"/>
      <c r="F169" s="714"/>
      <c r="G169" s="714"/>
      <c r="H169" s="714"/>
      <c r="I169" s="714"/>
    </row>
    <row r="170" spans="1:9">
      <c r="A170" s="707"/>
      <c r="B170" s="730" t="s">
        <v>183</v>
      </c>
      <c r="C170" s="714">
        <f t="shared" si="21"/>
        <v>17374000</v>
      </c>
      <c r="D170" s="714"/>
      <c r="E170" s="714"/>
      <c r="F170" s="714">
        <f>ROUND(F48*F86,2)</f>
        <v>12082000</v>
      </c>
      <c r="G170" s="714">
        <f>ROUND(G48*G86,2)</f>
        <v>5292000</v>
      </c>
      <c r="H170" s="714"/>
      <c r="I170" s="714"/>
    </row>
    <row r="171" spans="1:9">
      <c r="A171" s="707"/>
      <c r="B171" s="730" t="s">
        <v>184</v>
      </c>
      <c r="C171" s="714">
        <f t="shared" si="21"/>
        <v>27234699.199999999</v>
      </c>
      <c r="D171" s="714"/>
      <c r="E171" s="714">
        <f>ROUND(E50*E87,2)</f>
        <v>2446956</v>
      </c>
      <c r="F171" s="714">
        <f>ROUND(F50*F87,2)</f>
        <v>17028177.199999999</v>
      </c>
      <c r="G171" s="714">
        <f>ROUND(G50*G87,2)</f>
        <v>7759566</v>
      </c>
      <c r="H171" s="714"/>
      <c r="I171" s="714"/>
    </row>
    <row r="172" spans="1:9">
      <c r="A172" s="707"/>
      <c r="B172" s="730" t="s">
        <v>187</v>
      </c>
      <c r="C172" s="714">
        <f t="shared" si="21"/>
        <v>140172.91</v>
      </c>
      <c r="D172" s="714"/>
      <c r="E172" s="714">
        <f>E119</f>
        <v>6915</v>
      </c>
      <c r="F172" s="714">
        <f>F119</f>
        <v>128639.9</v>
      </c>
      <c r="G172" s="714"/>
      <c r="H172" s="714">
        <f>H119</f>
        <v>4618.01</v>
      </c>
      <c r="I172" s="714"/>
    </row>
    <row r="173" spans="1:9">
      <c r="A173" s="707"/>
      <c r="B173" s="730" t="s">
        <v>188</v>
      </c>
      <c r="C173" s="714">
        <f t="shared" si="21"/>
        <v>-1303818.3999999999</v>
      </c>
      <c r="D173" s="714"/>
      <c r="E173" s="714"/>
      <c r="F173" s="714">
        <f>F120</f>
        <v>-70490</v>
      </c>
      <c r="G173" s="480">
        <v>-1233328.3999999999</v>
      </c>
      <c r="H173" s="714"/>
      <c r="I173" s="714"/>
    </row>
    <row r="174" spans="1:9">
      <c r="A174" s="707"/>
      <c r="B174" s="730" t="s">
        <v>189</v>
      </c>
      <c r="C174" s="714">
        <f t="shared" si="21"/>
        <v>0</v>
      </c>
      <c r="D174" s="714"/>
      <c r="E174" s="714"/>
      <c r="F174" s="714"/>
      <c r="G174" s="714"/>
      <c r="H174" s="714"/>
      <c r="I174" s="714"/>
    </row>
    <row r="175" spans="1:9">
      <c r="A175" s="731" t="s">
        <v>190</v>
      </c>
      <c r="B175" s="730" t="s">
        <v>191</v>
      </c>
      <c r="C175" s="715">
        <f t="shared" si="21"/>
        <v>6952992.1202784004</v>
      </c>
      <c r="D175" s="715"/>
      <c r="E175" s="734"/>
      <c r="F175" s="734"/>
      <c r="G175" s="734"/>
      <c r="H175" s="734"/>
      <c r="I175" s="479">
        <v>6952992.1202784004</v>
      </c>
    </row>
    <row r="176" spans="1:9">
      <c r="A176" s="707"/>
      <c r="B176" s="708"/>
      <c r="C176" s="729"/>
      <c r="D176" s="729"/>
      <c r="E176" s="729"/>
      <c r="F176" s="729"/>
      <c r="G176" s="729"/>
      <c r="H176" s="729"/>
      <c r="I176" s="729"/>
    </row>
    <row r="177" spans="1:9">
      <c r="A177" s="707"/>
      <c r="B177" s="708" t="s">
        <v>163</v>
      </c>
      <c r="C177" s="729">
        <f>IF(ROUND(SUM(C164:C175),3)&lt;&gt;ROUND(SUM(D177:I177),3),#VALUE!,SUM(D177:I177))</f>
        <v>495640498.04027838</v>
      </c>
      <c r="D177" s="729">
        <f t="shared" ref="D177:I177" si="23">SUM(D164:D175)</f>
        <v>209372742.59000003</v>
      </c>
      <c r="E177" s="729">
        <f t="shared" si="23"/>
        <v>71518103.079999998</v>
      </c>
      <c r="F177" s="729">
        <f t="shared" si="23"/>
        <v>130848761.13000001</v>
      </c>
      <c r="G177" s="729">
        <f t="shared" si="23"/>
        <v>64450437.469999991</v>
      </c>
      <c r="H177" s="729">
        <f t="shared" si="23"/>
        <v>12497461.65</v>
      </c>
      <c r="I177" s="729">
        <f t="shared" si="23"/>
        <v>6952992.1202784004</v>
      </c>
    </row>
    <row r="178" spans="1:9">
      <c r="A178" s="707"/>
      <c r="B178" s="95"/>
      <c r="C178" s="715">
        <f>SUM(D178:I178)</f>
        <v>0</v>
      </c>
      <c r="D178" s="715">
        <f>ROUND(D38*D84/100,2)</f>
        <v>0</v>
      </c>
      <c r="E178" s="715">
        <f>ROUND(E38*E84/100,2)</f>
        <v>0</v>
      </c>
      <c r="F178" s="715">
        <f>ROUND(F38*F84/100,2)</f>
        <v>0</v>
      </c>
      <c r="G178" s="715">
        <f>ROUND(G38*G80/100,2)</f>
        <v>0</v>
      </c>
      <c r="H178" s="715">
        <f>ROUND(H38*H84/100,2)</f>
        <v>0</v>
      </c>
      <c r="I178" s="715">
        <v>0</v>
      </c>
    </row>
    <row r="179" spans="1:9">
      <c r="A179" s="707"/>
      <c r="B179" s="708"/>
      <c r="C179" s="729"/>
      <c r="D179" s="729"/>
      <c r="E179" s="754"/>
      <c r="F179" s="754"/>
      <c r="G179" s="729"/>
      <c r="H179" s="729"/>
      <c r="I179" s="729"/>
    </row>
    <row r="180" spans="1:9">
      <c r="A180" s="707"/>
      <c r="B180" s="708" t="s">
        <v>163</v>
      </c>
      <c r="C180" s="729">
        <f>SUM(D180:I180)</f>
        <v>495640498.04027838</v>
      </c>
      <c r="D180" s="729">
        <f t="shared" ref="D180:I180" si="24">D177+D178</f>
        <v>209372742.59000003</v>
      </c>
      <c r="E180" s="729">
        <f t="shared" si="24"/>
        <v>71518103.079999998</v>
      </c>
      <c r="F180" s="729">
        <f t="shared" si="24"/>
        <v>130848761.13000001</v>
      </c>
      <c r="G180" s="729">
        <f t="shared" si="24"/>
        <v>64450437.469999991</v>
      </c>
      <c r="H180" s="729">
        <f t="shared" si="24"/>
        <v>12497461.65</v>
      </c>
      <c r="I180" s="729">
        <f t="shared" si="24"/>
        <v>6952992.1202784004</v>
      </c>
    </row>
    <row r="181" spans="1:9">
      <c r="A181" s="707"/>
      <c r="B181" s="708" t="s">
        <v>192</v>
      </c>
      <c r="C181" s="714">
        <f>SUM(D181:I181)</f>
        <v>0</v>
      </c>
      <c r="D181" s="714">
        <f t="shared" ref="D181:I181" si="25">ROUND(D41*D84/100,2)</f>
        <v>0</v>
      </c>
      <c r="E181" s="714">
        <f t="shared" si="25"/>
        <v>0</v>
      </c>
      <c r="F181" s="714">
        <f t="shared" si="25"/>
        <v>0</v>
      </c>
      <c r="G181" s="714">
        <f t="shared" si="25"/>
        <v>0</v>
      </c>
      <c r="H181" s="714">
        <f t="shared" si="25"/>
        <v>0</v>
      </c>
      <c r="I181" s="714">
        <f t="shared" si="25"/>
        <v>0</v>
      </c>
    </row>
    <row r="182" spans="1:9">
      <c r="A182" s="707"/>
      <c r="B182" s="708"/>
      <c r="C182" s="748"/>
      <c r="D182" s="748"/>
      <c r="E182" s="748"/>
      <c r="F182" s="748"/>
      <c r="G182" s="748"/>
      <c r="H182" s="748"/>
      <c r="I182" s="748"/>
    </row>
    <row r="183" spans="1:9">
      <c r="A183" s="707"/>
      <c r="B183" s="708" t="str">
        <f>"SUBTOTAL "&amp;UPPER(CHOOSE(Base1_Billing2,$N$9,$N$10))&amp;" REVENUE"</f>
        <v>SUBTOTAL BASE TARIFF REVENUE</v>
      </c>
      <c r="C183" s="729">
        <f>IF(ROUND(SUM(D183:I183),3)&lt;&gt;ROUND(SUM(C180:C181),3),#VALUE!,SUM(D183:I183))</f>
        <v>495640498.04027838</v>
      </c>
      <c r="D183" s="729">
        <f t="shared" ref="D183:I183" si="26">D180+D181</f>
        <v>209372742.59000003</v>
      </c>
      <c r="E183" s="729">
        <f t="shared" si="26"/>
        <v>71518103.079999998</v>
      </c>
      <c r="F183" s="729">
        <f t="shared" si="26"/>
        <v>130848761.13000001</v>
      </c>
      <c r="G183" s="729">
        <f t="shared" si="26"/>
        <v>64450437.469999991</v>
      </c>
      <c r="H183" s="729">
        <f t="shared" si="26"/>
        <v>12497461.65</v>
      </c>
      <c r="I183" s="729">
        <f t="shared" si="26"/>
        <v>6952992.1202784004</v>
      </c>
    </row>
    <row r="184" spans="1:9">
      <c r="A184" s="707"/>
      <c r="B184" s="708"/>
      <c r="C184" s="729"/>
      <c r="D184" s="729"/>
      <c r="E184" s="729"/>
      <c r="F184" s="729"/>
      <c r="G184" s="729"/>
      <c r="H184" s="729"/>
      <c r="I184" s="729"/>
    </row>
    <row r="185" spans="1:9">
      <c r="A185" s="707"/>
      <c r="B185" s="708" t="s">
        <v>193</v>
      </c>
      <c r="C185" s="729"/>
      <c r="D185" s="729"/>
      <c r="E185" s="729"/>
      <c r="F185" s="729"/>
      <c r="G185" s="729"/>
      <c r="H185" s="729"/>
      <c r="I185" s="729"/>
    </row>
    <row r="186" spans="1:9">
      <c r="A186" s="707"/>
      <c r="B186" s="736" t="s">
        <v>194</v>
      </c>
      <c r="C186" s="729"/>
      <c r="D186" s="729"/>
      <c r="E186" s="729"/>
      <c r="F186" s="729"/>
      <c r="G186" s="729"/>
      <c r="H186" s="729"/>
      <c r="I186" s="729"/>
    </row>
    <row r="187" spans="1:9" s="96" customFormat="1">
      <c r="A187" s="707"/>
      <c r="B187" s="742" t="s">
        <v>195</v>
      </c>
      <c r="C187" s="97">
        <f>SUM(D187:I187)</f>
        <v>-42358120</v>
      </c>
      <c r="D187" s="714">
        <f>D134</f>
        <v>-21098568</v>
      </c>
      <c r="E187" s="714">
        <f>E134</f>
        <v>-5656561</v>
      </c>
      <c r="F187" s="714">
        <f>F134</f>
        <v>-15770451</v>
      </c>
      <c r="G187" s="714"/>
      <c r="H187" s="714">
        <f>H134</f>
        <v>167460</v>
      </c>
      <c r="I187" s="97"/>
    </row>
    <row r="188" spans="1:9" s="106" customFormat="1">
      <c r="A188" s="707"/>
      <c r="B188" s="742" t="s">
        <v>197</v>
      </c>
      <c r="C188" s="727"/>
      <c r="D188" s="727">
        <f>D84</f>
        <v>7.9768682914151094</v>
      </c>
      <c r="E188" s="727">
        <f>E84</f>
        <v>10.375127939068888</v>
      </c>
      <c r="F188" s="727">
        <f>F84</f>
        <v>7.0038261219419624</v>
      </c>
      <c r="G188" s="727"/>
      <c r="H188" s="743">
        <f>H84</f>
        <v>7.7352513867859889</v>
      </c>
      <c r="I188" s="727"/>
    </row>
    <row r="189" spans="1:9" s="94" customFormat="1">
      <c r="A189" s="707"/>
      <c r="B189" s="742" t="s">
        <v>198</v>
      </c>
      <c r="C189" s="729">
        <f>SUM(D189:I189)</f>
        <v>-3361461.9399999995</v>
      </c>
      <c r="D189" s="748">
        <f>ROUND(D187*D188/100,2)</f>
        <v>-1683004.98</v>
      </c>
      <c r="E189" s="748">
        <f>ROUND(E187*E188/100,2)</f>
        <v>-586875.43999999994</v>
      </c>
      <c r="F189" s="748">
        <f>ROUND(F187*F188/100,2)</f>
        <v>-1104534.97</v>
      </c>
      <c r="G189" s="748"/>
      <c r="H189" s="748">
        <f>ROUND(H187*H188/100,2)</f>
        <v>12953.45</v>
      </c>
      <c r="I189" s="748"/>
    </row>
    <row r="190" spans="1:9" s="94" customFormat="1">
      <c r="A190" s="707"/>
      <c r="B190" s="742"/>
      <c r="C190" s="729"/>
      <c r="D190" s="729"/>
      <c r="E190" s="729"/>
      <c r="F190" s="729"/>
      <c r="G190" s="729"/>
      <c r="H190" s="729"/>
      <c r="I190" s="729"/>
    </row>
    <row r="191" spans="1:9" s="96" customFormat="1">
      <c r="A191" s="707"/>
      <c r="B191" s="742" t="s">
        <v>200</v>
      </c>
      <c r="C191" s="97">
        <f>SUM(D191:I191)</f>
        <v>0</v>
      </c>
      <c r="D191" s="97">
        <f>D138</f>
        <v>0</v>
      </c>
      <c r="E191" s="97">
        <f>E138</f>
        <v>0</v>
      </c>
      <c r="F191" s="97">
        <f>F138</f>
        <v>0</v>
      </c>
      <c r="G191" s="97"/>
      <c r="H191" s="97"/>
      <c r="I191" s="97"/>
    </row>
    <row r="192" spans="1:9" s="106" customFormat="1">
      <c r="A192" s="707"/>
      <c r="B192" s="742" t="s">
        <v>201</v>
      </c>
      <c r="C192" s="727"/>
      <c r="D192" s="727">
        <f>I235</f>
        <v>9.182053925148109</v>
      </c>
      <c r="E192" s="727">
        <f>I253</f>
        <v>8.298</v>
      </c>
      <c r="F192" s="727">
        <f>I286</f>
        <v>6.34</v>
      </c>
      <c r="G192" s="727"/>
      <c r="H192" s="727"/>
      <c r="I192" s="727"/>
    </row>
    <row r="193" spans="1:15" s="94" customFormat="1">
      <c r="A193" s="707"/>
      <c r="B193" s="742" t="s">
        <v>202</v>
      </c>
      <c r="C193" s="729">
        <f>SUM(D193:I193)</f>
        <v>0</v>
      </c>
      <c r="D193" s="748">
        <f>ROUND(D191*D192/100,2)</f>
        <v>0</v>
      </c>
      <c r="E193" s="748">
        <f>ROUND(E191*E192/100,2)</f>
        <v>0</v>
      </c>
      <c r="F193" s="748">
        <f>ROUND(F191*F192/100,2)</f>
        <v>0</v>
      </c>
      <c r="G193" s="748"/>
      <c r="H193" s="748"/>
      <c r="I193" s="748"/>
    </row>
    <row r="194" spans="1:15" s="94" customFormat="1">
      <c r="A194" s="707"/>
      <c r="B194" s="742"/>
      <c r="C194" s="729"/>
      <c r="D194" s="729"/>
      <c r="E194" s="729"/>
      <c r="F194" s="729"/>
      <c r="G194" s="729"/>
      <c r="H194" s="729"/>
      <c r="I194" s="729"/>
    </row>
    <row r="195" spans="1:15" s="98" customFormat="1">
      <c r="A195" s="707"/>
      <c r="B195" s="742" t="s">
        <v>203</v>
      </c>
      <c r="C195" s="714">
        <f>IF(ROUND(C187+C191,3)&lt;&gt;ROUND(SUM(D195:I195),3),#VALUE!,SUM(D195:I195))</f>
        <v>-42358120</v>
      </c>
      <c r="D195" s="714">
        <f>D187+D191</f>
        <v>-21098568</v>
      </c>
      <c r="E195" s="714">
        <f>E187+E191</f>
        <v>-5656561</v>
      </c>
      <c r="F195" s="714">
        <f>F187+F191</f>
        <v>-15770451</v>
      </c>
      <c r="G195" s="714"/>
      <c r="H195" s="714">
        <f>H187+H191</f>
        <v>167460</v>
      </c>
      <c r="I195" s="714"/>
    </row>
    <row r="196" spans="1:15" s="94" customFormat="1">
      <c r="A196" s="707"/>
      <c r="B196" s="742" t="s">
        <v>204</v>
      </c>
      <c r="C196" s="729">
        <f>IF(ROUND(C189+C193,3)&lt;&gt;ROUND(SUM(D196:I196),3),#VALUE!,SUM(D196:I196))</f>
        <v>-3361461.9399999995</v>
      </c>
      <c r="D196" s="729">
        <f>D189+D193</f>
        <v>-1683004.98</v>
      </c>
      <c r="E196" s="729">
        <f>E189+E193</f>
        <v>-586875.43999999994</v>
      </c>
      <c r="F196" s="729">
        <f>F189+F193</f>
        <v>-1104534.97</v>
      </c>
      <c r="G196" s="729"/>
      <c r="H196" s="729">
        <f>H189+H193</f>
        <v>12953.45</v>
      </c>
      <c r="I196" s="729"/>
    </row>
    <row r="197" spans="1:15">
      <c r="A197" s="707"/>
      <c r="B197" s="736" t="s">
        <v>205</v>
      </c>
      <c r="C197" s="729"/>
      <c r="D197" s="729"/>
      <c r="E197" s="729"/>
      <c r="F197" s="729"/>
      <c r="G197" s="729"/>
      <c r="H197" s="729"/>
      <c r="I197" s="729"/>
    </row>
    <row r="198" spans="1:15" s="96" customFormat="1">
      <c r="A198" s="707"/>
      <c r="B198" s="742" t="s">
        <v>200</v>
      </c>
      <c r="C198" s="97">
        <f>SUM(D198:I198)</f>
        <v>27259573</v>
      </c>
      <c r="D198" s="97">
        <f>D145</f>
        <v>36815064</v>
      </c>
      <c r="E198" s="97">
        <f>E145</f>
        <v>530033</v>
      </c>
      <c r="F198" s="97">
        <f>F145</f>
        <v>-10085524</v>
      </c>
      <c r="G198" s="97"/>
      <c r="H198" s="97"/>
      <c r="I198" s="97"/>
    </row>
    <row r="199" spans="1:15" s="106" customFormat="1">
      <c r="A199" s="707"/>
      <c r="B199" s="742" t="s">
        <v>201</v>
      </c>
      <c r="C199" s="752" t="s">
        <v>95</v>
      </c>
      <c r="D199" s="727">
        <f>I235</f>
        <v>9.182053925148109</v>
      </c>
      <c r="E199" s="727">
        <f>I253</f>
        <v>8.298</v>
      </c>
      <c r="F199" s="727">
        <f>I286</f>
        <v>6.34</v>
      </c>
      <c r="G199" s="727"/>
      <c r="H199" s="727"/>
      <c r="I199" s="727"/>
    </row>
    <row r="200" spans="1:15" s="94" customFormat="1">
      <c r="A200" s="707"/>
      <c r="B200" s="747" t="s">
        <v>202</v>
      </c>
      <c r="C200" s="729">
        <f>SUM(D200:I200)</f>
        <v>2784938.95</v>
      </c>
      <c r="D200" s="748">
        <f>ROUND(D198*D199/100,2)</f>
        <v>3380379.03</v>
      </c>
      <c r="E200" s="748">
        <f>ROUND(E198*E199/100,2)</f>
        <v>43982.14</v>
      </c>
      <c r="F200" s="748">
        <f>ROUND(F198*F199/100,2)</f>
        <v>-639422.22</v>
      </c>
      <c r="G200" s="748"/>
      <c r="H200" s="748"/>
      <c r="I200" s="748"/>
    </row>
    <row r="201" spans="1:15" s="94" customFormat="1">
      <c r="A201" s="707"/>
      <c r="B201" s="729"/>
      <c r="C201" s="754"/>
      <c r="D201" s="754"/>
      <c r="E201" s="754"/>
      <c r="F201" s="754"/>
      <c r="G201" s="754"/>
      <c r="H201" s="754"/>
      <c r="I201" s="754"/>
    </row>
    <row r="202" spans="1:15">
      <c r="A202" s="707"/>
      <c r="B202" s="708" t="s">
        <v>206</v>
      </c>
      <c r="C202" s="748">
        <f>IF(ROUND(SUM(D202:I202),3)&lt;&gt;ROUND(C196+C200,3),#VALUE!,SUM(D202:I202))</f>
        <v>-576522.99</v>
      </c>
      <c r="D202" s="748">
        <f>D200+D196</f>
        <v>1697374.0499999998</v>
      </c>
      <c r="E202" s="748">
        <f>E200+E196</f>
        <v>-542893.29999999993</v>
      </c>
      <c r="F202" s="748">
        <f>F200+F196</f>
        <v>-1743957.19</v>
      </c>
      <c r="G202" s="748"/>
      <c r="H202" s="748">
        <f>H200+H196</f>
        <v>12953.45</v>
      </c>
      <c r="I202" s="748"/>
    </row>
    <row r="203" spans="1:15">
      <c r="A203" s="707"/>
      <c r="B203" s="708" t="str">
        <f>"TOTAL "&amp;UPPER(CHOOSE(Base1_Billing2,$N$9,$N$10))&amp;" REVENUE"</f>
        <v>TOTAL BASE TARIFF REVENUE</v>
      </c>
      <c r="C203" s="714">
        <f>SUM(D203:I203)</f>
        <v>495640498.04027838</v>
      </c>
      <c r="D203" s="714">
        <f t="shared" ref="D203:I203" si="27">D183</f>
        <v>209372742.59000003</v>
      </c>
      <c r="E203" s="714">
        <f t="shared" si="27"/>
        <v>71518103.079999998</v>
      </c>
      <c r="F203" s="714">
        <f t="shared" si="27"/>
        <v>130848761.13000001</v>
      </c>
      <c r="G203" s="714">
        <f t="shared" si="27"/>
        <v>64450437.469999991</v>
      </c>
      <c r="H203" s="714">
        <f t="shared" si="27"/>
        <v>12497461.65</v>
      </c>
      <c r="I203" s="714">
        <f t="shared" si="27"/>
        <v>6952992.1202784004</v>
      </c>
    </row>
    <row r="204" spans="1:15">
      <c r="A204" s="707"/>
      <c r="B204" s="708" t="s">
        <v>209</v>
      </c>
      <c r="C204" s="748">
        <f>IF(ROUND(SUM(D204:I204),3)&lt;&gt;ROUND(SUM(C202:C203),3),#VALUE!,SUM(D204:I204))</f>
        <v>495063975.05027848</v>
      </c>
      <c r="D204" s="748">
        <f t="shared" ref="D204:I204" si="28">D202+D203</f>
        <v>211070116.64000005</v>
      </c>
      <c r="E204" s="748">
        <f t="shared" si="28"/>
        <v>70975209.780000001</v>
      </c>
      <c r="F204" s="748">
        <f t="shared" si="28"/>
        <v>129104803.94000001</v>
      </c>
      <c r="G204" s="748">
        <f t="shared" si="28"/>
        <v>64450437.469999991</v>
      </c>
      <c r="H204" s="748">
        <f t="shared" si="28"/>
        <v>12510415.1</v>
      </c>
      <c r="I204" s="748">
        <f t="shared" si="28"/>
        <v>6952992.1202784004</v>
      </c>
      <c r="L204" s="94"/>
      <c r="O204" s="94"/>
    </row>
    <row r="205" spans="1:15">
      <c r="A205" s="707"/>
      <c r="B205" s="708" t="s">
        <v>207</v>
      </c>
      <c r="C205" s="729">
        <f>SUM(D205:I205)</f>
        <v>495063975.05027848</v>
      </c>
      <c r="D205" s="729">
        <f t="shared" ref="D205:I205" si="29">D152</f>
        <v>211070116.64000005</v>
      </c>
      <c r="E205" s="729">
        <f t="shared" si="29"/>
        <v>70975209.780000001</v>
      </c>
      <c r="F205" s="729">
        <f t="shared" si="29"/>
        <v>129104803.94000001</v>
      </c>
      <c r="G205" s="729">
        <f t="shared" si="29"/>
        <v>64450437.469999991</v>
      </c>
      <c r="H205" s="729">
        <f t="shared" si="29"/>
        <v>12510415.1</v>
      </c>
      <c r="I205" s="729">
        <f t="shared" si="29"/>
        <v>6952992.1202784004</v>
      </c>
      <c r="L205" s="94"/>
      <c r="O205" s="94"/>
    </row>
    <row r="206" spans="1:15">
      <c r="A206" s="707"/>
      <c r="B206" s="708"/>
      <c r="C206" s="755"/>
      <c r="D206" s="755"/>
      <c r="E206" s="755"/>
      <c r="F206" s="755"/>
      <c r="G206" s="755"/>
      <c r="H206" s="755"/>
      <c r="I206" s="755"/>
    </row>
    <row r="207" spans="1:15" s="99" customFormat="1">
      <c r="A207" s="720"/>
      <c r="B207" s="721" t="s">
        <v>210</v>
      </c>
      <c r="C207" s="756">
        <f>SUM(D207:I207)</f>
        <v>0</v>
      </c>
      <c r="D207" s="756">
        <f t="shared" ref="D207:I207" si="30">D204-D205</f>
        <v>0</v>
      </c>
      <c r="E207" s="756">
        <f t="shared" si="30"/>
        <v>0</v>
      </c>
      <c r="F207" s="756">
        <f t="shared" si="30"/>
        <v>0</v>
      </c>
      <c r="G207" s="756">
        <f t="shared" si="30"/>
        <v>0</v>
      </c>
      <c r="H207" s="756">
        <f t="shared" si="30"/>
        <v>0</v>
      </c>
      <c r="I207" s="756">
        <f t="shared" si="30"/>
        <v>0</v>
      </c>
      <c r="L207" s="109"/>
      <c r="O207" s="109"/>
    </row>
    <row r="208" spans="1:15" s="99" customFormat="1">
      <c r="A208" s="720"/>
      <c r="B208" s="721" t="s">
        <v>211</v>
      </c>
      <c r="C208" s="757">
        <f t="shared" ref="C208:H208" si="31">C207/C205</f>
        <v>0</v>
      </c>
      <c r="D208" s="757">
        <f>D207/D205</f>
        <v>0</v>
      </c>
      <c r="E208" s="757">
        <f t="shared" si="31"/>
        <v>0</v>
      </c>
      <c r="F208" s="757">
        <f t="shared" si="31"/>
        <v>0</v>
      </c>
      <c r="G208" s="757">
        <f t="shared" si="31"/>
        <v>0</v>
      </c>
      <c r="H208" s="757">
        <f t="shared" si="31"/>
        <v>0</v>
      </c>
      <c r="I208" s="757">
        <f>I207/I205</f>
        <v>0</v>
      </c>
      <c r="J208" s="110"/>
      <c r="L208" s="110"/>
      <c r="O208" s="109"/>
    </row>
    <row r="209" spans="1:15" s="88" customFormat="1" ht="12.75">
      <c r="A209" s="707"/>
      <c r="B209" s="758" t="str">
        <f>IF(Base1_Billing2=2,"Pres and Prop Revenues may be incorrect due to Sch 59--for example all of Sch 11 gets benefit of Sch 59 but it s/only be Sch 12; see Billing Rev on Exhibit page for fix","")</f>
        <v/>
      </c>
      <c r="C209" s="759"/>
      <c r="D209" s="760"/>
      <c r="E209" s="760"/>
      <c r="F209" s="760"/>
      <c r="G209" s="760"/>
      <c r="H209" s="760"/>
      <c r="I209" s="760"/>
    </row>
    <row r="210" spans="1:15" s="88" customFormat="1" ht="12.75">
      <c r="A210" s="707"/>
      <c r="B210" s="710"/>
      <c r="C210" s="692" t="str">
        <f>C4</f>
        <v xml:space="preserve"> </v>
      </c>
      <c r="D210" s="692"/>
      <c r="E210" s="753"/>
      <c r="F210" s="759"/>
      <c r="G210" s="759"/>
      <c r="H210" s="759"/>
      <c r="I210" s="759"/>
    </row>
    <row r="211" spans="1:15" s="88" customFormat="1" ht="12.75">
      <c r="A211" s="707"/>
      <c r="B211" s="710"/>
      <c r="C211" s="692"/>
      <c r="D211" s="692"/>
      <c r="E211" s="753"/>
      <c r="F211" s="759"/>
      <c r="G211" s="759"/>
      <c r="H211" s="759"/>
      <c r="I211" s="759"/>
    </row>
    <row r="212" spans="1:15" s="88" customFormat="1" ht="12.75">
      <c r="A212" s="707"/>
      <c r="B212" s="710"/>
      <c r="C212" s="692"/>
      <c r="D212" s="692"/>
      <c r="E212" s="753"/>
      <c r="F212" s="759"/>
      <c r="G212" s="759"/>
      <c r="H212" s="759"/>
      <c r="I212" s="759"/>
    </row>
    <row r="213" spans="1:15" s="88" customFormat="1" ht="12.75">
      <c r="A213" s="707"/>
      <c r="B213" s="710"/>
      <c r="C213" s="692"/>
      <c r="D213" s="692"/>
      <c r="E213" s="753"/>
      <c r="F213" s="759"/>
      <c r="G213" s="759"/>
      <c r="H213" s="759"/>
      <c r="I213" s="759"/>
    </row>
    <row r="214" spans="1:15" s="88" customFormat="1" ht="12.75">
      <c r="A214" s="707"/>
      <c r="B214" s="710"/>
      <c r="C214" s="692"/>
      <c r="D214" s="692"/>
      <c r="E214" s="753"/>
      <c r="F214" s="759"/>
      <c r="G214" s="759"/>
      <c r="H214" s="759"/>
      <c r="I214" s="759"/>
    </row>
    <row r="215" spans="1:15" s="88" customFormat="1">
      <c r="A215" s="707"/>
      <c r="B215" s="710"/>
      <c r="C215" s="759"/>
      <c r="D215" s="759"/>
      <c r="E215" s="759"/>
      <c r="F215" s="759"/>
      <c r="G215" s="759"/>
      <c r="H215" s="759"/>
      <c r="I215" s="759"/>
    </row>
    <row r="216" spans="1:15" s="88" customFormat="1">
      <c r="A216" s="707" t="s">
        <v>146</v>
      </c>
      <c r="B216" s="710"/>
      <c r="C216" s="710" t="s">
        <v>95</v>
      </c>
      <c r="D216" s="710" t="s">
        <v>86</v>
      </c>
      <c r="E216" s="710" t="s">
        <v>86</v>
      </c>
      <c r="F216" s="710" t="s">
        <v>212</v>
      </c>
      <c r="G216" s="710" t="s">
        <v>212</v>
      </c>
      <c r="H216" s="710" t="s">
        <v>213</v>
      </c>
      <c r="I216" s="710" t="s">
        <v>213</v>
      </c>
    </row>
    <row r="217" spans="1:15" s="88" customFormat="1">
      <c r="A217" s="707" t="s">
        <v>147</v>
      </c>
      <c r="B217" s="710"/>
      <c r="C217" s="711" t="s">
        <v>214</v>
      </c>
      <c r="D217" s="711" t="s">
        <v>215</v>
      </c>
      <c r="E217" s="711" t="s">
        <v>216</v>
      </c>
      <c r="F217" s="711" t="s">
        <v>215</v>
      </c>
      <c r="G217" s="711" t="s">
        <v>216</v>
      </c>
      <c r="H217" s="711" t="s">
        <v>215</v>
      </c>
      <c r="I217" s="711" t="s">
        <v>216</v>
      </c>
    </row>
    <row r="218" spans="1:15">
      <c r="A218" s="707"/>
      <c r="B218" s="708"/>
      <c r="C218" s="708"/>
      <c r="D218" s="708"/>
      <c r="E218" s="708"/>
      <c r="F218" s="708"/>
      <c r="G218" s="708"/>
      <c r="H218" s="708"/>
      <c r="I218" s="708"/>
    </row>
    <row r="219" spans="1:15">
      <c r="A219" s="707"/>
      <c r="B219" s="761" t="s">
        <v>217</v>
      </c>
      <c r="C219" s="708"/>
      <c r="D219" s="708"/>
      <c r="E219" s="708"/>
      <c r="F219" s="708"/>
      <c r="G219" s="708"/>
      <c r="H219" s="708"/>
      <c r="I219" s="708"/>
    </row>
    <row r="220" spans="1:15">
      <c r="A220" s="707"/>
      <c r="B220" s="721" t="s">
        <v>101</v>
      </c>
      <c r="C220" s="708"/>
      <c r="D220" s="708"/>
      <c r="E220" s="708"/>
      <c r="F220" s="708"/>
      <c r="G220" s="708"/>
      <c r="H220" s="708"/>
      <c r="I220" s="708"/>
    </row>
    <row r="221" spans="1:15">
      <c r="A221" s="707"/>
      <c r="B221" s="730" t="s">
        <v>218</v>
      </c>
      <c r="C221" s="727">
        <f>D62</f>
        <v>7.39</v>
      </c>
      <c r="D221" s="714">
        <f>D8</f>
        <v>1568799173.4194205</v>
      </c>
      <c r="E221" s="729">
        <f>C221*D221/100</f>
        <v>115934258.91569518</v>
      </c>
      <c r="F221" s="714">
        <f>MIN(D221,F225)</f>
        <v>1568799173.4194205</v>
      </c>
      <c r="G221" s="729">
        <f>F221*C221/100</f>
        <v>115934258.91569518</v>
      </c>
      <c r="H221" s="714">
        <f>D221-F221</f>
        <v>0</v>
      </c>
      <c r="I221" s="729">
        <f>H221*C221/100</f>
        <v>0</v>
      </c>
    </row>
    <row r="222" spans="1:15">
      <c r="A222" s="707"/>
      <c r="B222" s="730" t="s">
        <v>219</v>
      </c>
      <c r="C222" s="727">
        <f>D63</f>
        <v>8.5980000000000008</v>
      </c>
      <c r="D222" s="714">
        <f>D9</f>
        <v>501965104.29546225</v>
      </c>
      <c r="E222" s="729">
        <f>C222*D222/100</f>
        <v>43158959.66732385</v>
      </c>
      <c r="F222" s="714">
        <f>MIN(F225-F221,D222)</f>
        <v>56851221.580579519</v>
      </c>
      <c r="G222" s="729">
        <f>F222*C222/100</f>
        <v>4888068.0314982273</v>
      </c>
      <c r="H222" s="714">
        <f>D222-F222</f>
        <v>445113882.71488273</v>
      </c>
      <c r="I222" s="729">
        <f>H222*C222/100</f>
        <v>38270891.635825619</v>
      </c>
      <c r="L222" s="737">
        <f>H222/$H$225</f>
        <v>0.6059015349877801</v>
      </c>
      <c r="M222" s="708"/>
      <c r="N222" s="762">
        <f>L222*$D$145</f>
        <v>22306303.788273364</v>
      </c>
      <c r="O222" s="738">
        <f>N222*(D63/100)</f>
        <v>1917895.9997157438</v>
      </c>
    </row>
    <row r="223" spans="1:15">
      <c r="A223" s="707"/>
      <c r="B223" s="730" t="s">
        <v>220</v>
      </c>
      <c r="C223" s="727">
        <f>D64</f>
        <v>10.08</v>
      </c>
      <c r="D223" s="714">
        <f>D10</f>
        <v>289516840.28511739</v>
      </c>
      <c r="E223" s="729">
        <f>C223*D223/100</f>
        <v>29183297.500739831</v>
      </c>
      <c r="F223" s="714">
        <f>MIN(F225-F221-F222,D223)</f>
        <v>0</v>
      </c>
      <c r="G223" s="729">
        <f>F223*C223/100</f>
        <v>0</v>
      </c>
      <c r="H223" s="714">
        <f>D223-F223</f>
        <v>289516840.28511739</v>
      </c>
      <c r="I223" s="729">
        <f>H223*C223/100</f>
        <v>29183297.500739831</v>
      </c>
      <c r="L223" s="737">
        <f>H223/$H$225</f>
        <v>0.39409846501221996</v>
      </c>
      <c r="M223" s="708"/>
      <c r="N223" s="762">
        <f>L223*$D$145</f>
        <v>14508760.211726638</v>
      </c>
      <c r="O223" s="738">
        <f>N223*(D64/100)</f>
        <v>1462483.0293420451</v>
      </c>
    </row>
    <row r="224" spans="1:15">
      <c r="A224" s="707"/>
      <c r="B224" s="708"/>
      <c r="C224" s="708"/>
      <c r="D224" s="717"/>
      <c r="E224" s="763"/>
      <c r="F224" s="717"/>
      <c r="G224" s="763"/>
      <c r="H224" s="717"/>
      <c r="I224" s="763"/>
      <c r="L224" s="708"/>
      <c r="M224" s="708"/>
      <c r="N224" s="762">
        <f>SUM(N222:N223)</f>
        <v>36815064</v>
      </c>
      <c r="O224" s="738">
        <f>SUM(O222:O223)</f>
        <v>3380379.0290577887</v>
      </c>
    </row>
    <row r="225" spans="1:9">
      <c r="A225" s="707"/>
      <c r="B225" s="708" t="s">
        <v>86</v>
      </c>
      <c r="C225" s="708"/>
      <c r="D225" s="714">
        <f t="shared" ref="D225:I225" si="32">D221+D222+D223</f>
        <v>2360281118</v>
      </c>
      <c r="E225" s="729">
        <f t="shared" si="32"/>
        <v>188276516.08375886</v>
      </c>
      <c r="F225" s="732">
        <f>655*D25</f>
        <v>1625650395</v>
      </c>
      <c r="G225" s="729">
        <f t="shared" si="32"/>
        <v>120822326.9471934</v>
      </c>
      <c r="H225" s="714">
        <f t="shared" si="32"/>
        <v>734630723.00000012</v>
      </c>
      <c r="I225" s="729">
        <f t="shared" si="32"/>
        <v>67454189.136565447</v>
      </c>
    </row>
    <row r="226" spans="1:9">
      <c r="A226" s="707"/>
      <c r="B226" s="708" t="s">
        <v>221</v>
      </c>
      <c r="C226" s="708"/>
      <c r="D226" s="714"/>
      <c r="E226" s="727">
        <f>E225/D225*100</f>
        <v>7.9768682911506836</v>
      </c>
      <c r="F226" s="727"/>
      <c r="G226" s="727">
        <f>G225/F225*100</f>
        <v>7.4322454150539174</v>
      </c>
      <c r="H226" s="714"/>
      <c r="I226" s="727">
        <f>I225/H225*100</f>
        <v>9.182053925148109</v>
      </c>
    </row>
    <row r="227" spans="1:9">
      <c r="A227" s="707"/>
      <c r="B227" s="708"/>
      <c r="C227" s="708"/>
      <c r="D227" s="714"/>
      <c r="E227" s="708"/>
      <c r="F227" s="714"/>
      <c r="G227" s="708"/>
      <c r="H227" s="714"/>
      <c r="I227" s="708"/>
    </row>
    <row r="228" spans="1:9" ht="10.15" hidden="1" customHeight="1">
      <c r="A228" s="707"/>
      <c r="B228" s="761" t="s">
        <v>222</v>
      </c>
      <c r="C228" s="708"/>
      <c r="D228" s="714"/>
      <c r="E228" s="708"/>
      <c r="F228" s="714"/>
      <c r="G228" s="708"/>
      <c r="H228" s="714"/>
      <c r="I228" s="708"/>
    </row>
    <row r="229" spans="1:9" ht="10.15" hidden="1" customHeight="1">
      <c r="A229" s="707"/>
      <c r="B229" s="721" t="s">
        <v>101</v>
      </c>
      <c r="C229" s="708"/>
      <c r="D229" s="714"/>
      <c r="E229" s="708"/>
      <c r="F229" s="714"/>
      <c r="G229" s="708"/>
      <c r="H229" s="714"/>
      <c r="I229" s="708"/>
    </row>
    <row r="230" spans="1:9" ht="10.15" hidden="1" customHeight="1">
      <c r="A230" s="707"/>
      <c r="B230" s="730" t="s">
        <v>218</v>
      </c>
      <c r="C230" s="727">
        <f>D79</f>
        <v>7.39</v>
      </c>
      <c r="D230" s="714">
        <f>D221</f>
        <v>1568799173.4194205</v>
      </c>
      <c r="E230" s="729">
        <f>C230*D230/100</f>
        <v>115934258.91569518</v>
      </c>
      <c r="F230" s="714">
        <f>MIN(D230,F234)</f>
        <v>1568799173.4194205</v>
      </c>
      <c r="G230" s="729">
        <f>F230*C230/100</f>
        <v>115934258.91569518</v>
      </c>
      <c r="H230" s="714">
        <f>H221</f>
        <v>0</v>
      </c>
      <c r="I230" s="729">
        <f>H230*C230/100</f>
        <v>0</v>
      </c>
    </row>
    <row r="231" spans="1:9" ht="10.15" hidden="1" customHeight="1">
      <c r="A231" s="707"/>
      <c r="B231" s="730" t="s">
        <v>219</v>
      </c>
      <c r="C231" s="727">
        <f>D80</f>
        <v>8.5980000000000008</v>
      </c>
      <c r="D231" s="714">
        <f>D222</f>
        <v>501965104.29546225</v>
      </c>
      <c r="E231" s="729">
        <f>C231*D231/100</f>
        <v>43158959.66732385</v>
      </c>
      <c r="F231" s="714">
        <f>MIN(F234-F230,D231)</f>
        <v>56851221.580579519</v>
      </c>
      <c r="G231" s="729">
        <f>F231*C231/100</f>
        <v>4888068.0314982273</v>
      </c>
      <c r="H231" s="714">
        <f>H222</f>
        <v>445113882.71488273</v>
      </c>
      <c r="I231" s="729">
        <f>H231*C231/100</f>
        <v>38270891.635825619</v>
      </c>
    </row>
    <row r="232" spans="1:9" ht="10.15" hidden="1" customHeight="1">
      <c r="A232" s="707"/>
      <c r="B232" s="730" t="s">
        <v>220</v>
      </c>
      <c r="C232" s="727">
        <f>D81</f>
        <v>10.08</v>
      </c>
      <c r="D232" s="714">
        <f>D223</f>
        <v>289516840.28511739</v>
      </c>
      <c r="E232" s="729">
        <f>C232*D232/100</f>
        <v>29183297.500739831</v>
      </c>
      <c r="F232" s="714">
        <f>MIN(F234-F230-F231,D232)</f>
        <v>0</v>
      </c>
      <c r="G232" s="729">
        <f>F232*C232/100</f>
        <v>0</v>
      </c>
      <c r="H232" s="714">
        <f>H223</f>
        <v>289516840.28511739</v>
      </c>
      <c r="I232" s="729">
        <f>H232*C232/100</f>
        <v>29183297.500739831</v>
      </c>
    </row>
    <row r="233" spans="1:9" ht="10.15" hidden="1" customHeight="1">
      <c r="A233" s="707"/>
      <c r="B233" s="708"/>
      <c r="C233" s="708"/>
      <c r="D233" s="717"/>
      <c r="E233" s="763"/>
      <c r="F233" s="717"/>
      <c r="G233" s="763"/>
      <c r="H233" s="717"/>
      <c r="I233" s="763"/>
    </row>
    <row r="234" spans="1:9" ht="10.15" hidden="1" customHeight="1">
      <c r="A234" s="707"/>
      <c r="B234" s="708" t="s">
        <v>86</v>
      </c>
      <c r="C234" s="708"/>
      <c r="D234" s="714">
        <f t="shared" ref="D234:I234" si="33">D230+D231+D232</f>
        <v>2360281118</v>
      </c>
      <c r="E234" s="729">
        <f t="shared" si="33"/>
        <v>188276516.08375886</v>
      </c>
      <c r="F234" s="714">
        <f>F225</f>
        <v>1625650395</v>
      </c>
      <c r="G234" s="729">
        <f t="shared" si="33"/>
        <v>120822326.9471934</v>
      </c>
      <c r="H234" s="714">
        <f t="shared" si="33"/>
        <v>734630723.00000012</v>
      </c>
      <c r="I234" s="729">
        <f t="shared" si="33"/>
        <v>67454189.136565447</v>
      </c>
    </row>
    <row r="235" spans="1:9" ht="10.15" hidden="1" customHeight="1">
      <c r="A235" s="707"/>
      <c r="B235" s="708" t="s">
        <v>221</v>
      </c>
      <c r="C235" s="708"/>
      <c r="D235" s="714"/>
      <c r="E235" s="727">
        <f>E234/D234*100</f>
        <v>7.9768682911506836</v>
      </c>
      <c r="F235" s="727"/>
      <c r="G235" s="727">
        <f>G234/F234*100</f>
        <v>7.4322454150539174</v>
      </c>
      <c r="H235" s="714"/>
      <c r="I235" s="727">
        <f>I234/H234*100</f>
        <v>9.182053925148109</v>
      </c>
    </row>
    <row r="236" spans="1:9" ht="10.15" hidden="1" customHeight="1">
      <c r="A236" s="707"/>
      <c r="B236" s="708"/>
      <c r="C236" s="708"/>
      <c r="D236" s="714"/>
      <c r="E236" s="708"/>
      <c r="F236" s="714"/>
      <c r="G236" s="727"/>
      <c r="H236" s="714"/>
      <c r="I236" s="727"/>
    </row>
    <row r="237" spans="1:9" ht="10.15" hidden="1" customHeight="1">
      <c r="A237" s="707"/>
      <c r="B237" s="708"/>
      <c r="C237" s="708"/>
      <c r="D237" s="714"/>
      <c r="E237" s="708"/>
      <c r="F237" s="714"/>
      <c r="G237" s="708"/>
      <c r="H237" s="714"/>
      <c r="I237" s="708"/>
    </row>
    <row r="238" spans="1:9">
      <c r="A238" s="707"/>
      <c r="B238" s="708"/>
      <c r="C238" s="708"/>
      <c r="D238" s="714"/>
      <c r="E238" s="708"/>
      <c r="F238" s="714"/>
      <c r="G238" s="708"/>
      <c r="H238" s="714"/>
      <c r="I238" s="708"/>
    </row>
    <row r="239" spans="1:9">
      <c r="A239" s="707"/>
      <c r="B239" s="761" t="s">
        <v>217</v>
      </c>
      <c r="C239" s="708"/>
      <c r="D239" s="714"/>
      <c r="E239" s="708"/>
      <c r="F239" s="714"/>
      <c r="G239" s="708"/>
      <c r="H239" s="714"/>
      <c r="I239" s="708"/>
    </row>
    <row r="240" spans="1:9">
      <c r="A240" s="707"/>
      <c r="B240" s="721" t="s">
        <v>223</v>
      </c>
      <c r="C240" s="708"/>
      <c r="D240" s="714"/>
      <c r="E240" s="708"/>
      <c r="F240" s="714"/>
      <c r="G240" s="708"/>
      <c r="H240" s="714"/>
      <c r="I240" s="708"/>
    </row>
    <row r="241" spans="1:9">
      <c r="A241" s="707"/>
      <c r="B241" s="730" t="s">
        <v>224</v>
      </c>
      <c r="C241" s="727">
        <f>E62</f>
        <v>11.292999999999999</v>
      </c>
      <c r="D241" s="714">
        <f>E8</f>
        <v>417235444.63635033</v>
      </c>
      <c r="E241" s="729">
        <f>C241*D241/100</f>
        <v>47118398.762783043</v>
      </c>
      <c r="F241" s="714">
        <f>MIN(D241,F244)</f>
        <v>417235444.63635033</v>
      </c>
      <c r="G241" s="729">
        <f>F241*C241/100</f>
        <v>47118398.762783043</v>
      </c>
      <c r="H241" s="714">
        <f>D241-F241</f>
        <v>0</v>
      </c>
      <c r="I241" s="729">
        <f>H241*C241/100</f>
        <v>0</v>
      </c>
    </row>
    <row r="242" spans="1:9">
      <c r="A242" s="707"/>
      <c r="B242" s="730" t="s">
        <v>225</v>
      </c>
      <c r="C242" s="727">
        <f>E63</f>
        <v>8.298</v>
      </c>
      <c r="D242" s="714">
        <f>E9</f>
        <v>184374178.3636497</v>
      </c>
      <c r="E242" s="729">
        <f>C242*D242/100</f>
        <v>15299369.320615651</v>
      </c>
      <c r="F242" s="714">
        <f>MIN(F244-F241,D242)</f>
        <v>76818379.363649666</v>
      </c>
      <c r="G242" s="729">
        <f>F242*C242/100</f>
        <v>6374389.1195956497</v>
      </c>
      <c r="H242" s="714">
        <f>D242-F242</f>
        <v>107555799.00000003</v>
      </c>
      <c r="I242" s="729">
        <f>H242*C242/100</f>
        <v>8924980.2010200024</v>
      </c>
    </row>
    <row r="243" spans="1:9">
      <c r="A243" s="707"/>
      <c r="B243" s="708"/>
      <c r="C243" s="708"/>
      <c r="D243" s="717"/>
      <c r="E243" s="763"/>
      <c r="F243" s="717"/>
      <c r="G243" s="763"/>
      <c r="H243" s="717"/>
      <c r="I243" s="763"/>
    </row>
    <row r="244" spans="1:9">
      <c r="A244" s="707"/>
      <c r="B244" s="708" t="s">
        <v>86</v>
      </c>
      <c r="C244" s="708"/>
      <c r="D244" s="714">
        <f t="shared" ref="D244:I244" si="34">D241+D242</f>
        <v>601609623</v>
      </c>
      <c r="E244" s="729">
        <f t="shared" si="34"/>
        <v>62417768.083398692</v>
      </c>
      <c r="F244" s="732">
        <f>1338*E25</f>
        <v>494053824</v>
      </c>
      <c r="G244" s="729">
        <f t="shared" si="34"/>
        <v>53492787.88237869</v>
      </c>
      <c r="H244" s="714">
        <f t="shared" si="34"/>
        <v>107555799.00000003</v>
      </c>
      <c r="I244" s="729">
        <f t="shared" si="34"/>
        <v>8924980.2010200024</v>
      </c>
    </row>
    <row r="245" spans="1:9">
      <c r="A245" s="707"/>
      <c r="B245" s="708" t="s">
        <v>221</v>
      </c>
      <c r="C245" s="708"/>
      <c r="D245" s="714"/>
      <c r="E245" s="727">
        <f>E244/D244*100</f>
        <v>10.375127939633821</v>
      </c>
      <c r="F245" s="727"/>
      <c r="G245" s="727">
        <f>G244/F244*100</f>
        <v>10.827319875653608</v>
      </c>
      <c r="H245" s="714"/>
      <c r="I245" s="727">
        <f>I244/H244*100</f>
        <v>8.298</v>
      </c>
    </row>
    <row r="246" spans="1:9">
      <c r="A246" s="707"/>
      <c r="B246" s="708"/>
      <c r="C246" s="708"/>
      <c r="D246" s="714"/>
      <c r="E246" s="708"/>
      <c r="F246" s="714"/>
      <c r="G246" s="727"/>
      <c r="H246" s="714"/>
      <c r="I246" s="727"/>
    </row>
    <row r="247" spans="1:9" ht="10.15" hidden="1" customHeight="1">
      <c r="A247" s="707"/>
      <c r="B247" s="761" t="s">
        <v>222</v>
      </c>
      <c r="C247" s="708"/>
      <c r="D247" s="714"/>
      <c r="E247" s="708"/>
      <c r="F247" s="714"/>
      <c r="G247" s="708"/>
      <c r="H247" s="714"/>
      <c r="I247" s="708"/>
    </row>
    <row r="248" spans="1:9" ht="10.15" hidden="1" customHeight="1">
      <c r="A248" s="707"/>
      <c r="B248" s="721" t="s">
        <v>223</v>
      </c>
      <c r="C248" s="708"/>
      <c r="D248" s="714"/>
      <c r="E248" s="708"/>
      <c r="F248" s="714"/>
      <c r="G248" s="708"/>
      <c r="H248" s="714"/>
      <c r="I248" s="708"/>
    </row>
    <row r="249" spans="1:9" ht="10.15" hidden="1" customHeight="1">
      <c r="A249" s="707"/>
      <c r="B249" s="730" t="s">
        <v>224</v>
      </c>
      <c r="C249" s="727">
        <f>E79</f>
        <v>11.292999999999999</v>
      </c>
      <c r="D249" s="714">
        <f>E31</f>
        <v>417235444.63635033</v>
      </c>
      <c r="E249" s="729">
        <f>C249*D249/100</f>
        <v>47118398.762783043</v>
      </c>
      <c r="F249" s="714">
        <f>MIN(D249,F252)</f>
        <v>417235444.63635033</v>
      </c>
      <c r="G249" s="729">
        <f>F249*C249/100</f>
        <v>47118398.762783043</v>
      </c>
      <c r="H249" s="714">
        <f>D249-F249</f>
        <v>0</v>
      </c>
      <c r="I249" s="729">
        <f>H249*C249/100</f>
        <v>0</v>
      </c>
    </row>
    <row r="250" spans="1:9" ht="10.15" hidden="1" customHeight="1">
      <c r="A250" s="707"/>
      <c r="B250" s="730" t="s">
        <v>225</v>
      </c>
      <c r="C250" s="727">
        <f>E80</f>
        <v>8.298</v>
      </c>
      <c r="D250" s="714">
        <f>E32</f>
        <v>184374178.3636497</v>
      </c>
      <c r="E250" s="729">
        <f>C250*D250/100</f>
        <v>15299369.320615651</v>
      </c>
      <c r="F250" s="714">
        <f>MIN(F252-F249,D250)</f>
        <v>76818379.363649666</v>
      </c>
      <c r="G250" s="729">
        <f>F250*C250/100</f>
        <v>6374389.1195956497</v>
      </c>
      <c r="H250" s="714">
        <f>D250-F250</f>
        <v>107555799.00000003</v>
      </c>
      <c r="I250" s="729">
        <f>H250*C250/100</f>
        <v>8924980.2010200024</v>
      </c>
    </row>
    <row r="251" spans="1:9" ht="10.15" hidden="1" customHeight="1">
      <c r="A251" s="707"/>
      <c r="B251" s="708"/>
      <c r="C251" s="708"/>
      <c r="D251" s="717"/>
      <c r="E251" s="763"/>
      <c r="F251" s="717"/>
      <c r="G251" s="763"/>
      <c r="H251" s="717"/>
      <c r="I251" s="763"/>
    </row>
    <row r="252" spans="1:9" ht="10.15" hidden="1" customHeight="1">
      <c r="A252" s="707"/>
      <c r="B252" s="708" t="s">
        <v>86</v>
      </c>
      <c r="C252" s="708"/>
      <c r="D252" s="714">
        <f t="shared" ref="D252:I252" si="35">D249+D250</f>
        <v>601609623</v>
      </c>
      <c r="E252" s="729">
        <f t="shared" si="35"/>
        <v>62417768.083398692</v>
      </c>
      <c r="F252" s="714">
        <f>F244</f>
        <v>494053824</v>
      </c>
      <c r="G252" s="729">
        <f t="shared" si="35"/>
        <v>53492787.88237869</v>
      </c>
      <c r="H252" s="714">
        <f t="shared" si="35"/>
        <v>107555799.00000003</v>
      </c>
      <c r="I252" s="729">
        <f t="shared" si="35"/>
        <v>8924980.2010200024</v>
      </c>
    </row>
    <row r="253" spans="1:9" ht="10.15" hidden="1" customHeight="1">
      <c r="A253" s="707"/>
      <c r="B253" s="708" t="s">
        <v>221</v>
      </c>
      <c r="C253" s="708"/>
      <c r="D253" s="708"/>
      <c r="E253" s="727">
        <f>E252/D252*100</f>
        <v>10.375127939633821</v>
      </c>
      <c r="F253" s="727"/>
      <c r="G253" s="727">
        <f>G252/F252*100</f>
        <v>10.827319875653608</v>
      </c>
      <c r="H253" s="708"/>
      <c r="I253" s="727">
        <f>I252/H252*100</f>
        <v>8.298</v>
      </c>
    </row>
    <row r="254" spans="1:9" ht="10.15" hidden="1" customHeight="1">
      <c r="A254" s="707"/>
      <c r="B254" s="708"/>
      <c r="C254" s="708"/>
      <c r="D254" s="708"/>
      <c r="E254" s="708"/>
      <c r="F254" s="708"/>
      <c r="G254" s="708"/>
      <c r="H254" s="708"/>
      <c r="I254" s="708"/>
    </row>
    <row r="255" spans="1:9" ht="10.15" hidden="1" customHeight="1">
      <c r="A255" s="707"/>
      <c r="B255" s="708"/>
      <c r="C255" s="708"/>
      <c r="D255" s="708"/>
      <c r="E255" s="708"/>
      <c r="F255" s="708"/>
      <c r="G255" s="708"/>
      <c r="H255" s="708"/>
      <c r="I255" s="708"/>
    </row>
    <row r="256" spans="1:9" ht="10.15" hidden="1" customHeight="1">
      <c r="A256" s="707"/>
      <c r="B256" s="708"/>
      <c r="C256" s="708"/>
      <c r="D256" s="708"/>
      <c r="E256" s="708"/>
      <c r="F256" s="708"/>
      <c r="G256" s="708"/>
      <c r="H256" s="708"/>
      <c r="I256" s="708"/>
    </row>
    <row r="257" spans="1:9" ht="10.15" hidden="1" customHeight="1">
      <c r="A257" s="707"/>
      <c r="B257" s="708"/>
      <c r="C257" s="708"/>
      <c r="D257" s="708"/>
      <c r="E257" s="708"/>
      <c r="F257" s="708"/>
      <c r="G257" s="708"/>
      <c r="H257" s="708"/>
      <c r="I257" s="708"/>
    </row>
    <row r="258" spans="1:9" ht="10.15" hidden="1" customHeight="1">
      <c r="A258" s="707"/>
      <c r="B258" s="708"/>
      <c r="C258" s="708"/>
      <c r="D258" s="708"/>
      <c r="E258" s="708"/>
      <c r="F258" s="708"/>
      <c r="G258" s="708"/>
      <c r="H258" s="708"/>
      <c r="I258" s="708"/>
    </row>
    <row r="259" spans="1:9">
      <c r="A259" s="707"/>
      <c r="B259" s="708"/>
      <c r="C259" s="708"/>
      <c r="D259" s="708"/>
      <c r="E259" s="708"/>
      <c r="F259" s="708"/>
      <c r="G259" s="708"/>
      <c r="H259" s="708"/>
      <c r="I259" s="708"/>
    </row>
    <row r="260" spans="1:9">
      <c r="A260" s="707"/>
      <c r="B260" s="708"/>
      <c r="C260" s="708"/>
      <c r="D260" s="708"/>
      <c r="E260" s="708"/>
      <c r="F260" s="708"/>
      <c r="G260" s="708"/>
      <c r="H260" s="708"/>
      <c r="I260" s="708"/>
    </row>
    <row r="261" spans="1:9">
      <c r="A261" s="707"/>
      <c r="B261" s="764" t="s">
        <v>654</v>
      </c>
      <c r="C261" s="764"/>
      <c r="D261" s="764"/>
      <c r="E261" s="764"/>
      <c r="F261" s="764"/>
      <c r="G261" s="708"/>
      <c r="H261" s="708"/>
      <c r="I261" s="708"/>
    </row>
    <row r="262" spans="1:9">
      <c r="A262" s="707"/>
      <c r="B262" s="764" t="str">
        <f>"663 X "&amp;TEXT(D25,"#,##0")&amp;" = "&amp;TEXT(F225,"#,##0")</f>
        <v>663 X 2,481,909 = 1,625,650,395</v>
      </c>
      <c r="C262" s="708"/>
      <c r="D262" s="708"/>
      <c r="E262" s="708"/>
      <c r="F262" s="708"/>
      <c r="G262" s="708"/>
      <c r="H262" s="708"/>
      <c r="I262" s="708"/>
    </row>
    <row r="263" spans="1:9">
      <c r="A263" s="707"/>
      <c r="B263" s="764" t="str">
        <f>"Total Base Load for Sch. 11 = 1,338 X "&amp;TEXT(E25,"#,##0")&amp;" = "&amp;TEXT(F244,"#,##0")</f>
        <v>Total Base Load for Sch. 11 = 1,338 X 369,248 = 494,053,824</v>
      </c>
      <c r="C263" s="708"/>
      <c r="D263" s="708"/>
      <c r="E263" s="708"/>
      <c r="F263" s="708"/>
      <c r="G263" s="708"/>
      <c r="H263" s="708"/>
      <c r="I263" s="708"/>
    </row>
    <row r="264" spans="1:9" s="88" customFormat="1" ht="12.75">
      <c r="A264" s="707"/>
      <c r="B264" s="758" t="str">
        <f>IF(Base1_Billing2=2,"Pres and Prop Revenues may be incorrect due to Sch 59--for example all of Sch 11 gets benefit of Sch 59 but it s/only be Sch 12; see Billing Rev on Exhibit page for fix","")</f>
        <v/>
      </c>
      <c r="C264" s="759"/>
      <c r="D264" s="692"/>
      <c r="E264" s="692"/>
      <c r="F264" s="692"/>
      <c r="G264" s="692"/>
      <c r="H264" s="692"/>
      <c r="I264" s="692"/>
    </row>
    <row r="265" spans="1:9" s="88" customFormat="1" ht="12.75">
      <c r="A265" s="707"/>
      <c r="B265" s="710"/>
      <c r="C265" s="692"/>
      <c r="D265" s="692"/>
      <c r="E265" s="753"/>
      <c r="F265" s="759"/>
      <c r="G265" s="759"/>
      <c r="H265" s="759"/>
      <c r="I265" s="759"/>
    </row>
    <row r="266" spans="1:9" s="88" customFormat="1" ht="12.75">
      <c r="A266" s="707"/>
      <c r="B266" s="710"/>
      <c r="C266" s="692"/>
      <c r="D266" s="692"/>
      <c r="E266" s="753"/>
      <c r="F266" s="759"/>
      <c r="G266" s="759"/>
      <c r="H266" s="759"/>
      <c r="I266" s="759"/>
    </row>
    <row r="267" spans="1:9" s="88" customFormat="1" ht="12.75">
      <c r="A267" s="707"/>
      <c r="B267" s="710"/>
      <c r="C267" s="692"/>
      <c r="D267" s="692"/>
      <c r="E267" s="753"/>
      <c r="F267" s="759"/>
      <c r="G267" s="759"/>
      <c r="H267" s="759"/>
      <c r="I267" s="759"/>
    </row>
    <row r="268" spans="1:9" s="88" customFormat="1">
      <c r="A268" s="707"/>
      <c r="B268" s="710"/>
      <c r="C268" s="759"/>
      <c r="D268" s="759"/>
      <c r="E268" s="759"/>
      <c r="F268" s="759"/>
      <c r="G268" s="759"/>
      <c r="H268" s="759"/>
      <c r="I268" s="759"/>
    </row>
    <row r="269" spans="1:9" s="88" customFormat="1">
      <c r="A269" s="707" t="s">
        <v>146</v>
      </c>
      <c r="B269" s="710"/>
      <c r="C269" s="710" t="s">
        <v>95</v>
      </c>
      <c r="D269" s="710" t="s">
        <v>86</v>
      </c>
      <c r="E269" s="710" t="s">
        <v>86</v>
      </c>
      <c r="F269" s="710" t="s">
        <v>212</v>
      </c>
      <c r="G269" s="710" t="s">
        <v>212</v>
      </c>
      <c r="H269" s="710" t="s">
        <v>213</v>
      </c>
      <c r="I269" s="710" t="s">
        <v>213</v>
      </c>
    </row>
    <row r="270" spans="1:9" s="88" customFormat="1">
      <c r="A270" s="707" t="s">
        <v>147</v>
      </c>
      <c r="B270" s="710"/>
      <c r="C270" s="711" t="s">
        <v>214</v>
      </c>
      <c r="D270" s="711" t="s">
        <v>215</v>
      </c>
      <c r="E270" s="711" t="s">
        <v>216</v>
      </c>
      <c r="F270" s="711" t="s">
        <v>215</v>
      </c>
      <c r="G270" s="711" t="s">
        <v>216</v>
      </c>
      <c r="H270" s="711" t="s">
        <v>215</v>
      </c>
      <c r="I270" s="711" t="s">
        <v>216</v>
      </c>
    </row>
    <row r="271" spans="1:9">
      <c r="A271" s="707"/>
      <c r="B271" s="708"/>
      <c r="C271" s="708"/>
      <c r="D271" s="708"/>
      <c r="E271" s="708"/>
      <c r="F271" s="708"/>
      <c r="G271" s="708"/>
      <c r="H271" s="708"/>
      <c r="I271" s="708"/>
    </row>
    <row r="272" spans="1:9">
      <c r="A272" s="707"/>
      <c r="B272" s="761" t="s">
        <v>217</v>
      </c>
      <c r="C272" s="708"/>
      <c r="D272" s="708"/>
      <c r="E272" s="708"/>
      <c r="F272" s="708"/>
      <c r="G272" s="708"/>
      <c r="H272" s="708"/>
      <c r="I272" s="708"/>
    </row>
    <row r="273" spans="1:9">
      <c r="A273" s="707"/>
      <c r="B273" s="721" t="s">
        <v>226</v>
      </c>
      <c r="C273" s="708"/>
      <c r="D273" s="708"/>
      <c r="E273" s="708"/>
      <c r="F273" s="708"/>
      <c r="G273" s="708"/>
      <c r="H273" s="708"/>
      <c r="I273" s="708"/>
    </row>
    <row r="274" spans="1:9">
      <c r="A274" s="707"/>
      <c r="B274" s="730" t="s">
        <v>227</v>
      </c>
      <c r="C274" s="727">
        <f>F62</f>
        <v>7.0890000000000004</v>
      </c>
      <c r="D274" s="714">
        <f>F8</f>
        <v>1286691866.9453735</v>
      </c>
      <c r="E274" s="729">
        <f>C274*D274/100</f>
        <v>91213586.447757527</v>
      </c>
      <c r="F274" s="714">
        <f>MIN(D274,F277)</f>
        <v>1286691866.9453735</v>
      </c>
      <c r="G274" s="729">
        <f>F274*C274/100</f>
        <v>91213586.447757527</v>
      </c>
      <c r="H274" s="714">
        <f>D274-F274</f>
        <v>0</v>
      </c>
      <c r="I274" s="729">
        <f>H274*C274/100</f>
        <v>0</v>
      </c>
    </row>
    <row r="275" spans="1:9">
      <c r="A275" s="707"/>
      <c r="B275" s="730" t="s">
        <v>228</v>
      </c>
      <c r="C275" s="727">
        <f>F63</f>
        <v>6.34</v>
      </c>
      <c r="D275" s="714">
        <f>F9</f>
        <v>165092233.05462646</v>
      </c>
      <c r="E275" s="729">
        <f>C275*D275/100</f>
        <v>10466847.575663317</v>
      </c>
      <c r="F275" s="714">
        <f>MIN(F277-F274,D275)</f>
        <v>57599781.054626465</v>
      </c>
      <c r="G275" s="729">
        <f>F275*C275/100</f>
        <v>3651826.1188633181</v>
      </c>
      <c r="H275" s="714">
        <f>D275-F275</f>
        <v>107492452</v>
      </c>
      <c r="I275" s="729">
        <f>H275*C275/100</f>
        <v>6815021.4567999998</v>
      </c>
    </row>
    <row r="276" spans="1:9">
      <c r="A276" s="707"/>
      <c r="B276" s="708"/>
      <c r="C276" s="708"/>
      <c r="D276" s="717"/>
      <c r="E276" s="763"/>
      <c r="F276" s="717"/>
      <c r="G276" s="763"/>
      <c r="H276" s="717"/>
      <c r="I276" s="763"/>
    </row>
    <row r="277" spans="1:9">
      <c r="A277" s="707"/>
      <c r="B277" s="708" t="s">
        <v>86</v>
      </c>
      <c r="C277" s="708"/>
      <c r="D277" s="714">
        <f>D274+D275</f>
        <v>1451784100</v>
      </c>
      <c r="E277" s="714">
        <f>E274+E275</f>
        <v>101680434.02342084</v>
      </c>
      <c r="F277" s="732">
        <f>55632*F25</f>
        <v>1344291648</v>
      </c>
      <c r="G277" s="714">
        <f>G274+G275</f>
        <v>94865412.566620842</v>
      </c>
      <c r="H277" s="714">
        <f>H274+H275</f>
        <v>107492452</v>
      </c>
      <c r="I277" s="714">
        <f>I274+I275</f>
        <v>6815021.4567999998</v>
      </c>
    </row>
    <row r="278" spans="1:9">
      <c r="A278" s="707"/>
      <c r="B278" s="708" t="s">
        <v>221</v>
      </c>
      <c r="C278" s="708"/>
      <c r="D278" s="714"/>
      <c r="E278" s="727">
        <f>E277/D277*100</f>
        <v>7.0038261214887836</v>
      </c>
      <c r="F278" s="714"/>
      <c r="G278" s="727">
        <f>G277/F277*100</f>
        <v>7.0569070861787306</v>
      </c>
      <c r="H278" s="714"/>
      <c r="I278" s="727">
        <f>I277/H277*100</f>
        <v>6.34</v>
      </c>
    </row>
    <row r="279" spans="1:9">
      <c r="A279" s="707"/>
      <c r="B279" s="708"/>
      <c r="C279" s="708"/>
      <c r="D279" s="714"/>
      <c r="E279" s="708"/>
      <c r="F279" s="714"/>
      <c r="G279" s="708"/>
      <c r="H279" s="714"/>
      <c r="I279" s="708"/>
    </row>
    <row r="280" spans="1:9" ht="10.15" hidden="1" customHeight="1">
      <c r="A280" s="707"/>
      <c r="B280" s="761" t="s">
        <v>222</v>
      </c>
      <c r="C280" s="708"/>
      <c r="D280" s="714"/>
      <c r="E280" s="708"/>
      <c r="F280" s="714"/>
      <c r="G280" s="708"/>
      <c r="H280" s="714"/>
      <c r="I280" s="708"/>
    </row>
    <row r="281" spans="1:9" ht="10.15" hidden="1" customHeight="1">
      <c r="A281" s="707"/>
      <c r="B281" s="721" t="s">
        <v>226</v>
      </c>
      <c r="C281" s="708"/>
      <c r="D281" s="714"/>
      <c r="E281" s="708"/>
      <c r="F281" s="714"/>
      <c r="G281" s="708"/>
      <c r="H281" s="714"/>
      <c r="I281" s="708"/>
    </row>
    <row r="282" spans="1:9" ht="10.15" hidden="1" customHeight="1">
      <c r="A282" s="707"/>
      <c r="B282" s="730" t="s">
        <v>227</v>
      </c>
      <c r="C282" s="727">
        <f>F79</f>
        <v>7.0890000000000004</v>
      </c>
      <c r="D282" s="714">
        <f>D274</f>
        <v>1286691866.9453735</v>
      </c>
      <c r="E282" s="729">
        <f>C282*D282/100</f>
        <v>91213586.447757527</v>
      </c>
      <c r="F282" s="714">
        <f>MIN(D282,F285)</f>
        <v>1286691866.9453735</v>
      </c>
      <c r="G282" s="729">
        <f>F282*C282/100</f>
        <v>91213586.447757527</v>
      </c>
      <c r="H282" s="714">
        <f>H274</f>
        <v>0</v>
      </c>
      <c r="I282" s="729">
        <f>H282*C282/100</f>
        <v>0</v>
      </c>
    </row>
    <row r="283" spans="1:9" ht="10.15" hidden="1" customHeight="1">
      <c r="A283" s="707"/>
      <c r="B283" s="730" t="s">
        <v>228</v>
      </c>
      <c r="C283" s="727">
        <f>F80</f>
        <v>6.34</v>
      </c>
      <c r="D283" s="714">
        <f>D275</f>
        <v>165092233.05462646</v>
      </c>
      <c r="E283" s="729">
        <f>C283*D283/100</f>
        <v>10466847.575663317</v>
      </c>
      <c r="F283" s="714">
        <f>MIN(F285-F282,D283)</f>
        <v>57599781.054626465</v>
      </c>
      <c r="G283" s="729">
        <f>F283*C283/100</f>
        <v>3651826.1188633181</v>
      </c>
      <c r="H283" s="714">
        <f>H275</f>
        <v>107492452</v>
      </c>
      <c r="I283" s="729">
        <f>H283*C283/100</f>
        <v>6815021.4567999998</v>
      </c>
    </row>
    <row r="284" spans="1:9" ht="10.15" hidden="1" customHeight="1">
      <c r="A284" s="707"/>
      <c r="B284" s="708"/>
      <c r="C284" s="708"/>
      <c r="D284" s="717"/>
      <c r="E284" s="763"/>
      <c r="F284" s="717"/>
      <c r="G284" s="763"/>
      <c r="H284" s="717"/>
      <c r="I284" s="763"/>
    </row>
    <row r="285" spans="1:9" ht="10.15" hidden="1" customHeight="1">
      <c r="A285" s="707"/>
      <c r="B285" s="708" t="s">
        <v>86</v>
      </c>
      <c r="C285" s="708"/>
      <c r="D285" s="714">
        <f>D282+D283</f>
        <v>1451784100</v>
      </c>
      <c r="E285" s="714">
        <f>E282+E283</f>
        <v>101680434.02342084</v>
      </c>
      <c r="F285" s="714">
        <f>F277</f>
        <v>1344291648</v>
      </c>
      <c r="G285" s="714">
        <f>G282+G283</f>
        <v>94865412.566620842</v>
      </c>
      <c r="H285" s="714">
        <f>H282+H283</f>
        <v>107492452</v>
      </c>
      <c r="I285" s="714">
        <f>I282+I283</f>
        <v>6815021.4567999998</v>
      </c>
    </row>
    <row r="286" spans="1:9" ht="10.15" hidden="1" customHeight="1">
      <c r="A286" s="707"/>
      <c r="B286" s="708" t="s">
        <v>221</v>
      </c>
      <c r="C286" s="708"/>
      <c r="D286" s="714"/>
      <c r="E286" s="708"/>
      <c r="F286" s="714"/>
      <c r="G286" s="727">
        <f>G285/F285*100</f>
        <v>7.0569070861787306</v>
      </c>
      <c r="H286" s="714"/>
      <c r="I286" s="727">
        <f>I285/H285*100</f>
        <v>6.34</v>
      </c>
    </row>
    <row r="287" spans="1:9" ht="10.15" hidden="1" customHeight="1">
      <c r="A287" s="707"/>
      <c r="B287" s="708"/>
      <c r="C287" s="708"/>
      <c r="D287" s="708"/>
      <c r="E287" s="708"/>
      <c r="F287" s="708"/>
      <c r="G287" s="708"/>
      <c r="H287" s="708"/>
      <c r="I287" s="708"/>
    </row>
    <row r="288" spans="1:9" ht="10.15" hidden="1" customHeight="1">
      <c r="A288" s="707"/>
      <c r="B288" s="708"/>
      <c r="C288" s="708"/>
      <c r="D288" s="708"/>
      <c r="E288" s="708"/>
      <c r="F288" s="708"/>
      <c r="G288" s="708"/>
      <c r="H288" s="708"/>
      <c r="I288" s="708"/>
    </row>
    <row r="289" spans="1:9" ht="10.15" hidden="1" customHeight="1">
      <c r="A289" s="707"/>
      <c r="B289" s="708"/>
      <c r="C289" s="708"/>
      <c r="D289" s="708"/>
      <c r="E289" s="708"/>
      <c r="F289" s="708"/>
      <c r="G289" s="708"/>
      <c r="H289" s="708"/>
      <c r="I289" s="708"/>
    </row>
    <row r="290" spans="1:9" ht="10.15" hidden="1" customHeight="1">
      <c r="A290" s="707"/>
      <c r="B290" s="708"/>
      <c r="C290" s="708"/>
      <c r="D290" s="708"/>
      <c r="E290" s="708"/>
      <c r="F290" s="708"/>
      <c r="G290" s="708"/>
      <c r="H290" s="708"/>
      <c r="I290" s="708"/>
    </row>
    <row r="291" spans="1:9">
      <c r="A291" s="707"/>
      <c r="B291" s="708"/>
      <c r="C291" s="708"/>
      <c r="D291" s="708"/>
      <c r="E291" s="708"/>
      <c r="F291" s="708"/>
      <c r="G291" s="708"/>
      <c r="H291" s="708"/>
      <c r="I291" s="708"/>
    </row>
    <row r="292" spans="1:9">
      <c r="A292" s="707"/>
      <c r="B292" s="708"/>
      <c r="C292" s="708"/>
      <c r="D292" s="708"/>
      <c r="E292" s="708"/>
      <c r="F292" s="708"/>
      <c r="G292" s="708"/>
      <c r="H292" s="708"/>
      <c r="I292" s="708"/>
    </row>
    <row r="293" spans="1:9">
      <c r="A293" s="707"/>
      <c r="B293" s="708"/>
      <c r="C293" s="708"/>
      <c r="D293" s="708"/>
      <c r="E293" s="708"/>
      <c r="F293" s="708"/>
      <c r="G293" s="708"/>
      <c r="H293" s="708"/>
      <c r="I293" s="708"/>
    </row>
    <row r="294" spans="1:9">
      <c r="A294" s="707"/>
      <c r="B294" s="764" t="s">
        <v>655</v>
      </c>
      <c r="C294" s="764"/>
      <c r="D294" s="764"/>
      <c r="E294" s="764"/>
      <c r="F294" s="764"/>
      <c r="G294" s="708"/>
      <c r="H294" s="708"/>
      <c r="I294" s="708"/>
    </row>
    <row r="295" spans="1:9">
      <c r="A295" s="707"/>
      <c r="B295" s="764" t="str">
        <f>"53,800 X "&amp;TEXT(F25,"#,##0")&amp;" = "&amp;TEXT(F277,"#,##0")</f>
        <v>53,800 X 24,164 = 1,344,291,648</v>
      </c>
      <c r="C295" s="708"/>
      <c r="D295" s="708"/>
      <c r="E295" s="708"/>
      <c r="F295" s="708"/>
      <c r="G295" s="708"/>
      <c r="H295" s="708"/>
      <c r="I295" s="708"/>
    </row>
    <row r="296" spans="1:9">
      <c r="A296" s="707"/>
      <c r="B296" s="708"/>
      <c r="C296" s="708"/>
      <c r="D296" s="708"/>
      <c r="E296" s="708"/>
      <c r="F296" s="708"/>
      <c r="G296" s="708"/>
      <c r="H296" s="708"/>
      <c r="I296" s="708"/>
    </row>
    <row r="299" spans="1:9">
      <c r="D299" s="105">
        <f>D207/D48</f>
        <v>0</v>
      </c>
      <c r="E299" s="105">
        <f>E207/E48</f>
        <v>0</v>
      </c>
      <c r="F299" s="105">
        <f>F207/F48</f>
        <v>0</v>
      </c>
      <c r="G299" s="105">
        <f>G207/G48</f>
        <v>0</v>
      </c>
      <c r="H299" s="105">
        <f>H207/H48</f>
        <v>0</v>
      </c>
      <c r="I299" s="105"/>
    </row>
    <row r="300" spans="1:9">
      <c r="D300" s="96">
        <f>D23/D25</f>
        <v>957.32664412756469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AF243"/>
  <sheetViews>
    <sheetView topLeftCell="A28" workbookViewId="0">
      <selection activeCell="N75" sqref="N75"/>
    </sheetView>
  </sheetViews>
  <sheetFormatPr defaultColWidth="9.140625" defaultRowHeight="12.75"/>
  <cols>
    <col min="1" max="1" width="13.140625" style="4" customWidth="1"/>
    <col min="2" max="2" width="11.28515625" style="4" customWidth="1"/>
    <col min="3" max="3" width="13.5703125" style="236" customWidth="1"/>
    <col min="4" max="4" width="16.140625" style="236" customWidth="1"/>
    <col min="5" max="5" width="19.140625" style="4" bestFit="1" customWidth="1"/>
    <col min="6" max="8" width="9.140625" style="4"/>
    <col min="9" max="32" width="15.140625" style="4" bestFit="1" customWidth="1"/>
    <col min="33" max="16384" width="9.140625" style="4"/>
  </cols>
  <sheetData>
    <row r="1" spans="1:32">
      <c r="A1" s="563" t="s">
        <v>656</v>
      </c>
      <c r="F1" s="4" t="s">
        <v>500</v>
      </c>
    </row>
    <row r="2" spans="1:32" ht="15">
      <c r="A2" s="3" t="s">
        <v>2</v>
      </c>
    </row>
    <row r="3" spans="1:32">
      <c r="C3" s="281" t="s">
        <v>657</v>
      </c>
      <c r="D3" s="281" t="s">
        <v>657</v>
      </c>
    </row>
    <row r="4" spans="1:32">
      <c r="C4" s="366">
        <v>2017</v>
      </c>
      <c r="D4" s="366" t="s">
        <v>658</v>
      </c>
      <c r="I4" s="765">
        <v>42736</v>
      </c>
      <c r="J4" s="765">
        <v>42767</v>
      </c>
      <c r="K4" s="765">
        <v>42795</v>
      </c>
      <c r="L4" s="765">
        <v>42826</v>
      </c>
      <c r="M4" s="765">
        <v>42856</v>
      </c>
      <c r="N4" s="765">
        <v>42887</v>
      </c>
      <c r="O4" s="765">
        <v>42917</v>
      </c>
      <c r="P4" s="765">
        <v>42948</v>
      </c>
      <c r="Q4" s="765">
        <v>42979</v>
      </c>
      <c r="R4" s="765">
        <v>43009</v>
      </c>
      <c r="S4" s="765">
        <v>43040</v>
      </c>
      <c r="T4" s="765">
        <v>43070</v>
      </c>
      <c r="U4" s="765">
        <v>43101</v>
      </c>
      <c r="V4" s="765">
        <v>43132</v>
      </c>
      <c r="W4" s="765">
        <v>43160</v>
      </c>
      <c r="X4" s="765">
        <v>43191</v>
      </c>
      <c r="Y4" s="765">
        <v>43221</v>
      </c>
      <c r="Z4" s="765">
        <v>43252</v>
      </c>
      <c r="AA4" s="765">
        <v>43282</v>
      </c>
      <c r="AB4" s="765">
        <v>43313</v>
      </c>
      <c r="AC4" s="765">
        <v>43344</v>
      </c>
      <c r="AD4" s="765">
        <v>43374</v>
      </c>
      <c r="AE4" s="765">
        <v>43405</v>
      </c>
      <c r="AF4" s="765">
        <v>43435</v>
      </c>
    </row>
    <row r="5" spans="1:32">
      <c r="A5" s="470" t="s">
        <v>42</v>
      </c>
      <c r="C5" s="237"/>
      <c r="D5" s="237"/>
    </row>
    <row r="6" spans="1:32">
      <c r="A6" s="766" t="s">
        <v>32</v>
      </c>
      <c r="B6" s="7"/>
      <c r="C6" s="472">
        <f>SUM(I6:T6)</f>
        <v>2528810</v>
      </c>
      <c r="D6" s="379">
        <f>SUM(O6:Z6)</f>
        <v>2541558</v>
      </c>
      <c r="F6" s="4" t="s">
        <v>659</v>
      </c>
      <c r="I6" s="767">
        <v>210519</v>
      </c>
      <c r="J6" s="767">
        <v>210639</v>
      </c>
      <c r="K6" s="767">
        <v>210630</v>
      </c>
      <c r="L6" s="767">
        <v>210500</v>
      </c>
      <c r="M6" s="767">
        <v>210220</v>
      </c>
      <c r="N6" s="767">
        <v>209616</v>
      </c>
      <c r="O6" s="767">
        <v>210093</v>
      </c>
      <c r="P6" s="767">
        <v>210123</v>
      </c>
      <c r="Q6" s="767">
        <v>210727</v>
      </c>
      <c r="R6" s="767">
        <v>211379</v>
      </c>
      <c r="S6" s="767">
        <v>211905</v>
      </c>
      <c r="T6" s="767">
        <v>212459</v>
      </c>
      <c r="U6" s="767">
        <v>212655</v>
      </c>
      <c r="V6" s="767">
        <v>212861</v>
      </c>
      <c r="W6" s="767">
        <v>212679</v>
      </c>
      <c r="X6" s="767">
        <v>212577</v>
      </c>
      <c r="Y6" s="767">
        <v>212331</v>
      </c>
      <c r="Z6" s="767">
        <v>211769</v>
      </c>
      <c r="AA6" s="767">
        <v>212213</v>
      </c>
      <c r="AB6" s="767">
        <v>212241</v>
      </c>
      <c r="AC6" s="767">
        <v>212881</v>
      </c>
      <c r="AD6" s="767">
        <v>213524</v>
      </c>
      <c r="AE6" s="767">
        <v>214127</v>
      </c>
      <c r="AF6" s="767">
        <v>214656</v>
      </c>
    </row>
    <row r="7" spans="1:32">
      <c r="A7" s="766" t="s">
        <v>36</v>
      </c>
      <c r="B7" s="7"/>
      <c r="C7" s="472">
        <f t="shared" ref="C7:C25" si="0">SUM(I7:T7)</f>
        <v>266179.82948797464</v>
      </c>
      <c r="D7" s="379">
        <f t="shared" ref="D7:D25" si="1">SUM(O7:Z7)</f>
        <v>267673.74680508953</v>
      </c>
      <c r="F7" s="4" t="s">
        <v>660</v>
      </c>
      <c r="I7" s="767">
        <v>22079.731774425392</v>
      </c>
      <c r="J7" s="767">
        <v>22138.753706976742</v>
      </c>
      <c r="K7" s="767">
        <v>22127.774213186472</v>
      </c>
      <c r="L7" s="767">
        <v>22150.751236354932</v>
      </c>
      <c r="M7" s="767">
        <v>22153.739886904339</v>
      </c>
      <c r="N7" s="767">
        <v>22169.728373403959</v>
      </c>
      <c r="O7" s="767">
        <v>22153.723691772237</v>
      </c>
      <c r="P7" s="767">
        <v>22189.720694868072</v>
      </c>
      <c r="Q7" s="767">
        <v>22193.720901623434</v>
      </c>
      <c r="R7" s="767">
        <v>22235.72385808071</v>
      </c>
      <c r="S7" s="767">
        <v>22261.728349611949</v>
      </c>
      <c r="T7" s="767">
        <v>22324.732800766404</v>
      </c>
      <c r="U7" s="767">
        <v>22328.735790664556</v>
      </c>
      <c r="V7" s="767">
        <v>22392.736125351152</v>
      </c>
      <c r="W7" s="767">
        <v>22372.734660215683</v>
      </c>
      <c r="X7" s="767">
        <v>22396.731364134786</v>
      </c>
      <c r="Y7" s="767">
        <v>22402.72970811644</v>
      </c>
      <c r="Z7" s="767">
        <v>22420.728859884115</v>
      </c>
      <c r="AA7" s="767">
        <v>22402.728900424128</v>
      </c>
      <c r="AB7" s="767">
        <v>22438.729334478452</v>
      </c>
      <c r="AC7" s="767">
        <v>22444.730054445983</v>
      </c>
      <c r="AD7" s="767">
        <v>22486.730817181196</v>
      </c>
      <c r="AE7" s="767">
        <v>22516.731397106236</v>
      </c>
      <c r="AF7" s="767">
        <v>22578.731651064096</v>
      </c>
    </row>
    <row r="8" spans="1:32">
      <c r="A8" s="766" t="s">
        <v>33</v>
      </c>
      <c r="B8" s="7"/>
      <c r="C8" s="472">
        <f t="shared" si="0"/>
        <v>111569</v>
      </c>
      <c r="D8" s="379">
        <f t="shared" si="1"/>
        <v>112808</v>
      </c>
      <c r="F8" s="4" t="s">
        <v>661</v>
      </c>
      <c r="I8" s="767">
        <v>9223</v>
      </c>
      <c r="J8" s="767">
        <v>9239</v>
      </c>
      <c r="K8" s="767">
        <v>9242</v>
      </c>
      <c r="L8" s="767">
        <v>9249</v>
      </c>
      <c r="M8" s="767">
        <v>9260</v>
      </c>
      <c r="N8" s="767">
        <v>9269</v>
      </c>
      <c r="O8" s="767">
        <v>9282</v>
      </c>
      <c r="P8" s="767">
        <v>9318</v>
      </c>
      <c r="Q8" s="767">
        <v>9332</v>
      </c>
      <c r="R8" s="767">
        <v>9363</v>
      </c>
      <c r="S8" s="767">
        <v>9379</v>
      </c>
      <c r="T8" s="767">
        <v>9413</v>
      </c>
      <c r="U8" s="767">
        <v>9429</v>
      </c>
      <c r="V8" s="767">
        <v>9445</v>
      </c>
      <c r="W8" s="767">
        <v>9448</v>
      </c>
      <c r="X8" s="767">
        <v>9456</v>
      </c>
      <c r="Y8" s="767">
        <v>9467</v>
      </c>
      <c r="Z8" s="767">
        <v>9476</v>
      </c>
      <c r="AA8" s="767">
        <v>9488</v>
      </c>
      <c r="AB8" s="767">
        <v>9524</v>
      </c>
      <c r="AC8" s="767">
        <v>9538</v>
      </c>
      <c r="AD8" s="767">
        <v>9570</v>
      </c>
      <c r="AE8" s="767">
        <v>9585</v>
      </c>
      <c r="AF8" s="767">
        <v>9619</v>
      </c>
    </row>
    <row r="9" spans="1:32">
      <c r="A9" s="766" t="s">
        <v>37</v>
      </c>
      <c r="B9" s="7"/>
      <c r="C9" s="472">
        <f t="shared" si="0"/>
        <v>23639.584979780746</v>
      </c>
      <c r="D9" s="379">
        <f t="shared" si="1"/>
        <v>23639.519703562837</v>
      </c>
      <c r="F9" s="4" t="s">
        <v>662</v>
      </c>
      <c r="I9" s="767">
        <v>1969.9634331676789</v>
      </c>
      <c r="J9" s="767">
        <v>1969.9804120548492</v>
      </c>
      <c r="K9" s="767">
        <v>1969.9935302484394</v>
      </c>
      <c r="L9" s="767">
        <v>1969.9811930572469</v>
      </c>
      <c r="M9" s="767">
        <v>1969.9668445963525</v>
      </c>
      <c r="N9" s="767">
        <v>1969.9571797735227</v>
      </c>
      <c r="O9" s="767">
        <v>1969.953078837191</v>
      </c>
      <c r="P9" s="767">
        <v>1969.9526427000806</v>
      </c>
      <c r="Q9" s="767">
        <v>1969.9545334031316</v>
      </c>
      <c r="R9" s="767">
        <v>1969.9575784780127</v>
      </c>
      <c r="S9" s="767">
        <v>1969.960842314782</v>
      </c>
      <c r="T9" s="767">
        <v>1969.9637111494601</v>
      </c>
      <c r="U9" s="767">
        <v>1969.9654149817291</v>
      </c>
      <c r="V9" s="767">
        <v>1969.9655801328997</v>
      </c>
      <c r="W9" s="767">
        <v>1969.9643441394041</v>
      </c>
      <c r="X9" s="767">
        <v>1969.9619119636511</v>
      </c>
      <c r="Y9" s="767">
        <v>1969.9603052058515</v>
      </c>
      <c r="Z9" s="767">
        <v>1969.959760256643</v>
      </c>
      <c r="AA9" s="767">
        <v>1969.9599752969029</v>
      </c>
      <c r="AB9" s="767">
        <v>1969.960550001879</v>
      </c>
      <c r="AC9" s="767">
        <v>1969.9612089436955</v>
      </c>
      <c r="AD9" s="767">
        <v>1969.9617652387426</v>
      </c>
      <c r="AE9" s="767">
        <v>1969.9621141354701</v>
      </c>
      <c r="AF9" s="767">
        <v>1969.9622201205275</v>
      </c>
    </row>
    <row r="10" spans="1:32">
      <c r="A10" s="766" t="s">
        <v>34</v>
      </c>
      <c r="B10" s="7"/>
      <c r="C10" s="472">
        <f t="shared" si="0"/>
        <v>670.63679999999988</v>
      </c>
      <c r="D10" s="379">
        <f t="shared" si="1"/>
        <v>671.96960000000013</v>
      </c>
      <c r="F10" s="4" t="s">
        <v>663</v>
      </c>
      <c r="I10" s="767">
        <v>55.767699999999998</v>
      </c>
      <c r="J10" s="767">
        <v>55.791699999999999</v>
      </c>
      <c r="K10" s="767">
        <v>55.814999999999998</v>
      </c>
      <c r="L10" s="767">
        <v>55.837499999999999</v>
      </c>
      <c r="M10" s="767">
        <v>55.859200000000001</v>
      </c>
      <c r="N10" s="767">
        <v>55.880299999999998</v>
      </c>
      <c r="O10" s="767">
        <v>55.900599999999997</v>
      </c>
      <c r="P10" s="767">
        <v>55.920200000000001</v>
      </c>
      <c r="Q10" s="767">
        <v>55.9392</v>
      </c>
      <c r="R10" s="767">
        <v>55.957599999999999</v>
      </c>
      <c r="S10" s="767">
        <v>55.975299999999997</v>
      </c>
      <c r="T10" s="767">
        <v>55.9925</v>
      </c>
      <c r="U10" s="767">
        <v>56.009</v>
      </c>
      <c r="V10" s="767">
        <v>56.025100000000002</v>
      </c>
      <c r="W10" s="767">
        <v>56.040599999999998</v>
      </c>
      <c r="X10" s="767">
        <v>56.055500000000002</v>
      </c>
      <c r="Y10" s="767">
        <v>56.07</v>
      </c>
      <c r="Z10" s="767">
        <v>56.084000000000003</v>
      </c>
      <c r="AA10" s="767">
        <v>56.0976</v>
      </c>
      <c r="AB10" s="767">
        <v>56.110700000000001</v>
      </c>
      <c r="AC10" s="767">
        <v>56.1233</v>
      </c>
      <c r="AD10" s="767">
        <v>56.1355</v>
      </c>
      <c r="AE10" s="767">
        <v>56.147300000000001</v>
      </c>
      <c r="AF10" s="767">
        <v>56.158799999999999</v>
      </c>
    </row>
    <row r="11" spans="1:32">
      <c r="A11" s="766" t="s">
        <v>38</v>
      </c>
      <c r="B11" s="7"/>
      <c r="C11" s="472">
        <f t="shared" si="0"/>
        <v>253.69607314617502</v>
      </c>
      <c r="D11" s="379">
        <f t="shared" si="1"/>
        <v>253.69131118641843</v>
      </c>
      <c r="F11" s="4" t="s">
        <v>664</v>
      </c>
      <c r="I11" s="767">
        <v>21.143641260154133</v>
      </c>
      <c r="J11" s="767">
        <v>21.143450282190713</v>
      </c>
      <c r="K11" s="767">
        <v>21.142229965815645</v>
      </c>
      <c r="L11" s="767">
        <v>21.139810080862851</v>
      </c>
      <c r="M11" s="767">
        <v>21.142943618099764</v>
      </c>
      <c r="N11" s="767">
        <v>21.138684063759058</v>
      </c>
      <c r="O11" s="767">
        <v>21.139666364124764</v>
      </c>
      <c r="P11" s="767">
        <v>21.14042800114569</v>
      </c>
      <c r="Q11" s="767">
        <v>21.140973601376025</v>
      </c>
      <c r="R11" s="767">
        <v>21.141314113622393</v>
      </c>
      <c r="S11" s="767">
        <v>21.141468165421692</v>
      </c>
      <c r="T11" s="767">
        <v>21.141463629602278</v>
      </c>
      <c r="U11" s="767">
        <v>21.141339428847914</v>
      </c>
      <c r="V11" s="767">
        <v>21.1411476095724</v>
      </c>
      <c r="W11" s="767">
        <v>21.140955720187538</v>
      </c>
      <c r="X11" s="767">
        <v>21.140849533051863</v>
      </c>
      <c r="Y11" s="767">
        <v>21.140936154067617</v>
      </c>
      <c r="Z11" s="767">
        <v>21.140768865398272</v>
      </c>
      <c r="AA11" s="767">
        <v>21.140942598868204</v>
      </c>
      <c r="AB11" s="767">
        <v>21.141048951763487</v>
      </c>
      <c r="AC11" s="767">
        <v>21.141100697648305</v>
      </c>
      <c r="AD11" s="767">
        <v>21.141111289004332</v>
      </c>
      <c r="AE11" s="767">
        <v>21.141094386952826</v>
      </c>
      <c r="AF11" s="767">
        <v>21.141063238747087</v>
      </c>
    </row>
    <row r="12" spans="1:32">
      <c r="A12" s="766" t="s">
        <v>40</v>
      </c>
      <c r="B12" s="7"/>
      <c r="C12" s="472">
        <f t="shared" si="0"/>
        <v>0</v>
      </c>
      <c r="D12" s="379">
        <f t="shared" si="1"/>
        <v>0</v>
      </c>
      <c r="F12" s="4" t="s">
        <v>665</v>
      </c>
      <c r="I12" s="767">
        <v>0</v>
      </c>
      <c r="J12" s="767">
        <v>0</v>
      </c>
      <c r="K12" s="767">
        <v>0</v>
      </c>
      <c r="L12" s="767">
        <v>0</v>
      </c>
      <c r="M12" s="767">
        <v>0</v>
      </c>
      <c r="N12" s="767">
        <v>0</v>
      </c>
      <c r="O12" s="767">
        <v>0</v>
      </c>
      <c r="P12" s="767">
        <v>0</v>
      </c>
      <c r="Q12" s="767">
        <v>0</v>
      </c>
      <c r="R12" s="767">
        <v>0</v>
      </c>
      <c r="S12" s="767">
        <v>0</v>
      </c>
      <c r="T12" s="767">
        <v>0</v>
      </c>
      <c r="U12" s="767">
        <v>0</v>
      </c>
      <c r="V12" s="767">
        <v>0</v>
      </c>
      <c r="W12" s="767">
        <v>0</v>
      </c>
      <c r="X12" s="767">
        <v>0</v>
      </c>
      <c r="Y12" s="767">
        <v>0</v>
      </c>
      <c r="Z12" s="767">
        <v>0</v>
      </c>
      <c r="AA12" s="767">
        <v>0</v>
      </c>
      <c r="AB12" s="767">
        <v>0</v>
      </c>
      <c r="AC12" s="767">
        <v>0</v>
      </c>
      <c r="AD12" s="767">
        <v>0</v>
      </c>
      <c r="AE12" s="767">
        <v>0</v>
      </c>
      <c r="AF12" s="767">
        <v>0</v>
      </c>
    </row>
    <row r="13" spans="1:32">
      <c r="A13" s="766" t="s">
        <v>39</v>
      </c>
      <c r="B13" s="7"/>
      <c r="C13" s="472">
        <f t="shared" si="0"/>
        <v>15163.338113103633</v>
      </c>
      <c r="D13" s="379">
        <f t="shared" si="1"/>
        <v>15271.462954065048</v>
      </c>
      <c r="F13" s="4" t="s">
        <v>666</v>
      </c>
      <c r="I13" s="767">
        <v>1253.4811772839839</v>
      </c>
      <c r="J13" s="767">
        <v>1247.2670309465379</v>
      </c>
      <c r="K13" s="767">
        <v>1252.3286277383791</v>
      </c>
      <c r="L13" s="767">
        <v>1255.693314752843</v>
      </c>
      <c r="M13" s="767">
        <v>1262.2076132993116</v>
      </c>
      <c r="N13" s="767">
        <v>1267.9209795566308</v>
      </c>
      <c r="O13" s="767">
        <v>1269.5648831533686</v>
      </c>
      <c r="P13" s="767">
        <v>1269.4682895748642</v>
      </c>
      <c r="Q13" s="767">
        <v>1267.5728596835995</v>
      </c>
      <c r="R13" s="767">
        <v>1275.2094491884097</v>
      </c>
      <c r="S13" s="767">
        <v>1273.75990805733</v>
      </c>
      <c r="T13" s="767">
        <v>1268.8639798683728</v>
      </c>
      <c r="U13" s="767">
        <v>1271.7872010919691</v>
      </c>
      <c r="V13" s="767">
        <v>1267.7036364093015</v>
      </c>
      <c r="W13" s="767">
        <v>1271.2170035311983</v>
      </c>
      <c r="X13" s="767">
        <v>1271.5381848472666</v>
      </c>
      <c r="Y13" s="767">
        <v>1279.3974406884686</v>
      </c>
      <c r="Z13" s="767">
        <v>1285.3801179708983</v>
      </c>
      <c r="AA13" s="767">
        <v>1285.8841211720871</v>
      </c>
      <c r="AB13" s="767">
        <v>1286.3036576736472</v>
      </c>
      <c r="AC13" s="767">
        <v>1284.7780383485456</v>
      </c>
      <c r="AD13" s="767">
        <v>1290.4921782372912</v>
      </c>
      <c r="AE13" s="767">
        <v>1289.5291973246981</v>
      </c>
      <c r="AF13" s="767">
        <v>1284.1707214303119</v>
      </c>
    </row>
    <row r="14" spans="1:32">
      <c r="A14" s="766" t="s">
        <v>35</v>
      </c>
      <c r="B14" s="7"/>
      <c r="C14" s="472">
        <f t="shared" si="0"/>
        <v>14431.448699999999</v>
      </c>
      <c r="D14" s="379">
        <f t="shared" si="1"/>
        <v>14419.420599999999</v>
      </c>
      <c r="F14" s="4" t="s">
        <v>667</v>
      </c>
      <c r="I14" s="767">
        <v>1204.2923000000001</v>
      </c>
      <c r="J14" s="767">
        <v>1200.2907</v>
      </c>
      <c r="K14" s="767">
        <v>1200.2895000000001</v>
      </c>
      <c r="L14" s="767">
        <v>1200.2883999999999</v>
      </c>
      <c r="M14" s="767">
        <v>1201.2876000000001</v>
      </c>
      <c r="N14" s="767">
        <v>1201.2869000000001</v>
      </c>
      <c r="O14" s="767">
        <v>1202.2864</v>
      </c>
      <c r="P14" s="767">
        <v>1202.2860000000001</v>
      </c>
      <c r="Q14" s="767">
        <v>1207.2855999999999</v>
      </c>
      <c r="R14" s="767">
        <v>1206.2853</v>
      </c>
      <c r="S14" s="767">
        <v>1203.2851000000001</v>
      </c>
      <c r="T14" s="767">
        <v>1202.2849000000001</v>
      </c>
      <c r="U14" s="767">
        <v>1202.2847999999999</v>
      </c>
      <c r="V14" s="767">
        <v>1199.2846</v>
      </c>
      <c r="W14" s="767">
        <v>1197.2846</v>
      </c>
      <c r="X14" s="767">
        <v>1198.2845</v>
      </c>
      <c r="Y14" s="767">
        <v>1199.2844</v>
      </c>
      <c r="Z14" s="767">
        <v>1199.2844</v>
      </c>
      <c r="AA14" s="767">
        <v>1201.2843</v>
      </c>
      <c r="AB14" s="767">
        <v>1201.2843</v>
      </c>
      <c r="AC14" s="767">
        <v>1205.2843</v>
      </c>
      <c r="AD14" s="767">
        <v>1205.2842000000001</v>
      </c>
      <c r="AE14" s="767">
        <v>1202.2842000000001</v>
      </c>
      <c r="AF14" s="767">
        <v>1201.2842000000001</v>
      </c>
    </row>
    <row r="15" spans="1:32">
      <c r="A15" s="766" t="s">
        <v>41</v>
      </c>
      <c r="B15" s="7"/>
      <c r="C15" s="472">
        <f t="shared" si="0"/>
        <v>4658.4548999999988</v>
      </c>
      <c r="D15" s="379">
        <f t="shared" si="1"/>
        <v>4684.4733999999999</v>
      </c>
      <c r="F15" s="4" t="s">
        <v>668</v>
      </c>
      <c r="I15" s="767">
        <v>386.21260000000001</v>
      </c>
      <c r="J15" s="767">
        <v>386.55950000000001</v>
      </c>
      <c r="K15" s="767">
        <v>386.94580000000002</v>
      </c>
      <c r="L15" s="767">
        <v>387.31650000000002</v>
      </c>
      <c r="M15" s="767">
        <v>387.66309999999999</v>
      </c>
      <c r="N15" s="767">
        <v>388.01780000000002</v>
      </c>
      <c r="O15" s="767">
        <v>388.38709999999998</v>
      </c>
      <c r="P15" s="767">
        <v>388.75229999999999</v>
      </c>
      <c r="Q15" s="767">
        <v>389.1087</v>
      </c>
      <c r="R15" s="767">
        <v>389.46710000000002</v>
      </c>
      <c r="S15" s="767">
        <v>389.83080000000001</v>
      </c>
      <c r="T15" s="767">
        <v>390.1936</v>
      </c>
      <c r="U15" s="767">
        <v>390.5532</v>
      </c>
      <c r="V15" s="767">
        <v>390.91320000000002</v>
      </c>
      <c r="W15" s="767">
        <v>391.27510000000001</v>
      </c>
      <c r="X15" s="767">
        <v>391.63679999999999</v>
      </c>
      <c r="Y15" s="767">
        <v>391.99740000000003</v>
      </c>
      <c r="Z15" s="767">
        <v>392.35809999999998</v>
      </c>
      <c r="AA15" s="767">
        <v>392.71940000000001</v>
      </c>
      <c r="AB15" s="767">
        <v>393.08069999999998</v>
      </c>
      <c r="AC15" s="767">
        <v>393.44170000000003</v>
      </c>
      <c r="AD15" s="767">
        <v>393.80259999999998</v>
      </c>
      <c r="AE15" s="767">
        <v>394.16370000000001</v>
      </c>
      <c r="AF15" s="767">
        <v>394.5249</v>
      </c>
    </row>
    <row r="16" spans="1:32">
      <c r="A16" s="766" t="s">
        <v>258</v>
      </c>
      <c r="B16" s="7"/>
      <c r="C16" s="472">
        <f t="shared" si="0"/>
        <v>1270762</v>
      </c>
      <c r="D16" s="379">
        <f t="shared" si="1"/>
        <v>1277319</v>
      </c>
      <c r="F16" s="4" t="s">
        <v>669</v>
      </c>
      <c r="I16" s="767">
        <v>105787</v>
      </c>
      <c r="J16" s="767">
        <v>105791</v>
      </c>
      <c r="K16" s="767">
        <v>105755</v>
      </c>
      <c r="L16" s="767">
        <v>105668</v>
      </c>
      <c r="M16" s="767">
        <v>105509</v>
      </c>
      <c r="N16" s="767">
        <v>105328</v>
      </c>
      <c r="O16" s="767">
        <v>105669</v>
      </c>
      <c r="P16" s="767">
        <v>105600</v>
      </c>
      <c r="Q16" s="767">
        <v>106191</v>
      </c>
      <c r="R16" s="767">
        <v>106249</v>
      </c>
      <c r="S16" s="767">
        <v>106432</v>
      </c>
      <c r="T16" s="767">
        <v>106783</v>
      </c>
      <c r="U16" s="767">
        <v>106870</v>
      </c>
      <c r="V16" s="767">
        <v>106879</v>
      </c>
      <c r="W16" s="767">
        <v>106845</v>
      </c>
      <c r="X16" s="767">
        <v>106764</v>
      </c>
      <c r="Y16" s="767">
        <v>106606</v>
      </c>
      <c r="Z16" s="767">
        <v>106431</v>
      </c>
      <c r="AA16" s="767">
        <v>106773</v>
      </c>
      <c r="AB16" s="767">
        <v>106707</v>
      </c>
      <c r="AC16" s="767">
        <v>107300</v>
      </c>
      <c r="AD16" s="767">
        <v>107362</v>
      </c>
      <c r="AE16" s="767">
        <v>107545</v>
      </c>
      <c r="AF16" s="767">
        <v>107899</v>
      </c>
    </row>
    <row r="17" spans="1:32">
      <c r="A17" s="766" t="s">
        <v>263</v>
      </c>
      <c r="B17" s="7"/>
      <c r="C17" s="472">
        <f t="shared" si="0"/>
        <v>191979.9706</v>
      </c>
      <c r="D17" s="379">
        <f t="shared" si="1"/>
        <v>193071.00450000001</v>
      </c>
      <c r="F17" s="4" t="s">
        <v>670</v>
      </c>
      <c r="I17" s="767">
        <v>15955.8267</v>
      </c>
      <c r="J17" s="767">
        <v>15946.827799999999</v>
      </c>
      <c r="K17" s="767">
        <v>15963.8287</v>
      </c>
      <c r="L17" s="767">
        <v>15953.829599999999</v>
      </c>
      <c r="M17" s="767">
        <v>15941.8303</v>
      </c>
      <c r="N17" s="767">
        <v>15958.831</v>
      </c>
      <c r="O17" s="767">
        <v>15993.8316</v>
      </c>
      <c r="P17" s="767">
        <v>15993.8321</v>
      </c>
      <c r="Q17" s="767">
        <v>16022.8326</v>
      </c>
      <c r="R17" s="767">
        <v>16049.833000000001</v>
      </c>
      <c r="S17" s="767">
        <v>16074.8334</v>
      </c>
      <c r="T17" s="767">
        <v>16123.8338</v>
      </c>
      <c r="U17" s="767">
        <v>16134.8341</v>
      </c>
      <c r="V17" s="767">
        <v>16132.8343</v>
      </c>
      <c r="W17" s="767">
        <v>16146.8346</v>
      </c>
      <c r="X17" s="767">
        <v>16131.834800000001</v>
      </c>
      <c r="Y17" s="767">
        <v>16123.834999999999</v>
      </c>
      <c r="Z17" s="767">
        <v>16141.8352</v>
      </c>
      <c r="AA17" s="767">
        <v>16175.835300000001</v>
      </c>
      <c r="AB17" s="767">
        <v>16177.835499999999</v>
      </c>
      <c r="AC17" s="767">
        <v>16205.8356</v>
      </c>
      <c r="AD17" s="767">
        <v>16230.8357</v>
      </c>
      <c r="AE17" s="767">
        <v>16258.835800000001</v>
      </c>
      <c r="AF17" s="767">
        <v>16308.8359</v>
      </c>
    </row>
    <row r="18" spans="1:32">
      <c r="A18" s="766" t="s">
        <v>259</v>
      </c>
      <c r="B18" s="7"/>
      <c r="C18" s="472">
        <f t="shared" si="0"/>
        <v>65243</v>
      </c>
      <c r="D18" s="379">
        <f t="shared" si="1"/>
        <v>66133</v>
      </c>
      <c r="F18" s="4" t="s">
        <v>671</v>
      </c>
      <c r="I18" s="767">
        <v>5389</v>
      </c>
      <c r="J18" s="767">
        <v>5390</v>
      </c>
      <c r="K18" s="767">
        <v>5391</v>
      </c>
      <c r="L18" s="767">
        <v>5402</v>
      </c>
      <c r="M18" s="767">
        <v>5415</v>
      </c>
      <c r="N18" s="767">
        <v>5424</v>
      </c>
      <c r="O18" s="767">
        <v>5435</v>
      </c>
      <c r="P18" s="767">
        <v>5450</v>
      </c>
      <c r="Q18" s="767">
        <v>5461</v>
      </c>
      <c r="R18" s="767">
        <v>5471</v>
      </c>
      <c r="S18" s="767">
        <v>5497</v>
      </c>
      <c r="T18" s="767">
        <v>5518</v>
      </c>
      <c r="U18" s="767">
        <v>5537</v>
      </c>
      <c r="V18" s="767">
        <v>5538</v>
      </c>
      <c r="W18" s="767">
        <v>5540</v>
      </c>
      <c r="X18" s="767">
        <v>5550</v>
      </c>
      <c r="Y18" s="767">
        <v>5564</v>
      </c>
      <c r="Z18" s="767">
        <v>5572</v>
      </c>
      <c r="AA18" s="767">
        <v>5584</v>
      </c>
      <c r="AB18" s="767">
        <v>5599</v>
      </c>
      <c r="AC18" s="767">
        <v>5610</v>
      </c>
      <c r="AD18" s="767">
        <v>5620</v>
      </c>
      <c r="AE18" s="767">
        <v>5645</v>
      </c>
      <c r="AF18" s="767">
        <v>5667</v>
      </c>
    </row>
    <row r="19" spans="1:32">
      <c r="A19" s="766" t="s">
        <v>264</v>
      </c>
      <c r="B19" s="7"/>
      <c r="C19" s="472">
        <f t="shared" si="0"/>
        <v>13609.08002883484</v>
      </c>
      <c r="D19" s="379">
        <f t="shared" si="1"/>
        <v>13609.090857369416</v>
      </c>
      <c r="F19" s="4" t="s">
        <v>672</v>
      </c>
      <c r="I19" s="767">
        <v>1134.1042338023988</v>
      </c>
      <c r="J19" s="767">
        <v>1134.1014938237759</v>
      </c>
      <c r="K19" s="767">
        <v>1134.1184066695323</v>
      </c>
      <c r="L19" s="767">
        <v>1134.0610446158053</v>
      </c>
      <c r="M19" s="767">
        <v>1134.0557999512521</v>
      </c>
      <c r="N19" s="767">
        <v>1134.0770350327748</v>
      </c>
      <c r="O19" s="767">
        <v>1134.0875329060007</v>
      </c>
      <c r="P19" s="767">
        <v>1134.0940371259255</v>
      </c>
      <c r="Q19" s="767">
        <v>1134.0965325613979</v>
      </c>
      <c r="R19" s="767">
        <v>1134.0968256858587</v>
      </c>
      <c r="S19" s="767">
        <v>1134.0949470566522</v>
      </c>
      <c r="T19" s="767">
        <v>1134.0921396034651</v>
      </c>
      <c r="U19" s="767">
        <v>1134.0900024029031</v>
      </c>
      <c r="V19" s="767">
        <v>1134.0888164529454</v>
      </c>
      <c r="W19" s="767">
        <v>1134.0877600053761</v>
      </c>
      <c r="X19" s="767">
        <v>1134.0852061166963</v>
      </c>
      <c r="Y19" s="767">
        <v>1134.0872195751037</v>
      </c>
      <c r="Z19" s="767">
        <v>1134.0898378770914</v>
      </c>
      <c r="AA19" s="767">
        <v>1134.0909047807845</v>
      </c>
      <c r="AB19" s="767">
        <v>1134.09118577035</v>
      </c>
      <c r="AC19" s="767">
        <v>1134.0909481573854</v>
      </c>
      <c r="AD19" s="767">
        <v>1134.0904827903844</v>
      </c>
      <c r="AE19" s="767">
        <v>1134.0899542157615</v>
      </c>
      <c r="AF19" s="767">
        <v>1134.0895381456874</v>
      </c>
    </row>
    <row r="20" spans="1:32">
      <c r="A20" s="766" t="s">
        <v>260</v>
      </c>
      <c r="B20" s="7"/>
      <c r="C20" s="472">
        <f t="shared" si="0"/>
        <v>230.17011708544277</v>
      </c>
      <c r="D20" s="379">
        <f t="shared" si="1"/>
        <v>230.15110867512271</v>
      </c>
      <c r="F20" s="4" t="s">
        <v>673</v>
      </c>
      <c r="I20" s="767">
        <v>19.185276078954839</v>
      </c>
      <c r="J20" s="767">
        <v>19.188554669224803</v>
      </c>
      <c r="K20" s="767">
        <v>19.191093051769247</v>
      </c>
      <c r="L20" s="767">
        <v>19.185800646201475</v>
      </c>
      <c r="M20" s="767">
        <v>19.171354693512903</v>
      </c>
      <c r="N20" s="767">
        <v>19.17404413311095</v>
      </c>
      <c r="O20" s="767">
        <v>19.175991849492604</v>
      </c>
      <c r="P20" s="767">
        <v>19.177634249161638</v>
      </c>
      <c r="Q20" s="767">
        <v>19.17895514549971</v>
      </c>
      <c r="R20" s="767">
        <v>19.179941793149439</v>
      </c>
      <c r="S20" s="767">
        <v>19.18058590886292</v>
      </c>
      <c r="T20" s="767">
        <v>19.180884866502215</v>
      </c>
      <c r="U20" s="767">
        <v>19.180843090453564</v>
      </c>
      <c r="V20" s="767">
        <v>19.180473674745127</v>
      </c>
      <c r="W20" s="767">
        <v>19.179800258538481</v>
      </c>
      <c r="X20" s="767">
        <v>19.178859192435919</v>
      </c>
      <c r="Y20" s="767">
        <v>19.178280737955458</v>
      </c>
      <c r="Z20" s="767">
        <v>19.178857908325668</v>
      </c>
      <c r="AA20" s="767">
        <v>19.179259056260225</v>
      </c>
      <c r="AB20" s="767">
        <v>19.17953132349086</v>
      </c>
      <c r="AC20" s="767">
        <v>19.179689413018298</v>
      </c>
      <c r="AD20" s="767">
        <v>19.179750601978181</v>
      </c>
      <c r="AE20" s="767">
        <v>19.179734669380579</v>
      </c>
      <c r="AF20" s="767">
        <v>19.179663732757049</v>
      </c>
    </row>
    <row r="21" spans="1:32">
      <c r="A21" s="766" t="s">
        <v>265</v>
      </c>
      <c r="B21" s="7"/>
      <c r="C21" s="472">
        <f t="shared" si="0"/>
        <v>109.85379581046982</v>
      </c>
      <c r="D21" s="379">
        <f t="shared" si="1"/>
        <v>109.8439435605251</v>
      </c>
      <c r="F21" s="4" t="s">
        <v>674</v>
      </c>
      <c r="I21" s="767">
        <v>9.1568157667117624</v>
      </c>
      <c r="J21" s="767">
        <v>9.1577226642948055</v>
      </c>
      <c r="K21" s="767">
        <v>9.1576917130950797</v>
      </c>
      <c r="L21" s="767">
        <v>9.1565603070822412</v>
      </c>
      <c r="M21" s="767">
        <v>9.1541452520596565</v>
      </c>
      <c r="N21" s="767">
        <v>9.1502404635119063</v>
      </c>
      <c r="O21" s="767">
        <v>9.1515588681780038</v>
      </c>
      <c r="P21" s="767">
        <v>9.1526323741066555</v>
      </c>
      <c r="Q21" s="767">
        <v>9.1534592345623054</v>
      </c>
      <c r="R21" s="767">
        <v>9.154043131148196</v>
      </c>
      <c r="S21" s="767">
        <v>9.154394425557598</v>
      </c>
      <c r="T21" s="767">
        <v>9.154531610161591</v>
      </c>
      <c r="U21" s="767">
        <v>9.1544829842058171</v>
      </c>
      <c r="V21" s="767">
        <v>9.1542885856636538</v>
      </c>
      <c r="W21" s="767">
        <v>9.1540024124443917</v>
      </c>
      <c r="X21" s="767">
        <v>9.1536949707235031</v>
      </c>
      <c r="Y21" s="767">
        <v>9.1534561926936071</v>
      </c>
      <c r="Z21" s="767">
        <v>9.1533987710797717</v>
      </c>
      <c r="AA21" s="767">
        <v>9.1536619633770897</v>
      </c>
      <c r="AB21" s="767">
        <v>9.1538372213103472</v>
      </c>
      <c r="AC21" s="767">
        <v>9.1539376252439908</v>
      </c>
      <c r="AD21" s="767">
        <v>9.1539774911341318</v>
      </c>
      <c r="AE21" s="767">
        <v>9.153972021132958</v>
      </c>
      <c r="AF21" s="767">
        <v>9.1539368207642369</v>
      </c>
    </row>
    <row r="22" spans="1:32">
      <c r="A22" s="766" t="s">
        <v>267</v>
      </c>
      <c r="B22" s="7"/>
      <c r="C22" s="472">
        <f t="shared" si="0"/>
        <v>12</v>
      </c>
      <c r="D22" s="379">
        <f t="shared" si="1"/>
        <v>12</v>
      </c>
      <c r="F22" s="4" t="s">
        <v>675</v>
      </c>
      <c r="I22" s="767">
        <v>1</v>
      </c>
      <c r="J22" s="767">
        <v>1</v>
      </c>
      <c r="K22" s="767">
        <v>1</v>
      </c>
      <c r="L22" s="767">
        <v>1</v>
      </c>
      <c r="M22" s="767">
        <v>1</v>
      </c>
      <c r="N22" s="767">
        <v>1</v>
      </c>
      <c r="O22" s="767">
        <v>1</v>
      </c>
      <c r="P22" s="767">
        <v>1</v>
      </c>
      <c r="Q22" s="767">
        <v>1</v>
      </c>
      <c r="R22" s="767">
        <v>1</v>
      </c>
      <c r="S22" s="767">
        <v>1</v>
      </c>
      <c r="T22" s="767">
        <v>1</v>
      </c>
      <c r="U22" s="767">
        <v>1</v>
      </c>
      <c r="V22" s="767">
        <v>1</v>
      </c>
      <c r="W22" s="767">
        <v>1</v>
      </c>
      <c r="X22" s="767">
        <v>1</v>
      </c>
      <c r="Y22" s="767">
        <v>1</v>
      </c>
      <c r="Z22" s="767">
        <v>1</v>
      </c>
      <c r="AA22" s="767">
        <v>1</v>
      </c>
      <c r="AB22" s="767">
        <v>1</v>
      </c>
      <c r="AC22" s="767">
        <v>1</v>
      </c>
      <c r="AD22" s="767">
        <v>1</v>
      </c>
      <c r="AE22" s="767">
        <v>1</v>
      </c>
      <c r="AF22" s="767">
        <v>1</v>
      </c>
    </row>
    <row r="23" spans="1:32">
      <c r="A23" s="766" t="s">
        <v>266</v>
      </c>
      <c r="C23" s="472">
        <f t="shared" si="0"/>
        <v>8913.2289000000001</v>
      </c>
      <c r="D23" s="379">
        <f t="shared" si="1"/>
        <v>8956.2910000000011</v>
      </c>
      <c r="F23" s="4" t="s">
        <v>676</v>
      </c>
      <c r="I23" s="767">
        <v>739.4787</v>
      </c>
      <c r="J23" s="767">
        <v>740.07730000000004</v>
      </c>
      <c r="K23" s="767">
        <v>740.67630000000008</v>
      </c>
      <c r="L23" s="767">
        <v>741.27419999999995</v>
      </c>
      <c r="M23" s="767">
        <v>741.8723</v>
      </c>
      <c r="N23" s="767">
        <v>742.4701</v>
      </c>
      <c r="O23" s="767">
        <v>743.06799999999998</v>
      </c>
      <c r="P23" s="767">
        <v>743.6662</v>
      </c>
      <c r="Q23" s="767">
        <v>744.26430000000005</v>
      </c>
      <c r="R23" s="767">
        <v>744.86240000000009</v>
      </c>
      <c r="S23" s="767">
        <v>745.46050000000002</v>
      </c>
      <c r="T23" s="767">
        <v>746.05860000000007</v>
      </c>
      <c r="U23" s="767">
        <v>746.6567</v>
      </c>
      <c r="V23" s="767">
        <v>747.25469999999996</v>
      </c>
      <c r="W23" s="767">
        <v>747.8528</v>
      </c>
      <c r="X23" s="767">
        <v>748.45089999999993</v>
      </c>
      <c r="Y23" s="767">
        <v>749.0489</v>
      </c>
      <c r="Z23" s="767">
        <v>749.64700000000005</v>
      </c>
      <c r="AA23" s="767">
        <v>750.24509999999998</v>
      </c>
      <c r="AB23" s="767">
        <v>750.84320000000002</v>
      </c>
      <c r="AC23" s="767">
        <v>751.44119999999998</v>
      </c>
      <c r="AD23" s="767">
        <v>752.03929999999991</v>
      </c>
      <c r="AE23" s="767">
        <v>752.63740000000007</v>
      </c>
      <c r="AF23" s="767">
        <v>753.23540000000003</v>
      </c>
    </row>
    <row r="24" spans="1:32">
      <c r="A24" s="766" t="s">
        <v>261</v>
      </c>
      <c r="C24" s="472">
        <f t="shared" si="0"/>
        <v>8372.1987000000008</v>
      </c>
      <c r="D24" s="379">
        <f t="shared" si="1"/>
        <v>8441.557499999999</v>
      </c>
      <c r="F24" s="4" t="s">
        <v>677</v>
      </c>
      <c r="I24" s="767">
        <v>695.45169999999996</v>
      </c>
      <c r="J24" s="767">
        <v>694.96490000000006</v>
      </c>
      <c r="K24" s="767">
        <v>693.55619999999999</v>
      </c>
      <c r="L24" s="767">
        <v>693.83710000000008</v>
      </c>
      <c r="M24" s="767">
        <v>695.26769999999999</v>
      </c>
      <c r="N24" s="767">
        <v>695.97469999999998</v>
      </c>
      <c r="O24" s="767">
        <v>697.07679999999993</v>
      </c>
      <c r="P24" s="767">
        <v>700.80610000000001</v>
      </c>
      <c r="Q24" s="767">
        <v>699.60220000000004</v>
      </c>
      <c r="R24" s="767">
        <v>701.62620000000004</v>
      </c>
      <c r="S24" s="767">
        <v>701.75059999999996</v>
      </c>
      <c r="T24" s="767">
        <v>702.28449999999998</v>
      </c>
      <c r="U24" s="767">
        <v>706.63609999999994</v>
      </c>
      <c r="V24" s="767">
        <v>706.64919999999995</v>
      </c>
      <c r="W24" s="767">
        <v>705.58929999999998</v>
      </c>
      <c r="X24" s="767">
        <v>705.51089999999999</v>
      </c>
      <c r="Y24" s="767">
        <v>706.06680000000006</v>
      </c>
      <c r="Z24" s="767">
        <v>707.9588</v>
      </c>
      <c r="AA24" s="767">
        <v>710.5467000000001</v>
      </c>
      <c r="AB24" s="767">
        <v>714.2835</v>
      </c>
      <c r="AC24" s="767">
        <v>712.06730000000005</v>
      </c>
      <c r="AD24" s="767">
        <v>713.66269999999997</v>
      </c>
      <c r="AE24" s="767">
        <v>714.49249999999995</v>
      </c>
      <c r="AF24" s="767">
        <v>715.06020000000001</v>
      </c>
    </row>
    <row r="25" spans="1:32">
      <c r="A25" s="766" t="s">
        <v>262</v>
      </c>
      <c r="B25" s="7"/>
      <c r="C25" s="472">
        <f t="shared" si="0"/>
        <v>1744.8934777139884</v>
      </c>
      <c r="D25" s="379">
        <f t="shared" si="1"/>
        <v>1744.9265272982959</v>
      </c>
      <c r="F25" s="4" t="s">
        <v>678</v>
      </c>
      <c r="I25" s="767">
        <v>145.39025415684668</v>
      </c>
      <c r="J25" s="767">
        <v>145.39229633490717</v>
      </c>
      <c r="K25" s="767">
        <v>145.39891322211079</v>
      </c>
      <c r="L25" s="767">
        <v>145.40390864374484</v>
      </c>
      <c r="M25" s="767">
        <v>145.42085529383101</v>
      </c>
      <c r="N25" s="767">
        <v>145.42393257557219</v>
      </c>
      <c r="O25" s="767">
        <v>145.41765568695197</v>
      </c>
      <c r="P25" s="767">
        <v>145.41317571104616</v>
      </c>
      <c r="Q25" s="767">
        <v>145.41016056849048</v>
      </c>
      <c r="R25" s="767">
        <v>145.40815409193934</v>
      </c>
      <c r="S25" s="767">
        <v>145.40713166597439</v>
      </c>
      <c r="T25" s="767">
        <v>145.40703976257331</v>
      </c>
      <c r="U25" s="767">
        <v>145.40778980949904</v>
      </c>
      <c r="V25" s="767">
        <v>145.40925111388674</v>
      </c>
      <c r="W25" s="767">
        <v>145.41066401213502</v>
      </c>
      <c r="X25" s="767">
        <v>145.41164324463702</v>
      </c>
      <c r="Y25" s="767">
        <v>145.41228779471137</v>
      </c>
      <c r="Z25" s="767">
        <v>145.4115738364514</v>
      </c>
      <c r="AA25" s="767">
        <v>145.41054394152465</v>
      </c>
      <c r="AB25" s="767">
        <v>145.40995129607239</v>
      </c>
      <c r="AC25" s="767">
        <v>145.4096825948246</v>
      </c>
      <c r="AD25" s="767">
        <v>145.40964276368578</v>
      </c>
      <c r="AE25" s="767">
        <v>145.40976681966464</v>
      </c>
      <c r="AF25" s="767">
        <v>145.40998641580549</v>
      </c>
    </row>
    <row r="26" spans="1:32">
      <c r="A26" s="462"/>
      <c r="B26" s="7"/>
      <c r="C26" s="379"/>
      <c r="D26" s="379"/>
    </row>
    <row r="27" spans="1:32">
      <c r="A27" s="470" t="s">
        <v>356</v>
      </c>
      <c r="B27" s="7"/>
      <c r="C27" s="379"/>
      <c r="D27" s="379"/>
    </row>
    <row r="28" spans="1:32" s="8" customFormat="1">
      <c r="A28" s="468" t="s">
        <v>31</v>
      </c>
      <c r="B28" s="9"/>
      <c r="C28" s="378">
        <f>SUM(C6:C15)</f>
        <v>2965375.9890540051</v>
      </c>
      <c r="D28" s="378">
        <f>SUM(D6:D15)</f>
        <v>2980980.2843739036</v>
      </c>
      <c r="F28" s="4" t="s">
        <v>679</v>
      </c>
      <c r="I28" s="378">
        <f>SUM(I6:I15)</f>
        <v>246712.59262613722</v>
      </c>
      <c r="J28" s="378">
        <f t="shared" ref="J28:AF28" si="2">SUM(J6:J15)</f>
        <v>246897.78650026032</v>
      </c>
      <c r="K28" s="378">
        <f t="shared" si="2"/>
        <v>246886.28890113911</v>
      </c>
      <c r="L28" s="378">
        <f t="shared" si="2"/>
        <v>246790.00795424587</v>
      </c>
      <c r="M28" s="378">
        <f t="shared" si="2"/>
        <v>246531.86718841811</v>
      </c>
      <c r="N28" s="378">
        <f t="shared" si="2"/>
        <v>245958.93021679786</v>
      </c>
      <c r="O28" s="378">
        <f t="shared" si="2"/>
        <v>246435.95542012691</v>
      </c>
      <c r="P28" s="378">
        <f t="shared" si="2"/>
        <v>246538.24055514415</v>
      </c>
      <c r="Q28" s="378">
        <f t="shared" si="2"/>
        <v>247163.72276831153</v>
      </c>
      <c r="R28" s="378">
        <f t="shared" si="2"/>
        <v>247895.74219986075</v>
      </c>
      <c r="S28" s="378">
        <f t="shared" si="2"/>
        <v>248459.68176814949</v>
      </c>
      <c r="T28" s="378">
        <f t="shared" si="2"/>
        <v>249105.17295541387</v>
      </c>
      <c r="U28" s="378">
        <f t="shared" si="2"/>
        <v>249324.47674616709</v>
      </c>
      <c r="V28" s="378">
        <f t="shared" si="2"/>
        <v>249603.76938950297</v>
      </c>
      <c r="W28" s="378">
        <f t="shared" si="2"/>
        <v>249406.6572636065</v>
      </c>
      <c r="X28" s="378">
        <f t="shared" si="2"/>
        <v>249338.34911047877</v>
      </c>
      <c r="Y28" s="378">
        <f t="shared" si="2"/>
        <v>249118.58019016482</v>
      </c>
      <c r="Z28" s="378">
        <f t="shared" si="2"/>
        <v>248589.93600697705</v>
      </c>
      <c r="AA28" s="378">
        <f t="shared" si="2"/>
        <v>249030.81523949199</v>
      </c>
      <c r="AB28" s="378">
        <f t="shared" si="2"/>
        <v>249131.61029110572</v>
      </c>
      <c r="AC28" s="378">
        <f t="shared" si="2"/>
        <v>249794.45970243585</v>
      </c>
      <c r="AD28" s="378">
        <f t="shared" si="2"/>
        <v>250517.54817194626</v>
      </c>
      <c r="AE28" s="378">
        <f t="shared" si="2"/>
        <v>251161.95900295337</v>
      </c>
      <c r="AF28" s="378">
        <f t="shared" si="2"/>
        <v>251780.97355585368</v>
      </c>
    </row>
    <row r="29" spans="1:32" s="8" customFormat="1">
      <c r="A29" s="459" t="s">
        <v>257</v>
      </c>
      <c r="B29" s="9"/>
      <c r="C29" s="378">
        <f>SUM(C16:C25)</f>
        <v>1560976.3956194445</v>
      </c>
      <c r="D29" s="378">
        <f>SUM(D16:D25)</f>
        <v>1569626.8654369034</v>
      </c>
      <c r="F29" s="4" t="s">
        <v>680</v>
      </c>
      <c r="I29" s="378">
        <f>SUM(I16:I25)</f>
        <v>129875.59367980492</v>
      </c>
      <c r="J29" s="378">
        <f t="shared" ref="J29:AF29" si="3">SUM(J16:J25)</f>
        <v>129871.71006749221</v>
      </c>
      <c r="K29" s="378">
        <f t="shared" si="3"/>
        <v>129852.92730465651</v>
      </c>
      <c r="L29" s="378">
        <f t="shared" si="3"/>
        <v>129767.74821421283</v>
      </c>
      <c r="M29" s="378">
        <f t="shared" si="3"/>
        <v>129611.77245519066</v>
      </c>
      <c r="N29" s="378">
        <f t="shared" si="3"/>
        <v>129458.10105220499</v>
      </c>
      <c r="O29" s="378">
        <f t="shared" si="3"/>
        <v>129846.80913931063</v>
      </c>
      <c r="P29" s="378">
        <f t="shared" si="3"/>
        <v>129797.14187946025</v>
      </c>
      <c r="Q29" s="378">
        <f t="shared" si="3"/>
        <v>130427.53820750992</v>
      </c>
      <c r="R29" s="378">
        <f t="shared" si="3"/>
        <v>130525.16056470209</v>
      </c>
      <c r="S29" s="378">
        <f t="shared" si="3"/>
        <v>130759.88155905704</v>
      </c>
      <c r="T29" s="378">
        <f t="shared" si="3"/>
        <v>131182.01149584269</v>
      </c>
      <c r="U29" s="378">
        <f t="shared" si="3"/>
        <v>131303.96001828706</v>
      </c>
      <c r="V29" s="378">
        <f t="shared" si="3"/>
        <v>131312.57102982726</v>
      </c>
      <c r="W29" s="378">
        <f t="shared" si="3"/>
        <v>131294.1089266885</v>
      </c>
      <c r="X29" s="378">
        <f t="shared" si="3"/>
        <v>131208.62600352449</v>
      </c>
      <c r="Y29" s="378">
        <f t="shared" si="3"/>
        <v>131057.78194430044</v>
      </c>
      <c r="Z29" s="378">
        <f t="shared" si="3"/>
        <v>130911.27466839294</v>
      </c>
      <c r="AA29" s="378">
        <f t="shared" si="3"/>
        <v>131302.46146974195</v>
      </c>
      <c r="AB29" s="378">
        <f t="shared" si="3"/>
        <v>131257.79670561122</v>
      </c>
      <c r="AC29" s="378">
        <f t="shared" si="3"/>
        <v>131888.17835779049</v>
      </c>
      <c r="AD29" s="378">
        <f t="shared" si="3"/>
        <v>131987.37155364719</v>
      </c>
      <c r="AE29" s="378">
        <f t="shared" si="3"/>
        <v>132224.79912772594</v>
      </c>
      <c r="AF29" s="378">
        <f t="shared" si="3"/>
        <v>132651.96462511504</v>
      </c>
    </row>
    <row r="30" spans="1:32" s="8" customFormat="1">
      <c r="A30" s="469"/>
      <c r="B30" s="9"/>
      <c r="C30" s="378"/>
      <c r="D30" s="378"/>
      <c r="F30" s="4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</row>
    <row r="31" spans="1:32">
      <c r="A31" s="768" t="s">
        <v>355</v>
      </c>
      <c r="B31" s="5"/>
      <c r="C31" s="379">
        <f>SUM(C6:C25)</f>
        <v>4526352.3846734501</v>
      </c>
      <c r="D31" s="379">
        <f>SUM(D6:D25)</f>
        <v>4550607.1498108068</v>
      </c>
      <c r="F31" s="4" t="s">
        <v>681</v>
      </c>
      <c r="I31" s="379">
        <f>SUM(I6:I25)</f>
        <v>376588.18630594201</v>
      </c>
      <c r="J31" s="379">
        <f t="shared" ref="J31:AF31" si="4">SUM(J6:J25)</f>
        <v>376769.4965677525</v>
      </c>
      <c r="K31" s="379">
        <f t="shared" si="4"/>
        <v>376739.21620579559</v>
      </c>
      <c r="L31" s="379">
        <f t="shared" si="4"/>
        <v>376557.75616845873</v>
      </c>
      <c r="M31" s="379">
        <f t="shared" si="4"/>
        <v>376143.63964360877</v>
      </c>
      <c r="N31" s="379">
        <f t="shared" si="4"/>
        <v>375417.03126900282</v>
      </c>
      <c r="O31" s="379">
        <f t="shared" si="4"/>
        <v>376282.76455943752</v>
      </c>
      <c r="P31" s="379">
        <f t="shared" si="4"/>
        <v>376335.38243460434</v>
      </c>
      <c r="Q31" s="379">
        <f t="shared" si="4"/>
        <v>377591.26097582147</v>
      </c>
      <c r="R31" s="379">
        <f t="shared" si="4"/>
        <v>378420.90276456281</v>
      </c>
      <c r="S31" s="379">
        <f t="shared" si="4"/>
        <v>379219.56332720659</v>
      </c>
      <c r="T31" s="379">
        <f t="shared" si="4"/>
        <v>380287.18445125659</v>
      </c>
      <c r="U31" s="379">
        <f t="shared" si="4"/>
        <v>380628.43676445412</v>
      </c>
      <c r="V31" s="379">
        <f t="shared" si="4"/>
        <v>380916.34041933011</v>
      </c>
      <c r="W31" s="379">
        <f t="shared" si="4"/>
        <v>380700.76619029499</v>
      </c>
      <c r="X31" s="379">
        <f t="shared" si="4"/>
        <v>380546.97511400323</v>
      </c>
      <c r="Y31" s="379">
        <f t="shared" si="4"/>
        <v>380176.36213446531</v>
      </c>
      <c r="Z31" s="379">
        <f t="shared" si="4"/>
        <v>379501.21067537001</v>
      </c>
      <c r="AA31" s="379">
        <f t="shared" si="4"/>
        <v>380333.27670923393</v>
      </c>
      <c r="AB31" s="379">
        <f t="shared" si="4"/>
        <v>380389.40699671692</v>
      </c>
      <c r="AC31" s="379">
        <f t="shared" si="4"/>
        <v>381682.63806022628</v>
      </c>
      <c r="AD31" s="379">
        <f t="shared" si="4"/>
        <v>382504.91972559341</v>
      </c>
      <c r="AE31" s="379">
        <f t="shared" si="4"/>
        <v>383386.75813067931</v>
      </c>
      <c r="AF31" s="379">
        <f t="shared" si="4"/>
        <v>384432.93818096875</v>
      </c>
    </row>
    <row r="32" spans="1:32">
      <c r="A32" s="692"/>
      <c r="B32" s="692"/>
      <c r="C32" s="692"/>
      <c r="D32" s="692"/>
    </row>
    <row r="33" spans="1:32">
      <c r="A33" s="692"/>
      <c r="B33" s="692"/>
      <c r="C33" s="692"/>
      <c r="D33" s="692"/>
    </row>
    <row r="34" spans="1:32">
      <c r="A34" s="692"/>
      <c r="B34" s="692"/>
      <c r="C34" s="769" t="s">
        <v>8</v>
      </c>
      <c r="D34" s="769" t="s">
        <v>8</v>
      </c>
    </row>
    <row r="35" spans="1:32">
      <c r="B35" s="9"/>
      <c r="C35" s="366">
        <f>C4</f>
        <v>2017</v>
      </c>
      <c r="D35" s="366" t="str">
        <f>D4</f>
        <v>12 ME 06.2018</v>
      </c>
      <c r="I35" s="765">
        <v>42736</v>
      </c>
      <c r="J35" s="765">
        <v>42767</v>
      </c>
      <c r="K35" s="765">
        <v>42795</v>
      </c>
      <c r="L35" s="765">
        <v>42826</v>
      </c>
      <c r="M35" s="765">
        <v>42856</v>
      </c>
      <c r="N35" s="765">
        <v>42887</v>
      </c>
      <c r="O35" s="765">
        <v>42917</v>
      </c>
      <c r="P35" s="765">
        <v>42948</v>
      </c>
      <c r="Q35" s="765">
        <v>42979</v>
      </c>
      <c r="R35" s="765">
        <v>43009</v>
      </c>
      <c r="S35" s="765">
        <v>43040</v>
      </c>
      <c r="T35" s="765">
        <v>43070</v>
      </c>
      <c r="U35" s="765">
        <v>43101</v>
      </c>
      <c r="V35" s="765">
        <v>43132</v>
      </c>
      <c r="W35" s="765">
        <v>43160</v>
      </c>
      <c r="X35" s="765">
        <v>43191</v>
      </c>
      <c r="Y35" s="765">
        <v>43221</v>
      </c>
      <c r="Z35" s="765">
        <v>43252</v>
      </c>
      <c r="AA35" s="765">
        <v>43282</v>
      </c>
      <c r="AB35" s="765">
        <v>43313</v>
      </c>
      <c r="AC35" s="765">
        <v>43344</v>
      </c>
      <c r="AD35" s="765">
        <v>43374</v>
      </c>
      <c r="AE35" s="765">
        <v>43405</v>
      </c>
      <c r="AF35" s="765">
        <v>43435</v>
      </c>
    </row>
    <row r="36" spans="1:32" hidden="1">
      <c r="A36" s="6" t="s">
        <v>43</v>
      </c>
      <c r="C36" s="238"/>
      <c r="D36" s="379"/>
    </row>
    <row r="37" spans="1:32" hidden="1">
      <c r="B37" s="7" t="s">
        <v>31</v>
      </c>
      <c r="C37" s="238">
        <v>5752629623.1252184</v>
      </c>
      <c r="D37" s="379"/>
    </row>
    <row r="38" spans="1:32" hidden="1">
      <c r="C38" s="239"/>
      <c r="D38" s="379"/>
    </row>
    <row r="39" spans="1:32">
      <c r="D39" s="379"/>
    </row>
    <row r="40" spans="1:32" ht="15">
      <c r="A40" s="467" t="s">
        <v>44</v>
      </c>
      <c r="B40" s="469"/>
      <c r="C40" s="237"/>
      <c r="D40" s="379"/>
    </row>
    <row r="41" spans="1:32">
      <c r="A41" s="470" t="s">
        <v>45</v>
      </c>
      <c r="B41" s="469"/>
      <c r="C41" s="379"/>
      <c r="D41" s="379"/>
    </row>
    <row r="42" spans="1:32">
      <c r="A42" s="461" t="s">
        <v>36</v>
      </c>
      <c r="B42" s="464" t="s">
        <v>357</v>
      </c>
      <c r="C42" s="472">
        <f t="shared" ref="C42:C52" si="5">SUM(I42:T42)</f>
        <v>390215.48</v>
      </c>
      <c r="D42" s="379">
        <f t="shared" ref="D42:D52" si="6">SUM(O42:Z42)</f>
        <v>390215.48</v>
      </c>
      <c r="F42" s="4" t="s">
        <v>682</v>
      </c>
      <c r="I42" s="767">
        <v>31379.5</v>
      </c>
      <c r="J42" s="767">
        <v>31621.03</v>
      </c>
      <c r="K42" s="767">
        <v>31496.87</v>
      </c>
      <c r="L42" s="767">
        <v>28333.7</v>
      </c>
      <c r="M42" s="767">
        <v>28732.37</v>
      </c>
      <c r="N42" s="767">
        <v>28120.3</v>
      </c>
      <c r="O42" s="767">
        <v>31520.149999999998</v>
      </c>
      <c r="P42" s="767">
        <v>37174.28</v>
      </c>
      <c r="Q42" s="767">
        <v>37696.14</v>
      </c>
      <c r="R42" s="767">
        <v>36015.129999999997</v>
      </c>
      <c r="S42" s="767">
        <v>32889.79</v>
      </c>
      <c r="T42" s="767">
        <v>35236.22</v>
      </c>
      <c r="U42" s="767">
        <v>31379.5</v>
      </c>
      <c r="V42" s="767">
        <v>31621.03</v>
      </c>
      <c r="W42" s="767">
        <v>31496.87</v>
      </c>
      <c r="X42" s="767">
        <v>28333.7</v>
      </c>
      <c r="Y42" s="767">
        <v>28732.37</v>
      </c>
      <c r="Z42" s="767">
        <v>28120.3</v>
      </c>
      <c r="AA42" s="767">
        <v>31520.149999999998</v>
      </c>
      <c r="AB42" s="767">
        <v>37174.28</v>
      </c>
      <c r="AC42" s="767">
        <v>37696.14</v>
      </c>
      <c r="AD42" s="767">
        <v>36015.129999999997</v>
      </c>
      <c r="AE42" s="767">
        <v>32889.79</v>
      </c>
      <c r="AF42" s="767">
        <v>35236.22</v>
      </c>
    </row>
    <row r="43" spans="1:32">
      <c r="A43" s="461" t="s">
        <v>33</v>
      </c>
      <c r="B43" s="464" t="s">
        <v>357</v>
      </c>
      <c r="C43" s="472">
        <f t="shared" si="5"/>
        <v>12068.519999999999</v>
      </c>
      <c r="D43" s="379">
        <f t="shared" si="6"/>
        <v>12068.519999999997</v>
      </c>
      <c r="F43" s="4" t="s">
        <v>683</v>
      </c>
      <c r="I43" s="767">
        <v>970.5</v>
      </c>
      <c r="J43" s="767">
        <v>977.96999999999991</v>
      </c>
      <c r="K43" s="767">
        <v>974.13</v>
      </c>
      <c r="L43" s="767">
        <v>876.3</v>
      </c>
      <c r="M43" s="767">
        <v>888.63</v>
      </c>
      <c r="N43" s="767">
        <v>869.69999999999993</v>
      </c>
      <c r="O43" s="767">
        <v>974.84999999999991</v>
      </c>
      <c r="P43" s="767">
        <v>1149.72</v>
      </c>
      <c r="Q43" s="767">
        <v>1165.8599999999999</v>
      </c>
      <c r="R43" s="767">
        <v>1113.8699999999999</v>
      </c>
      <c r="S43" s="767">
        <v>1017.2099999999999</v>
      </c>
      <c r="T43" s="767">
        <v>1089.78</v>
      </c>
      <c r="U43" s="767">
        <v>970.5</v>
      </c>
      <c r="V43" s="767">
        <v>977.96999999999991</v>
      </c>
      <c r="W43" s="767">
        <v>974.13</v>
      </c>
      <c r="X43" s="767">
        <v>876.3</v>
      </c>
      <c r="Y43" s="767">
        <v>888.63</v>
      </c>
      <c r="Z43" s="767">
        <v>869.69999999999993</v>
      </c>
      <c r="AA43" s="767">
        <v>974.84999999999991</v>
      </c>
      <c r="AB43" s="767">
        <v>1149.72</v>
      </c>
      <c r="AC43" s="767">
        <v>1165.8599999999999</v>
      </c>
      <c r="AD43" s="767">
        <v>1113.8699999999999</v>
      </c>
      <c r="AE43" s="767">
        <v>1017.2099999999999</v>
      </c>
      <c r="AF43" s="767">
        <v>1089.78</v>
      </c>
    </row>
    <row r="44" spans="1:32">
      <c r="A44" s="461" t="s">
        <v>37</v>
      </c>
      <c r="B44" s="464" t="s">
        <v>358</v>
      </c>
      <c r="C44" s="472">
        <f t="shared" si="5"/>
        <v>2693173.2799999993</v>
      </c>
      <c r="D44" s="379">
        <f t="shared" si="6"/>
        <v>2693173.28</v>
      </c>
      <c r="F44" s="4" t="s">
        <v>684</v>
      </c>
      <c r="I44" s="767">
        <v>211116.5</v>
      </c>
      <c r="J44" s="767">
        <v>214424.98</v>
      </c>
      <c r="K44" s="767">
        <v>216484.94</v>
      </c>
      <c r="L44" s="767">
        <v>206100.86</v>
      </c>
      <c r="M44" s="767">
        <v>216928.88</v>
      </c>
      <c r="N44" s="767">
        <v>226776.9</v>
      </c>
      <c r="O44" s="767">
        <v>236474</v>
      </c>
      <c r="P44" s="767">
        <v>249477.62</v>
      </c>
      <c r="Q44" s="767">
        <v>250191.06</v>
      </c>
      <c r="R44" s="767">
        <v>234915.8</v>
      </c>
      <c r="S44" s="767">
        <v>213076.5</v>
      </c>
      <c r="T44" s="767">
        <v>217205.24</v>
      </c>
      <c r="U44" s="767">
        <v>211116.5</v>
      </c>
      <c r="V44" s="767">
        <v>214424.98</v>
      </c>
      <c r="W44" s="767">
        <v>216484.94</v>
      </c>
      <c r="X44" s="767">
        <v>206100.86</v>
      </c>
      <c r="Y44" s="767">
        <v>216928.88</v>
      </c>
      <c r="Z44" s="767">
        <v>226776.9</v>
      </c>
      <c r="AA44" s="767">
        <v>236474</v>
      </c>
      <c r="AB44" s="767">
        <v>249477.62</v>
      </c>
      <c r="AC44" s="767">
        <v>250191.06</v>
      </c>
      <c r="AD44" s="767">
        <v>234915.8</v>
      </c>
      <c r="AE44" s="767">
        <v>213076.5</v>
      </c>
      <c r="AF44" s="767">
        <v>217205.24</v>
      </c>
    </row>
    <row r="45" spans="1:32">
      <c r="A45" s="461" t="s">
        <v>34</v>
      </c>
      <c r="B45" s="464" t="s">
        <v>358</v>
      </c>
      <c r="C45" s="472">
        <f t="shared" si="5"/>
        <v>54962.720000000001</v>
      </c>
      <c r="D45" s="379">
        <f t="shared" si="6"/>
        <v>54962.720000000001</v>
      </c>
      <c r="F45" s="4" t="s">
        <v>685</v>
      </c>
      <c r="I45" s="767">
        <v>4308.5</v>
      </c>
      <c r="J45" s="767">
        <v>4376.0200000000004</v>
      </c>
      <c r="K45" s="767">
        <v>4418.0600000000004</v>
      </c>
      <c r="L45" s="767">
        <v>4206.1400000000003</v>
      </c>
      <c r="M45" s="767">
        <v>4427.12</v>
      </c>
      <c r="N45" s="767">
        <v>4628.1000000000004</v>
      </c>
      <c r="O45" s="767">
        <v>4826</v>
      </c>
      <c r="P45" s="767">
        <v>5091.38</v>
      </c>
      <c r="Q45" s="767">
        <v>5105.9400000000005</v>
      </c>
      <c r="R45" s="767">
        <v>4794.2</v>
      </c>
      <c r="S45" s="767">
        <v>4348.5</v>
      </c>
      <c r="T45" s="767">
        <v>4432.76</v>
      </c>
      <c r="U45" s="767">
        <v>4308.5</v>
      </c>
      <c r="V45" s="767">
        <v>4376.0200000000004</v>
      </c>
      <c r="W45" s="767">
        <v>4418.0600000000004</v>
      </c>
      <c r="X45" s="767">
        <v>4206.1400000000003</v>
      </c>
      <c r="Y45" s="767">
        <v>4427.12</v>
      </c>
      <c r="Z45" s="767">
        <v>4628.1000000000004</v>
      </c>
      <c r="AA45" s="767">
        <v>4826</v>
      </c>
      <c r="AB45" s="767">
        <v>5091.38</v>
      </c>
      <c r="AC45" s="767">
        <v>5105.9400000000005</v>
      </c>
      <c r="AD45" s="767">
        <v>4794.2</v>
      </c>
      <c r="AE45" s="767">
        <v>4348.5</v>
      </c>
      <c r="AF45" s="767">
        <v>4432.76</v>
      </c>
    </row>
    <row r="46" spans="1:32">
      <c r="A46" s="461" t="s">
        <v>38</v>
      </c>
      <c r="B46" s="464" t="s">
        <v>686</v>
      </c>
      <c r="C46" s="472">
        <f t="shared" si="5"/>
        <v>1290752</v>
      </c>
      <c r="D46" s="379">
        <f t="shared" si="6"/>
        <v>1290752</v>
      </c>
      <c r="F46" s="4" t="s">
        <v>687</v>
      </c>
      <c r="I46" s="767">
        <v>105360</v>
      </c>
      <c r="J46" s="767">
        <v>103977</v>
      </c>
      <c r="K46" s="767">
        <v>104178</v>
      </c>
      <c r="L46" s="767">
        <v>107987</v>
      </c>
      <c r="M46" s="767">
        <v>110309</v>
      </c>
      <c r="N46" s="767">
        <v>114795</v>
      </c>
      <c r="O46" s="767">
        <v>112860</v>
      </c>
      <c r="P46" s="767">
        <v>109967</v>
      </c>
      <c r="Q46" s="767">
        <v>108524</v>
      </c>
      <c r="R46" s="767">
        <v>100931</v>
      </c>
      <c r="S46" s="767">
        <v>105340</v>
      </c>
      <c r="T46" s="767">
        <v>106524</v>
      </c>
      <c r="U46" s="767">
        <v>105360</v>
      </c>
      <c r="V46" s="767">
        <v>103977</v>
      </c>
      <c r="W46" s="767">
        <v>104178</v>
      </c>
      <c r="X46" s="767">
        <v>107987</v>
      </c>
      <c r="Y46" s="767">
        <v>110309</v>
      </c>
      <c r="Z46" s="767">
        <v>114795</v>
      </c>
      <c r="AA46" s="767">
        <v>112860</v>
      </c>
      <c r="AB46" s="767">
        <v>109967</v>
      </c>
      <c r="AC46" s="767">
        <v>108524</v>
      </c>
      <c r="AD46" s="767">
        <v>100931</v>
      </c>
      <c r="AE46" s="767">
        <v>105340</v>
      </c>
      <c r="AF46" s="767">
        <v>106524</v>
      </c>
    </row>
    <row r="47" spans="1:32">
      <c r="A47" s="461" t="s">
        <v>263</v>
      </c>
      <c r="B47" s="464" t="s">
        <v>357</v>
      </c>
      <c r="C47" s="472">
        <f t="shared" si="5"/>
        <v>238763.27152173902</v>
      </c>
      <c r="D47" s="379">
        <f t="shared" si="6"/>
        <v>238763.27152173911</v>
      </c>
      <c r="F47" s="4" t="s">
        <v>688</v>
      </c>
      <c r="I47" s="767">
        <v>20269.259999999998</v>
      </c>
      <c r="J47" s="767">
        <v>18862.47</v>
      </c>
      <c r="K47" s="767">
        <v>17665.560000000001</v>
      </c>
      <c r="L47" s="767">
        <v>16912.169999999998</v>
      </c>
      <c r="M47" s="767">
        <v>18290.25</v>
      </c>
      <c r="N47" s="767">
        <v>22031.46</v>
      </c>
      <c r="O47" s="767">
        <v>22090.86</v>
      </c>
      <c r="P47" s="767">
        <v>20284.11</v>
      </c>
      <c r="Q47" s="767">
        <v>20268.27</v>
      </c>
      <c r="R47" s="767">
        <v>21081.06</v>
      </c>
      <c r="S47" s="767">
        <v>20723.6915217391</v>
      </c>
      <c r="T47" s="767">
        <v>20284.11</v>
      </c>
      <c r="U47" s="767">
        <v>20269.259999999998</v>
      </c>
      <c r="V47" s="767">
        <v>18862.47</v>
      </c>
      <c r="W47" s="767">
        <v>17665.560000000001</v>
      </c>
      <c r="X47" s="767">
        <v>16912.169999999998</v>
      </c>
      <c r="Y47" s="767">
        <v>18290.25</v>
      </c>
      <c r="Z47" s="767">
        <v>22031.46</v>
      </c>
      <c r="AA47" s="767">
        <v>22090.86</v>
      </c>
      <c r="AB47" s="767">
        <v>20284.11</v>
      </c>
      <c r="AC47" s="767">
        <v>20268.27</v>
      </c>
      <c r="AD47" s="767">
        <v>21081.06</v>
      </c>
      <c r="AE47" s="767">
        <v>20723.6915217391</v>
      </c>
      <c r="AF47" s="767">
        <v>20284.11</v>
      </c>
    </row>
    <row r="48" spans="1:32">
      <c r="A48" s="461" t="s">
        <v>259</v>
      </c>
      <c r="B48" s="464" t="s">
        <v>357</v>
      </c>
      <c r="C48" s="472">
        <f t="shared" si="5"/>
        <v>2411.7502173913044</v>
      </c>
      <c r="D48" s="379">
        <f t="shared" si="6"/>
        <v>2411.750217391304</v>
      </c>
      <c r="F48" s="4" t="s">
        <v>689</v>
      </c>
      <c r="I48" s="767">
        <v>204.74</v>
      </c>
      <c r="J48" s="767">
        <v>190.53</v>
      </c>
      <c r="K48" s="767">
        <v>178.44</v>
      </c>
      <c r="L48" s="767">
        <v>170.83</v>
      </c>
      <c r="M48" s="767">
        <v>184.75</v>
      </c>
      <c r="N48" s="767">
        <v>222.54</v>
      </c>
      <c r="O48" s="767">
        <v>223.14000000000001</v>
      </c>
      <c r="P48" s="767">
        <v>204.89000000000001</v>
      </c>
      <c r="Q48" s="767">
        <v>204.73000000000002</v>
      </c>
      <c r="R48" s="767">
        <v>212.94</v>
      </c>
      <c r="S48" s="767">
        <v>209.33021739130399</v>
      </c>
      <c r="T48" s="767">
        <v>204.89000000000001</v>
      </c>
      <c r="U48" s="767">
        <v>204.74</v>
      </c>
      <c r="V48" s="767">
        <v>190.53</v>
      </c>
      <c r="W48" s="767">
        <v>178.44</v>
      </c>
      <c r="X48" s="767">
        <v>170.83</v>
      </c>
      <c r="Y48" s="767">
        <v>184.75</v>
      </c>
      <c r="Z48" s="767">
        <v>222.54</v>
      </c>
      <c r="AA48" s="767">
        <v>223.14000000000001</v>
      </c>
      <c r="AB48" s="767">
        <v>204.89000000000001</v>
      </c>
      <c r="AC48" s="767">
        <v>204.73000000000002</v>
      </c>
      <c r="AD48" s="767">
        <v>212.94</v>
      </c>
      <c r="AE48" s="767">
        <v>209.33021739130399</v>
      </c>
      <c r="AF48" s="767">
        <v>204.89000000000001</v>
      </c>
    </row>
    <row r="49" spans="1:32">
      <c r="A49" s="461" t="s">
        <v>264</v>
      </c>
      <c r="B49" s="464" t="s">
        <v>358</v>
      </c>
      <c r="C49" s="472">
        <f t="shared" si="5"/>
        <v>1321052.637228261</v>
      </c>
      <c r="D49" s="379">
        <f t="shared" si="6"/>
        <v>1321052.637228261</v>
      </c>
      <c r="F49" s="4" t="s">
        <v>690</v>
      </c>
      <c r="I49" s="767">
        <v>109965.24</v>
      </c>
      <c r="J49" s="767">
        <v>110539.44</v>
      </c>
      <c r="K49" s="767">
        <v>105349.86</v>
      </c>
      <c r="L49" s="767">
        <v>103470.84</v>
      </c>
      <c r="M49" s="767">
        <v>109377.18</v>
      </c>
      <c r="N49" s="767">
        <v>110350.35</v>
      </c>
      <c r="O49" s="767">
        <v>114397.47</v>
      </c>
      <c r="P49" s="767">
        <v>111514.59</v>
      </c>
      <c r="Q49" s="767">
        <v>110934.45</v>
      </c>
      <c r="R49" s="767">
        <v>111638.34</v>
      </c>
      <c r="S49" s="767">
        <v>112000.287228261</v>
      </c>
      <c r="T49" s="767">
        <v>111514.59</v>
      </c>
      <c r="U49" s="767">
        <v>109965.24</v>
      </c>
      <c r="V49" s="767">
        <v>110539.44</v>
      </c>
      <c r="W49" s="767">
        <v>105349.86</v>
      </c>
      <c r="X49" s="767">
        <v>103470.84</v>
      </c>
      <c r="Y49" s="767">
        <v>109377.18</v>
      </c>
      <c r="Z49" s="767">
        <v>110350.35</v>
      </c>
      <c r="AA49" s="767">
        <v>114397.47</v>
      </c>
      <c r="AB49" s="767">
        <v>111514.59</v>
      </c>
      <c r="AC49" s="767">
        <v>110934.45</v>
      </c>
      <c r="AD49" s="767">
        <v>111638.34</v>
      </c>
      <c r="AE49" s="767">
        <v>112000.287228261</v>
      </c>
      <c r="AF49" s="767">
        <v>111514.59</v>
      </c>
    </row>
    <row r="50" spans="1:32">
      <c r="A50" s="461" t="s">
        <v>260</v>
      </c>
      <c r="B50" s="464" t="s">
        <v>358</v>
      </c>
      <c r="C50" s="472">
        <f t="shared" si="5"/>
        <v>13343.9660326087</v>
      </c>
      <c r="D50" s="379">
        <f t="shared" si="6"/>
        <v>13343.966032608698</v>
      </c>
      <c r="F50" s="4" t="s">
        <v>691</v>
      </c>
      <c r="I50" s="767">
        <v>1110.76</v>
      </c>
      <c r="J50" s="767">
        <v>1116.56</v>
      </c>
      <c r="K50" s="767">
        <v>1064.1400000000001</v>
      </c>
      <c r="L50" s="767">
        <v>1045.1600000000001</v>
      </c>
      <c r="M50" s="767">
        <v>1104.82</v>
      </c>
      <c r="N50" s="767">
        <v>1114.6500000000001</v>
      </c>
      <c r="O50" s="767">
        <v>1155.53</v>
      </c>
      <c r="P50" s="767">
        <v>1126.4100000000001</v>
      </c>
      <c r="Q50" s="767">
        <v>1120.55</v>
      </c>
      <c r="R50" s="767">
        <v>1127.6600000000001</v>
      </c>
      <c r="S50" s="767">
        <v>1131.3160326087</v>
      </c>
      <c r="T50" s="767">
        <v>1126.4100000000001</v>
      </c>
      <c r="U50" s="767">
        <v>1110.76</v>
      </c>
      <c r="V50" s="767">
        <v>1116.56</v>
      </c>
      <c r="W50" s="767">
        <v>1064.1400000000001</v>
      </c>
      <c r="X50" s="767">
        <v>1045.1600000000001</v>
      </c>
      <c r="Y50" s="767">
        <v>1104.82</v>
      </c>
      <c r="Z50" s="767">
        <v>1114.6500000000001</v>
      </c>
      <c r="AA50" s="767">
        <v>1155.53</v>
      </c>
      <c r="AB50" s="767">
        <v>1126.4100000000001</v>
      </c>
      <c r="AC50" s="767">
        <v>1120.55</v>
      </c>
      <c r="AD50" s="767">
        <v>1127.6600000000001</v>
      </c>
      <c r="AE50" s="767">
        <v>1131.3160326087</v>
      </c>
      <c r="AF50" s="767">
        <v>1126.4100000000001</v>
      </c>
    </row>
    <row r="51" spans="1:32">
      <c r="A51" s="461" t="s">
        <v>265</v>
      </c>
      <c r="B51" s="464" t="s">
        <v>686</v>
      </c>
      <c r="C51" s="472">
        <f t="shared" si="5"/>
        <v>347184.28623188409</v>
      </c>
      <c r="D51" s="379">
        <f t="shared" si="6"/>
        <v>347184.28623188409</v>
      </c>
      <c r="F51" s="4" t="s">
        <v>692</v>
      </c>
      <c r="I51" s="767">
        <v>27040</v>
      </c>
      <c r="J51" s="767">
        <v>26866</v>
      </c>
      <c r="K51" s="767">
        <v>27629</v>
      </c>
      <c r="L51" s="767">
        <v>27965</v>
      </c>
      <c r="M51" s="767">
        <v>28882</v>
      </c>
      <c r="N51" s="767">
        <v>29368</v>
      </c>
      <c r="O51" s="767">
        <v>28850</v>
      </c>
      <c r="P51" s="767">
        <v>30459</v>
      </c>
      <c r="Q51" s="767">
        <v>31747</v>
      </c>
      <c r="R51" s="767">
        <v>28744</v>
      </c>
      <c r="S51" s="767">
        <v>29175.2862318841</v>
      </c>
      <c r="T51" s="767">
        <v>30459</v>
      </c>
      <c r="U51" s="767">
        <v>27040</v>
      </c>
      <c r="V51" s="767">
        <v>26866</v>
      </c>
      <c r="W51" s="767">
        <v>27629</v>
      </c>
      <c r="X51" s="767">
        <v>27965</v>
      </c>
      <c r="Y51" s="767">
        <v>28882</v>
      </c>
      <c r="Z51" s="767">
        <v>29368</v>
      </c>
      <c r="AA51" s="767">
        <v>28850</v>
      </c>
      <c r="AB51" s="767">
        <v>30459</v>
      </c>
      <c r="AC51" s="767">
        <v>31747</v>
      </c>
      <c r="AD51" s="767">
        <v>28744</v>
      </c>
      <c r="AE51" s="767">
        <v>29175.2862318841</v>
      </c>
      <c r="AF51" s="767">
        <v>30459</v>
      </c>
    </row>
    <row r="52" spans="1:32">
      <c r="A52" s="461" t="s">
        <v>267</v>
      </c>
      <c r="B52" s="464" t="s">
        <v>686</v>
      </c>
      <c r="C52" s="472">
        <f t="shared" si="5"/>
        <v>624000</v>
      </c>
      <c r="D52" s="379">
        <f t="shared" si="6"/>
        <v>624000</v>
      </c>
      <c r="F52" s="4" t="s">
        <v>693</v>
      </c>
      <c r="I52" s="767">
        <v>52000</v>
      </c>
      <c r="J52" s="767">
        <v>52000</v>
      </c>
      <c r="K52" s="767">
        <v>52000</v>
      </c>
      <c r="L52" s="767">
        <v>52000</v>
      </c>
      <c r="M52" s="767">
        <v>52000</v>
      </c>
      <c r="N52" s="767">
        <v>52000</v>
      </c>
      <c r="O52" s="767">
        <v>52000</v>
      </c>
      <c r="P52" s="767">
        <v>52000</v>
      </c>
      <c r="Q52" s="767">
        <v>52000</v>
      </c>
      <c r="R52" s="767">
        <v>52000</v>
      </c>
      <c r="S52" s="767">
        <v>52000</v>
      </c>
      <c r="T52" s="767">
        <v>52000</v>
      </c>
      <c r="U52" s="767">
        <v>52000</v>
      </c>
      <c r="V52" s="767">
        <v>52000</v>
      </c>
      <c r="W52" s="767">
        <v>52000</v>
      </c>
      <c r="X52" s="767">
        <v>52000</v>
      </c>
      <c r="Y52" s="767">
        <v>52000</v>
      </c>
      <c r="Z52" s="767">
        <v>52000</v>
      </c>
      <c r="AA52" s="767">
        <v>52000</v>
      </c>
      <c r="AB52" s="767">
        <v>52000</v>
      </c>
      <c r="AC52" s="767">
        <v>52000</v>
      </c>
      <c r="AD52" s="767">
        <v>52000</v>
      </c>
      <c r="AE52" s="767">
        <v>52000</v>
      </c>
      <c r="AF52" s="767">
        <v>52000</v>
      </c>
    </row>
    <row r="53" spans="1:32">
      <c r="A53" s="461" t="s">
        <v>694</v>
      </c>
      <c r="B53" s="282" t="s">
        <v>695</v>
      </c>
      <c r="C53" s="379"/>
      <c r="D53" s="379"/>
      <c r="F53" s="4" t="s">
        <v>696</v>
      </c>
      <c r="I53" s="767">
        <v>16432</v>
      </c>
      <c r="J53" s="767">
        <v>5293</v>
      </c>
      <c r="K53" s="767">
        <v>22118</v>
      </c>
      <c r="L53" s="767">
        <v>27390</v>
      </c>
      <c r="M53" s="767">
        <v>13192</v>
      </c>
      <c r="N53" s="767">
        <v>13029</v>
      </c>
      <c r="O53" s="767">
        <v>20840</v>
      </c>
      <c r="P53" s="767">
        <v>34590</v>
      </c>
      <c r="Q53" s="767">
        <v>34030</v>
      </c>
      <c r="R53" s="767">
        <v>15790</v>
      </c>
      <c r="S53" s="767">
        <v>11128.119565217399</v>
      </c>
      <c r="T53" s="767">
        <v>34590</v>
      </c>
      <c r="U53" s="767">
        <v>16432</v>
      </c>
      <c r="V53" s="767">
        <v>5293</v>
      </c>
      <c r="W53" s="767">
        <v>22118</v>
      </c>
      <c r="X53" s="767">
        <v>27390</v>
      </c>
      <c r="Y53" s="767">
        <v>13192</v>
      </c>
      <c r="Z53" s="767">
        <v>13029</v>
      </c>
      <c r="AA53" s="767">
        <v>20840</v>
      </c>
      <c r="AB53" s="767">
        <v>34590</v>
      </c>
      <c r="AC53" s="767">
        <v>34030</v>
      </c>
      <c r="AD53" s="767">
        <v>15790</v>
      </c>
      <c r="AE53" s="767">
        <v>11128.119565217399</v>
      </c>
      <c r="AF53" s="767">
        <v>34590</v>
      </c>
    </row>
    <row r="54" spans="1:32">
      <c r="A54" s="692"/>
      <c r="B54" s="692"/>
      <c r="C54" s="692"/>
      <c r="D54" s="379"/>
    </row>
    <row r="55" spans="1:32">
      <c r="A55" s="770" t="s">
        <v>46</v>
      </c>
      <c r="B55" s="692"/>
      <c r="C55" s="692"/>
      <c r="D55" s="379"/>
    </row>
    <row r="56" spans="1:32" s="8" customFormat="1">
      <c r="A56" s="771" t="s">
        <v>31</v>
      </c>
      <c r="B56" s="692"/>
      <c r="C56" s="616">
        <f>SUM(C42:C46)</f>
        <v>4441172</v>
      </c>
      <c r="D56" s="616">
        <f>SUM(D42:D46)</f>
        <v>4441172</v>
      </c>
      <c r="F56" s="4" t="s">
        <v>697</v>
      </c>
      <c r="I56" s="616">
        <f>SUM(I42:I46)</f>
        <v>353135</v>
      </c>
      <c r="J56" s="616">
        <f t="shared" ref="J56:AF56" si="7">SUM(J42:J46)</f>
        <v>355377</v>
      </c>
      <c r="K56" s="616">
        <f t="shared" si="7"/>
        <v>357552</v>
      </c>
      <c r="L56" s="616">
        <f t="shared" si="7"/>
        <v>347504</v>
      </c>
      <c r="M56" s="616">
        <f t="shared" si="7"/>
        <v>361286</v>
      </c>
      <c r="N56" s="616">
        <f t="shared" si="7"/>
        <v>375190</v>
      </c>
      <c r="O56" s="616">
        <f t="shared" si="7"/>
        <v>386655</v>
      </c>
      <c r="P56" s="616">
        <f t="shared" si="7"/>
        <v>402860</v>
      </c>
      <c r="Q56" s="616">
        <f t="shared" si="7"/>
        <v>402683</v>
      </c>
      <c r="R56" s="616">
        <f t="shared" si="7"/>
        <v>377770</v>
      </c>
      <c r="S56" s="616">
        <f t="shared" si="7"/>
        <v>356672</v>
      </c>
      <c r="T56" s="616">
        <f t="shared" si="7"/>
        <v>364488</v>
      </c>
      <c r="U56" s="616">
        <f t="shared" si="7"/>
        <v>353135</v>
      </c>
      <c r="V56" s="616">
        <f t="shared" si="7"/>
        <v>355377</v>
      </c>
      <c r="W56" s="616">
        <f t="shared" si="7"/>
        <v>357552</v>
      </c>
      <c r="X56" s="616">
        <f t="shared" si="7"/>
        <v>347504</v>
      </c>
      <c r="Y56" s="616">
        <f t="shared" si="7"/>
        <v>361286</v>
      </c>
      <c r="Z56" s="616">
        <f t="shared" si="7"/>
        <v>375190</v>
      </c>
      <c r="AA56" s="616">
        <f t="shared" si="7"/>
        <v>386655</v>
      </c>
      <c r="AB56" s="616">
        <f t="shared" si="7"/>
        <v>402860</v>
      </c>
      <c r="AC56" s="616">
        <f t="shared" si="7"/>
        <v>402683</v>
      </c>
      <c r="AD56" s="616">
        <f t="shared" si="7"/>
        <v>377770</v>
      </c>
      <c r="AE56" s="616">
        <f t="shared" si="7"/>
        <v>356672</v>
      </c>
      <c r="AF56" s="616">
        <f t="shared" si="7"/>
        <v>364488</v>
      </c>
    </row>
    <row r="57" spans="1:32" s="8" customFormat="1">
      <c r="A57" s="772" t="s">
        <v>257</v>
      </c>
      <c r="B57" s="692"/>
      <c r="C57" s="616">
        <f>SUM(C47:C53)</f>
        <v>2546755.9112318838</v>
      </c>
      <c r="D57" s="616">
        <f>SUM(D47:D53)</f>
        <v>2546755.9112318838</v>
      </c>
      <c r="F57" s="4" t="s">
        <v>698</v>
      </c>
      <c r="I57" s="616">
        <f>SUM(I47:I53)</f>
        <v>227022</v>
      </c>
      <c r="J57" s="616">
        <f t="shared" ref="J57:AF57" si="8">SUM(J47:J53)</f>
        <v>214868</v>
      </c>
      <c r="K57" s="616">
        <f t="shared" si="8"/>
        <v>226005</v>
      </c>
      <c r="L57" s="616">
        <f t="shared" si="8"/>
        <v>228954</v>
      </c>
      <c r="M57" s="616">
        <f t="shared" si="8"/>
        <v>223031</v>
      </c>
      <c r="N57" s="616">
        <f t="shared" si="8"/>
        <v>228116</v>
      </c>
      <c r="O57" s="616">
        <f t="shared" si="8"/>
        <v>239557</v>
      </c>
      <c r="P57" s="616">
        <f t="shared" si="8"/>
        <v>250179</v>
      </c>
      <c r="Q57" s="616">
        <f t="shared" si="8"/>
        <v>250305</v>
      </c>
      <c r="R57" s="616">
        <f t="shared" si="8"/>
        <v>230594</v>
      </c>
      <c r="S57" s="616">
        <f t="shared" si="8"/>
        <v>226368.03079710162</v>
      </c>
      <c r="T57" s="616">
        <f t="shared" si="8"/>
        <v>250179</v>
      </c>
      <c r="U57" s="616">
        <f t="shared" si="8"/>
        <v>227022</v>
      </c>
      <c r="V57" s="616">
        <f t="shared" si="8"/>
        <v>214868</v>
      </c>
      <c r="W57" s="616">
        <f t="shared" si="8"/>
        <v>226005</v>
      </c>
      <c r="X57" s="616">
        <f t="shared" si="8"/>
        <v>228954</v>
      </c>
      <c r="Y57" s="616">
        <f t="shared" si="8"/>
        <v>223031</v>
      </c>
      <c r="Z57" s="616">
        <f t="shared" si="8"/>
        <v>228116</v>
      </c>
      <c r="AA57" s="616">
        <f t="shared" si="8"/>
        <v>239557</v>
      </c>
      <c r="AB57" s="616">
        <f t="shared" si="8"/>
        <v>250179</v>
      </c>
      <c r="AC57" s="616">
        <f t="shared" si="8"/>
        <v>250305</v>
      </c>
      <c r="AD57" s="616">
        <f t="shared" si="8"/>
        <v>230594</v>
      </c>
      <c r="AE57" s="616">
        <f t="shared" si="8"/>
        <v>226368.03079710162</v>
      </c>
      <c r="AF57" s="616">
        <f t="shared" si="8"/>
        <v>250179</v>
      </c>
    </row>
    <row r="58" spans="1:32">
      <c r="A58" s="773"/>
      <c r="B58" s="692"/>
      <c r="C58" s="692"/>
      <c r="D58" s="692"/>
      <c r="I58" s="692"/>
      <c r="J58" s="692"/>
      <c r="K58" s="692"/>
      <c r="L58" s="692"/>
      <c r="M58" s="692"/>
      <c r="N58" s="692"/>
      <c r="O58" s="692"/>
      <c r="P58" s="692"/>
      <c r="Q58" s="692"/>
      <c r="R58" s="692"/>
      <c r="S58" s="692"/>
      <c r="T58" s="692"/>
      <c r="U58" s="692"/>
      <c r="V58" s="692"/>
      <c r="W58" s="692"/>
      <c r="X58" s="692"/>
      <c r="Y58" s="692"/>
      <c r="Z58" s="692"/>
      <c r="AA58" s="692"/>
      <c r="AB58" s="692"/>
      <c r="AC58" s="692"/>
      <c r="AD58" s="692"/>
      <c r="AE58" s="692"/>
      <c r="AF58" s="692"/>
    </row>
    <row r="59" spans="1:32">
      <c r="A59" s="774" t="s">
        <v>355</v>
      </c>
      <c r="B59" s="692"/>
      <c r="C59" s="616">
        <f>SUM(C42:C52)</f>
        <v>6987927.9112318829</v>
      </c>
      <c r="D59" s="616">
        <f>SUM(D42:D52)</f>
        <v>6987927.9112318829</v>
      </c>
      <c r="F59" s="4" t="s">
        <v>699</v>
      </c>
      <c r="I59" s="616">
        <f>SUM(I42:I52)</f>
        <v>563725</v>
      </c>
      <c r="J59" s="616">
        <f t="shared" ref="J59:AF59" si="9">SUM(J42:J52)</f>
        <v>564952</v>
      </c>
      <c r="K59" s="616">
        <f t="shared" si="9"/>
        <v>561439</v>
      </c>
      <c r="L59" s="616">
        <f t="shared" si="9"/>
        <v>549068</v>
      </c>
      <c r="M59" s="616">
        <f t="shared" si="9"/>
        <v>571125</v>
      </c>
      <c r="N59" s="616">
        <f t="shared" si="9"/>
        <v>590277</v>
      </c>
      <c r="O59" s="616">
        <f t="shared" si="9"/>
        <v>605372</v>
      </c>
      <c r="P59" s="616">
        <f t="shared" si="9"/>
        <v>618449</v>
      </c>
      <c r="Q59" s="616">
        <f t="shared" si="9"/>
        <v>618958</v>
      </c>
      <c r="R59" s="616">
        <f t="shared" si="9"/>
        <v>592574</v>
      </c>
      <c r="S59" s="616">
        <f t="shared" si="9"/>
        <v>571911.91123188427</v>
      </c>
      <c r="T59" s="616">
        <f t="shared" si="9"/>
        <v>580077</v>
      </c>
      <c r="U59" s="616">
        <f t="shared" si="9"/>
        <v>563725</v>
      </c>
      <c r="V59" s="616">
        <f t="shared" si="9"/>
        <v>564952</v>
      </c>
      <c r="W59" s="616">
        <f t="shared" si="9"/>
        <v>561439</v>
      </c>
      <c r="X59" s="616">
        <f t="shared" si="9"/>
        <v>549068</v>
      </c>
      <c r="Y59" s="616">
        <f t="shared" si="9"/>
        <v>571125</v>
      </c>
      <c r="Z59" s="616">
        <f t="shared" si="9"/>
        <v>590277</v>
      </c>
      <c r="AA59" s="616">
        <f t="shared" si="9"/>
        <v>605372</v>
      </c>
      <c r="AB59" s="616">
        <f t="shared" si="9"/>
        <v>618449</v>
      </c>
      <c r="AC59" s="616">
        <f t="shared" si="9"/>
        <v>618958</v>
      </c>
      <c r="AD59" s="616">
        <f t="shared" si="9"/>
        <v>592574</v>
      </c>
      <c r="AE59" s="616">
        <f t="shared" si="9"/>
        <v>571911.91123188427</v>
      </c>
      <c r="AF59" s="616">
        <f t="shared" si="9"/>
        <v>580077</v>
      </c>
    </row>
    <row r="63" spans="1:32">
      <c r="A63" s="563" t="s">
        <v>656</v>
      </c>
      <c r="F63" s="4" t="s">
        <v>494</v>
      </c>
    </row>
    <row r="65" spans="1:32">
      <c r="C65" s="281" t="s">
        <v>700</v>
      </c>
      <c r="D65" s="281" t="s">
        <v>700</v>
      </c>
    </row>
    <row r="66" spans="1:32">
      <c r="C66" s="366">
        <v>2017</v>
      </c>
      <c r="D66" s="366" t="s">
        <v>658</v>
      </c>
      <c r="I66" s="765">
        <v>42736</v>
      </c>
      <c r="J66" s="765">
        <v>42767</v>
      </c>
      <c r="K66" s="765">
        <v>42795</v>
      </c>
      <c r="L66" s="765">
        <v>42826</v>
      </c>
      <c r="M66" s="765">
        <v>42856</v>
      </c>
      <c r="N66" s="765">
        <v>42887</v>
      </c>
      <c r="O66" s="765">
        <v>42917</v>
      </c>
      <c r="P66" s="765">
        <v>42948</v>
      </c>
      <c r="Q66" s="765">
        <v>42979</v>
      </c>
      <c r="R66" s="765">
        <v>43009</v>
      </c>
      <c r="S66" s="765">
        <v>43040</v>
      </c>
      <c r="T66" s="765">
        <v>43070</v>
      </c>
      <c r="U66" s="765">
        <v>43101</v>
      </c>
      <c r="V66" s="765">
        <v>43132</v>
      </c>
      <c r="W66" s="765">
        <v>43160</v>
      </c>
      <c r="X66" s="765">
        <v>43191</v>
      </c>
      <c r="Y66" s="765">
        <v>43221</v>
      </c>
      <c r="Z66" s="765">
        <v>43252</v>
      </c>
      <c r="AA66" s="765">
        <v>43282</v>
      </c>
      <c r="AB66" s="765">
        <v>43313</v>
      </c>
      <c r="AC66" s="765">
        <v>43344</v>
      </c>
      <c r="AD66" s="765">
        <v>43374</v>
      </c>
      <c r="AE66" s="765">
        <v>43405</v>
      </c>
      <c r="AF66" s="765">
        <v>43435</v>
      </c>
    </row>
    <row r="68" spans="1:32">
      <c r="A68" s="463" t="s">
        <v>268</v>
      </c>
      <c r="B68" s="692"/>
    </row>
    <row r="69" spans="1:32">
      <c r="A69" s="460" t="s">
        <v>32</v>
      </c>
      <c r="B69" s="692"/>
      <c r="C69" s="472">
        <f t="shared" ref="C69:C88" si="10">SUM(I69:T69)</f>
        <v>2465339689.415597</v>
      </c>
      <c r="D69" s="379">
        <f t="shared" ref="D69:D88" si="11">SUM(O69:Z69)</f>
        <v>2475322184.7001238</v>
      </c>
      <c r="F69" s="563" t="s">
        <v>665</v>
      </c>
      <c r="I69" s="767">
        <v>281897851.83514953</v>
      </c>
      <c r="J69" s="767">
        <v>229740569.88516009</v>
      </c>
      <c r="K69" s="767">
        <v>229810112.70137602</v>
      </c>
      <c r="L69" s="767">
        <v>185300106.28126484</v>
      </c>
      <c r="M69" s="767">
        <v>167916178.15093824</v>
      </c>
      <c r="N69" s="767">
        <v>157384792.28540018</v>
      </c>
      <c r="O69" s="767">
        <v>185494264.10145715</v>
      </c>
      <c r="P69" s="767">
        <v>185309755.93272012</v>
      </c>
      <c r="Q69" s="767">
        <v>154137988.36984262</v>
      </c>
      <c r="R69" s="767">
        <v>180634659.25088105</v>
      </c>
      <c r="S69" s="767">
        <v>223126523.33787501</v>
      </c>
      <c r="T69" s="767">
        <v>284586887.28353214</v>
      </c>
      <c r="U69" s="767">
        <v>282889431.22450137</v>
      </c>
      <c r="V69" s="767">
        <v>231422738.09382573</v>
      </c>
      <c r="W69" s="767">
        <v>231296085.99921384</v>
      </c>
      <c r="X69" s="767">
        <v>187416077.94519928</v>
      </c>
      <c r="Y69" s="767">
        <v>169792546.70335954</v>
      </c>
      <c r="Z69" s="767">
        <v>159215226.45771614</v>
      </c>
      <c r="AA69" s="767">
        <v>186884674.92675442</v>
      </c>
      <c r="AB69" s="767">
        <v>186928493.15943271</v>
      </c>
      <c r="AC69" s="767">
        <v>155383321.08720142</v>
      </c>
      <c r="AD69" s="767">
        <v>181141650.10460058</v>
      </c>
      <c r="AE69" s="767">
        <v>224314380.85177499</v>
      </c>
      <c r="AF69" s="767">
        <v>285479555.99141622</v>
      </c>
    </row>
    <row r="70" spans="1:32">
      <c r="A70" s="460" t="s">
        <v>36</v>
      </c>
      <c r="B70" s="692"/>
      <c r="C70" s="472">
        <f t="shared" si="10"/>
        <v>535895759.06985378</v>
      </c>
      <c r="D70" s="379">
        <f t="shared" si="11"/>
        <v>538353249.76583123</v>
      </c>
      <c r="F70" s="563" t="s">
        <v>666</v>
      </c>
      <c r="I70" s="767">
        <v>50928471.059914827</v>
      </c>
      <c r="J70" s="767">
        <v>43707722.457051411</v>
      </c>
      <c r="K70" s="767">
        <v>46115064.413349248</v>
      </c>
      <c r="L70" s="767">
        <v>40306814.078187265</v>
      </c>
      <c r="M70" s="767">
        <v>39777725.488285668</v>
      </c>
      <c r="N70" s="767">
        <v>40153504.181232542</v>
      </c>
      <c r="O70" s="767">
        <v>47121413.441800505</v>
      </c>
      <c r="P70" s="767">
        <v>46036934.207380421</v>
      </c>
      <c r="Q70" s="767">
        <v>39163925.767574422</v>
      </c>
      <c r="R70" s="767">
        <v>44113096.002704047</v>
      </c>
      <c r="S70" s="767">
        <v>46313992.859878831</v>
      </c>
      <c r="T70" s="767">
        <v>52157095.112494662</v>
      </c>
      <c r="U70" s="767">
        <v>51314363.49724225</v>
      </c>
      <c r="V70" s="767">
        <v>44134157.225317076</v>
      </c>
      <c r="W70" s="767">
        <v>46438198.32769002</v>
      </c>
      <c r="X70" s="767">
        <v>40774226.188191049</v>
      </c>
      <c r="Y70" s="767">
        <v>40156113.403163411</v>
      </c>
      <c r="Z70" s="767">
        <v>40629733.732394457</v>
      </c>
      <c r="AA70" s="767">
        <v>47678873.24286855</v>
      </c>
      <c r="AB70" s="767">
        <v>46466292.267056882</v>
      </c>
      <c r="AC70" s="767">
        <v>39549671.828841977</v>
      </c>
      <c r="AD70" s="767">
        <v>44696038.274035312</v>
      </c>
      <c r="AE70" s="767">
        <v>47101746.252143025</v>
      </c>
      <c r="AF70" s="767">
        <v>52701174.505614489</v>
      </c>
    </row>
    <row r="71" spans="1:32">
      <c r="A71" s="460" t="s">
        <v>33</v>
      </c>
      <c r="B71" s="692"/>
      <c r="C71" s="472">
        <f t="shared" si="10"/>
        <v>58983593.83447095</v>
      </c>
      <c r="D71" s="379">
        <f t="shared" si="11"/>
        <v>59570697.156424507</v>
      </c>
      <c r="F71" s="563" t="s">
        <v>667</v>
      </c>
      <c r="I71" s="767">
        <v>6613720.4720587824</v>
      </c>
      <c r="J71" s="767">
        <v>5552767.7196848653</v>
      </c>
      <c r="K71" s="767">
        <v>5615964.6207591752</v>
      </c>
      <c r="L71" s="767">
        <v>4544451.2987116193</v>
      </c>
      <c r="M71" s="767">
        <v>4151655.0745443925</v>
      </c>
      <c r="N71" s="767">
        <v>3898951.9680052111</v>
      </c>
      <c r="O71" s="767">
        <v>4212626.8676785883</v>
      </c>
      <c r="P71" s="767">
        <v>4139423.4026508932</v>
      </c>
      <c r="Q71" s="767">
        <v>3713765.2647269899</v>
      </c>
      <c r="R71" s="767">
        <v>4470096.3637570562</v>
      </c>
      <c r="S71" s="767">
        <v>5356894.3970154002</v>
      </c>
      <c r="T71" s="767">
        <v>6713276.3848779732</v>
      </c>
      <c r="U71" s="767">
        <v>6751035.9236954208</v>
      </c>
      <c r="V71" s="767">
        <v>5681764.3238802077</v>
      </c>
      <c r="W71" s="767">
        <v>5670244.8228958799</v>
      </c>
      <c r="X71" s="767">
        <v>4625600.8100916054</v>
      </c>
      <c r="Y71" s="767">
        <v>4236557.6188208796</v>
      </c>
      <c r="Z71" s="767">
        <v>3999410.9763336144</v>
      </c>
      <c r="AA71" s="767">
        <v>4350297.1861378197</v>
      </c>
      <c r="AB71" s="767">
        <v>4202673.3983472912</v>
      </c>
      <c r="AC71" s="767">
        <v>3762743.820286084</v>
      </c>
      <c r="AD71" s="767">
        <v>4573549.3280913178</v>
      </c>
      <c r="AE71" s="767">
        <v>5470367.1522686984</v>
      </c>
      <c r="AF71" s="767">
        <v>6860449.0377611667</v>
      </c>
    </row>
    <row r="72" spans="1:32">
      <c r="A72" s="460" t="s">
        <v>37</v>
      </c>
      <c r="B72" s="692"/>
      <c r="C72" s="472">
        <f t="shared" si="10"/>
        <v>1396147116.7293799</v>
      </c>
      <c r="D72" s="379">
        <f t="shared" si="11"/>
        <v>1394903544.6031742</v>
      </c>
      <c r="F72" s="563" t="s">
        <v>668</v>
      </c>
      <c r="I72" s="767">
        <v>120973910.87099975</v>
      </c>
      <c r="J72" s="767">
        <v>105265454.0975022</v>
      </c>
      <c r="K72" s="767">
        <v>113969926.63645588</v>
      </c>
      <c r="L72" s="767">
        <v>104028277.23717929</v>
      </c>
      <c r="M72" s="767">
        <v>108393256.10599269</v>
      </c>
      <c r="N72" s="767">
        <v>112384138.54899205</v>
      </c>
      <c r="O72" s="767">
        <v>128639653.78678557</v>
      </c>
      <c r="P72" s="767">
        <v>125397995.26590674</v>
      </c>
      <c r="Q72" s="767">
        <v>108992046.80825058</v>
      </c>
      <c r="R72" s="767">
        <v>121654041.16322048</v>
      </c>
      <c r="S72" s="767">
        <v>119983881.1812876</v>
      </c>
      <c r="T72" s="767">
        <v>126464535.0268074</v>
      </c>
      <c r="U72" s="767">
        <v>120658668.32458073</v>
      </c>
      <c r="V72" s="767">
        <v>105183527.85466981</v>
      </c>
      <c r="W72" s="767">
        <v>113422550.3813684</v>
      </c>
      <c r="X72" s="767">
        <v>103881043.44389942</v>
      </c>
      <c r="Y72" s="767">
        <v>107953612.1268871</v>
      </c>
      <c r="Z72" s="767">
        <v>112671989.23951058</v>
      </c>
      <c r="AA72" s="767">
        <v>128976875.36763254</v>
      </c>
      <c r="AB72" s="767">
        <v>125141245.06562559</v>
      </c>
      <c r="AC72" s="767">
        <v>108852581.8372914</v>
      </c>
      <c r="AD72" s="767">
        <v>122204888.57169689</v>
      </c>
      <c r="AE72" s="767">
        <v>121003633.78422445</v>
      </c>
      <c r="AF72" s="767">
        <v>126681570.83050977</v>
      </c>
    </row>
    <row r="73" spans="1:32">
      <c r="A73" s="460" t="s">
        <v>34</v>
      </c>
      <c r="B73" s="692"/>
      <c r="C73" s="472">
        <f t="shared" si="10"/>
        <v>37893004.528706931</v>
      </c>
      <c r="D73" s="379">
        <f t="shared" si="11"/>
        <v>37957083.991519839</v>
      </c>
      <c r="F73" s="563" t="s">
        <v>669</v>
      </c>
      <c r="I73" s="767">
        <v>3840864.8129021898</v>
      </c>
      <c r="J73" s="767">
        <v>3281645.9828648251</v>
      </c>
      <c r="K73" s="767">
        <v>3384226.619456456</v>
      </c>
      <c r="L73" s="767">
        <v>2885458.8244791599</v>
      </c>
      <c r="M73" s="767">
        <v>2787627.0525010377</v>
      </c>
      <c r="N73" s="767">
        <v>2725061.9676265325</v>
      </c>
      <c r="O73" s="767">
        <v>3110520.0685026739</v>
      </c>
      <c r="P73" s="767">
        <v>3088992.5572866742</v>
      </c>
      <c r="Q73" s="767">
        <v>2677574.1823481242</v>
      </c>
      <c r="R73" s="767">
        <v>3045789.9812560235</v>
      </c>
      <c r="S73" s="767">
        <v>3258353.7548114751</v>
      </c>
      <c r="T73" s="767">
        <v>3806888.7246717676</v>
      </c>
      <c r="U73" s="767">
        <v>3842446.6016380615</v>
      </c>
      <c r="V73" s="767">
        <v>3294698.3575078682</v>
      </c>
      <c r="W73" s="767">
        <v>3389614.5744137261</v>
      </c>
      <c r="X73" s="767">
        <v>2901971.7020086683</v>
      </c>
      <c r="Y73" s="767">
        <v>2796401.270151169</v>
      </c>
      <c r="Z73" s="767">
        <v>2743832.2169236057</v>
      </c>
      <c r="AA73" s="767">
        <v>3122268.3588184672</v>
      </c>
      <c r="AB73" s="767">
        <v>3091241.1355973342</v>
      </c>
      <c r="AC73" s="767">
        <v>2681582.2425185805</v>
      </c>
      <c r="AD73" s="767">
        <v>3060487.7768566976</v>
      </c>
      <c r="AE73" s="767">
        <v>3281749.190762836</v>
      </c>
      <c r="AF73" s="767">
        <v>3809777.1070800675</v>
      </c>
    </row>
    <row r="74" spans="1:32">
      <c r="A74" s="460" t="s">
        <v>38</v>
      </c>
      <c r="B74" s="692"/>
      <c r="C74" s="472">
        <f t="shared" si="10"/>
        <v>1145620987.8967597</v>
      </c>
      <c r="D74" s="379">
        <f t="shared" si="11"/>
        <v>1156202202.2462847</v>
      </c>
      <c r="F74" s="563" t="s">
        <v>670</v>
      </c>
      <c r="I74" s="767">
        <v>93324317.886907801</v>
      </c>
      <c r="J74" s="767">
        <v>96421635.05969125</v>
      </c>
      <c r="K74" s="767">
        <v>90930294.289534092</v>
      </c>
      <c r="L74" s="767">
        <v>96444819.618737862</v>
      </c>
      <c r="M74" s="767">
        <v>93222361.854130387</v>
      </c>
      <c r="N74" s="767">
        <v>95565743.789982408</v>
      </c>
      <c r="O74" s="767">
        <v>94406936.743390724</v>
      </c>
      <c r="P74" s="767">
        <v>96658343.57759504</v>
      </c>
      <c r="Q74" s="767">
        <v>100190143.30775703</v>
      </c>
      <c r="R74" s="767">
        <v>95780659.868429869</v>
      </c>
      <c r="S74" s="767">
        <v>97954294.652885824</v>
      </c>
      <c r="T74" s="767">
        <v>94721437.247717395</v>
      </c>
      <c r="U74" s="767">
        <v>96403075.908734605</v>
      </c>
      <c r="V74" s="767">
        <v>97303249.489110827</v>
      </c>
      <c r="W74" s="767">
        <v>91939976.405045122</v>
      </c>
      <c r="X74" s="767">
        <v>97939993.174184233</v>
      </c>
      <c r="Y74" s="767">
        <v>95177161.746524036</v>
      </c>
      <c r="Z74" s="767">
        <v>97726930.124910027</v>
      </c>
      <c r="AA74" s="767">
        <v>96127279.604984492</v>
      </c>
      <c r="AB74" s="767">
        <v>98577476.416299999</v>
      </c>
      <c r="AC74" s="767">
        <v>101694186.05432308</v>
      </c>
      <c r="AD74" s="767">
        <v>97277085.790460616</v>
      </c>
      <c r="AE74" s="767">
        <v>99757720.873667896</v>
      </c>
      <c r="AF74" s="767">
        <v>95963154.754362822</v>
      </c>
    </row>
    <row r="75" spans="1:32">
      <c r="A75" s="460" t="s">
        <v>40</v>
      </c>
      <c r="B75" s="692"/>
      <c r="C75" s="472">
        <f t="shared" si="10"/>
        <v>0</v>
      </c>
      <c r="D75" s="379">
        <f t="shared" si="11"/>
        <v>0</v>
      </c>
      <c r="F75" s="563" t="s">
        <v>671</v>
      </c>
      <c r="I75" s="767">
        <v>0</v>
      </c>
      <c r="J75" s="767">
        <v>0</v>
      </c>
      <c r="K75" s="767">
        <v>0</v>
      </c>
      <c r="L75" s="767">
        <v>0</v>
      </c>
      <c r="M75" s="767">
        <v>0</v>
      </c>
      <c r="N75" s="767">
        <v>0</v>
      </c>
      <c r="O75" s="767">
        <v>0</v>
      </c>
      <c r="P75" s="767">
        <v>0</v>
      </c>
      <c r="Q75" s="767">
        <v>0</v>
      </c>
      <c r="R75" s="767">
        <v>0</v>
      </c>
      <c r="S75" s="767">
        <v>0</v>
      </c>
      <c r="T75" s="767">
        <v>0</v>
      </c>
      <c r="U75" s="767">
        <v>0</v>
      </c>
      <c r="V75" s="767">
        <v>0</v>
      </c>
      <c r="W75" s="767">
        <v>0</v>
      </c>
      <c r="X75" s="767">
        <v>0</v>
      </c>
      <c r="Y75" s="767">
        <v>0</v>
      </c>
      <c r="Z75" s="767">
        <v>0</v>
      </c>
      <c r="AA75" s="767">
        <v>0</v>
      </c>
      <c r="AB75" s="767">
        <v>0</v>
      </c>
      <c r="AC75" s="767">
        <v>0</v>
      </c>
      <c r="AD75" s="767">
        <v>0</v>
      </c>
      <c r="AE75" s="767">
        <v>0</v>
      </c>
      <c r="AF75" s="767">
        <v>0</v>
      </c>
    </row>
    <row r="76" spans="1:32">
      <c r="A76" s="460" t="s">
        <v>39</v>
      </c>
      <c r="B76" s="692"/>
      <c r="C76" s="472">
        <f t="shared" si="10"/>
        <v>125774079.55454713</v>
      </c>
      <c r="D76" s="379">
        <f t="shared" si="11"/>
        <v>125307432.74115688</v>
      </c>
      <c r="F76" s="563" t="s">
        <v>672</v>
      </c>
      <c r="I76" s="767">
        <v>3896076.6284332215</v>
      </c>
      <c r="J76" s="767">
        <v>3416841.3385814568</v>
      </c>
      <c r="K76" s="767">
        <v>4173307.0060633132</v>
      </c>
      <c r="L76" s="767">
        <v>6124989.1700909361</v>
      </c>
      <c r="M76" s="767">
        <v>11117074.821815658</v>
      </c>
      <c r="N76" s="767">
        <v>16189364.44182473</v>
      </c>
      <c r="O76" s="767">
        <v>21980869.950520698</v>
      </c>
      <c r="P76" s="767">
        <v>22895486.287135646</v>
      </c>
      <c r="Q76" s="767">
        <v>16594115.124810424</v>
      </c>
      <c r="R76" s="767">
        <v>10583135.652796689</v>
      </c>
      <c r="S76" s="767">
        <v>4769540.9657196421</v>
      </c>
      <c r="T76" s="767">
        <v>4033278.1667547259</v>
      </c>
      <c r="U76" s="767">
        <v>3886046.0568444533</v>
      </c>
      <c r="V76" s="767">
        <v>3418810.3916243427</v>
      </c>
      <c r="W76" s="767">
        <v>4130260.4272395885</v>
      </c>
      <c r="X76" s="767">
        <v>5926581.8011624832</v>
      </c>
      <c r="Y76" s="767">
        <v>10846878.75957473</v>
      </c>
      <c r="Z76" s="767">
        <v>16242429.156973463</v>
      </c>
      <c r="AA76" s="767">
        <v>22074366.611076541</v>
      </c>
      <c r="AB76" s="767">
        <v>23116385.160544135</v>
      </c>
      <c r="AC76" s="767">
        <v>17112633.097687554</v>
      </c>
      <c r="AD76" s="767">
        <v>11055691.392735029</v>
      </c>
      <c r="AE76" s="767">
        <v>4900174.5926546995</v>
      </c>
      <c r="AF76" s="767">
        <v>4040088.0528263478</v>
      </c>
    </row>
    <row r="77" spans="1:32">
      <c r="A77" s="460" t="s">
        <v>35</v>
      </c>
      <c r="B77" s="692"/>
      <c r="C77" s="472">
        <f t="shared" si="10"/>
        <v>7893772.3243414396</v>
      </c>
      <c r="D77" s="379">
        <f t="shared" si="11"/>
        <v>7934070.5970124993</v>
      </c>
      <c r="F77" s="563" t="s">
        <v>673</v>
      </c>
      <c r="I77" s="767">
        <v>309328.52645770169</v>
      </c>
      <c r="J77" s="767">
        <v>267042.14408405608</v>
      </c>
      <c r="K77" s="767">
        <v>289345.42716240551</v>
      </c>
      <c r="L77" s="767">
        <v>351933.73295303312</v>
      </c>
      <c r="M77" s="767">
        <v>568439.98673052166</v>
      </c>
      <c r="N77" s="767">
        <v>887378.18105850404</v>
      </c>
      <c r="O77" s="767">
        <v>1405843.815441695</v>
      </c>
      <c r="P77" s="767">
        <v>1533268.5648889029</v>
      </c>
      <c r="Q77" s="767">
        <v>1041790.4117260235</v>
      </c>
      <c r="R77" s="767">
        <v>640534.73832346988</v>
      </c>
      <c r="S77" s="767">
        <v>304492.20213157142</v>
      </c>
      <c r="T77" s="767">
        <v>294374.59338355419</v>
      </c>
      <c r="U77" s="767">
        <v>306326.67283373722</v>
      </c>
      <c r="V77" s="767">
        <v>264399.49449096271</v>
      </c>
      <c r="W77" s="767">
        <v>285288.87211670901</v>
      </c>
      <c r="X77" s="767">
        <v>369529.33993649401</v>
      </c>
      <c r="Y77" s="767">
        <v>590906.21008184343</v>
      </c>
      <c r="Z77" s="767">
        <v>897315.68165753642</v>
      </c>
      <c r="AA77" s="767">
        <v>1416391.8449989511</v>
      </c>
      <c r="AB77" s="767">
        <v>1564104.1646913791</v>
      </c>
      <c r="AC77" s="767">
        <v>1072663.288553379</v>
      </c>
      <c r="AD77" s="767">
        <v>668983.74506776896</v>
      </c>
      <c r="AE77" s="767">
        <v>310162.84640814288</v>
      </c>
      <c r="AF77" s="767">
        <v>293984.34165594069</v>
      </c>
    </row>
    <row r="78" spans="1:32">
      <c r="A78" s="471" t="s">
        <v>41</v>
      </c>
      <c r="B78" s="692"/>
      <c r="C78" s="472">
        <f t="shared" si="10"/>
        <v>24453677.284240972</v>
      </c>
      <c r="D78" s="379">
        <f t="shared" si="11"/>
        <v>24397324.476858344</v>
      </c>
      <c r="F78" s="563" t="s">
        <v>674</v>
      </c>
      <c r="I78" s="767">
        <v>2042042.5107866661</v>
      </c>
      <c r="J78" s="767">
        <v>2041401.7147684535</v>
      </c>
      <c r="K78" s="767">
        <v>2040830.9214222287</v>
      </c>
      <c r="L78" s="767">
        <v>2039980.0603323383</v>
      </c>
      <c r="M78" s="767">
        <v>2039100.1229356448</v>
      </c>
      <c r="N78" s="767">
        <v>2038049.4295486589</v>
      </c>
      <c r="O78" s="767">
        <v>2037249.5825243932</v>
      </c>
      <c r="P78" s="767">
        <v>2036489.5824049907</v>
      </c>
      <c r="Q78" s="767">
        <v>2035731.1736141164</v>
      </c>
      <c r="R78" s="767">
        <v>2034994.5730776018</v>
      </c>
      <c r="S78" s="767">
        <v>2034267.061157004</v>
      </c>
      <c r="T78" s="767">
        <v>2033540.5516688814</v>
      </c>
      <c r="U78" s="767">
        <v>2032800.5822596806</v>
      </c>
      <c r="V78" s="767">
        <v>2032028.4727886803</v>
      </c>
      <c r="W78" s="767">
        <v>2031249.5258853436</v>
      </c>
      <c r="X78" s="767">
        <v>2030448.1343462314</v>
      </c>
      <c r="Y78" s="767">
        <v>2029657.0874533188</v>
      </c>
      <c r="Z78" s="767">
        <v>2028868.149678099</v>
      </c>
      <c r="AA78" s="767">
        <v>2028104.3209312558</v>
      </c>
      <c r="AB78" s="767">
        <v>2027340.9788021517</v>
      </c>
      <c r="AC78" s="767">
        <v>2026579.9218340793</v>
      </c>
      <c r="AD78" s="767">
        <v>2025816.3204791006</v>
      </c>
      <c r="AE78" s="767">
        <v>2025052.6395696169</v>
      </c>
      <c r="AF78" s="767">
        <v>2024283.8468677872</v>
      </c>
    </row>
    <row r="79" spans="1:32">
      <c r="A79" s="460" t="s">
        <v>258</v>
      </c>
      <c r="B79" s="692"/>
      <c r="C79" s="472">
        <f t="shared" si="10"/>
        <v>1190385278.1034238</v>
      </c>
      <c r="D79" s="379">
        <f t="shared" si="11"/>
        <v>1194981940.6792972</v>
      </c>
      <c r="F79" s="563" t="s">
        <v>675</v>
      </c>
      <c r="I79" s="767">
        <v>134405539.46820459</v>
      </c>
      <c r="J79" s="767">
        <v>108963109.81780878</v>
      </c>
      <c r="K79" s="767">
        <v>111269887.03823321</v>
      </c>
      <c r="L79" s="767">
        <v>90857355.546603307</v>
      </c>
      <c r="M79" s="767">
        <v>81654899.752093852</v>
      </c>
      <c r="N79" s="767">
        <v>75881735.750619665</v>
      </c>
      <c r="O79" s="767">
        <v>89241997.8338622</v>
      </c>
      <c r="P79" s="767">
        <v>85112294.211226106</v>
      </c>
      <c r="Q79" s="767">
        <v>71590351.510817856</v>
      </c>
      <c r="R79" s="767">
        <v>87094125.878816858</v>
      </c>
      <c r="S79" s="767">
        <v>112870435.25753665</v>
      </c>
      <c r="T79" s="767">
        <v>141443546.03760079</v>
      </c>
      <c r="U79" s="767">
        <v>135347400.58404681</v>
      </c>
      <c r="V79" s="767">
        <v>109711030.13404059</v>
      </c>
      <c r="W79" s="767">
        <v>111903113.98813067</v>
      </c>
      <c r="X79" s="767">
        <v>91850237.223266706</v>
      </c>
      <c r="Y79" s="767">
        <v>82527596.664878339</v>
      </c>
      <c r="Z79" s="767">
        <v>76289811.35507375</v>
      </c>
      <c r="AA79" s="767">
        <v>89932409.71280241</v>
      </c>
      <c r="AB79" s="767">
        <v>85527685.588358566</v>
      </c>
      <c r="AC79" s="767">
        <v>71959549.795592621</v>
      </c>
      <c r="AD79" s="767">
        <v>86924215.99853918</v>
      </c>
      <c r="AE79" s="767">
        <v>113458988.60944696</v>
      </c>
      <c r="AF79" s="767">
        <v>142227956.8031795</v>
      </c>
    </row>
    <row r="80" spans="1:32">
      <c r="A80" s="460" t="s">
        <v>263</v>
      </c>
      <c r="B80" s="692"/>
      <c r="C80" s="472">
        <f t="shared" si="10"/>
        <v>339335834.57906741</v>
      </c>
      <c r="D80" s="379">
        <f t="shared" si="11"/>
        <v>340979406.5209074</v>
      </c>
      <c r="F80" s="563" t="s">
        <v>676</v>
      </c>
      <c r="I80" s="767">
        <v>32687346.145106059</v>
      </c>
      <c r="J80" s="767">
        <v>27370282.33874923</v>
      </c>
      <c r="K80" s="767">
        <v>29145158.182185803</v>
      </c>
      <c r="L80" s="767">
        <v>25503815.895650413</v>
      </c>
      <c r="M80" s="767">
        <v>25011909.489257254</v>
      </c>
      <c r="N80" s="767">
        <v>25153385.622106481</v>
      </c>
      <c r="O80" s="767">
        <v>29956247.380569097</v>
      </c>
      <c r="P80" s="767">
        <v>29339555.566259023</v>
      </c>
      <c r="Q80" s="767">
        <v>24430519.411767293</v>
      </c>
      <c r="R80" s="767">
        <v>26780920.607303284</v>
      </c>
      <c r="S80" s="767">
        <v>29582390.071243916</v>
      </c>
      <c r="T80" s="767">
        <v>34374303.868869461</v>
      </c>
      <c r="U80" s="767">
        <v>32995273.243758149</v>
      </c>
      <c r="V80" s="767">
        <v>27635536.3529814</v>
      </c>
      <c r="W80" s="767">
        <v>29366767.837268837</v>
      </c>
      <c r="X80" s="767">
        <v>25803820.916059922</v>
      </c>
      <c r="Y80" s="767">
        <v>25275028.084889408</v>
      </c>
      <c r="Z80" s="767">
        <v>25439043.179937661</v>
      </c>
      <c r="AA80" s="767">
        <v>30321159.931996435</v>
      </c>
      <c r="AB80" s="767">
        <v>29624369.100123174</v>
      </c>
      <c r="AC80" s="767">
        <v>24767396.862217359</v>
      </c>
      <c r="AD80" s="767">
        <v>27087476.627944589</v>
      </c>
      <c r="AE80" s="767">
        <v>30022155.846009962</v>
      </c>
      <c r="AF80" s="767">
        <v>34735250.464186251</v>
      </c>
    </row>
    <row r="81" spans="1:32">
      <c r="A81" s="460" t="s">
        <v>259</v>
      </c>
      <c r="B81" s="692"/>
      <c r="C81" s="472">
        <f t="shared" si="10"/>
        <v>26709209.646391127</v>
      </c>
      <c r="D81" s="379">
        <f t="shared" si="11"/>
        <v>27096423.595130846</v>
      </c>
      <c r="F81" s="563" t="s">
        <v>677</v>
      </c>
      <c r="I81" s="767">
        <v>3058894.7522638366</v>
      </c>
      <c r="J81" s="767">
        <v>2473238.8326813434</v>
      </c>
      <c r="K81" s="767">
        <v>2461601.9743109597</v>
      </c>
      <c r="L81" s="767">
        <v>2004399.940601367</v>
      </c>
      <c r="M81" s="767">
        <v>1791733.0082904112</v>
      </c>
      <c r="N81" s="767">
        <v>1684204.829777909</v>
      </c>
      <c r="O81" s="767">
        <v>1907133.8046438498</v>
      </c>
      <c r="P81" s="767">
        <v>1877274.3339366219</v>
      </c>
      <c r="Q81" s="767">
        <v>1660320.2271794286</v>
      </c>
      <c r="R81" s="767">
        <v>1992561.7802704894</v>
      </c>
      <c r="S81" s="767">
        <v>2548862.1885088459</v>
      </c>
      <c r="T81" s="767">
        <v>3248983.9739260683</v>
      </c>
      <c r="U81" s="767">
        <v>3138112.7629084317</v>
      </c>
      <c r="V81" s="767">
        <v>2545430.4204149712</v>
      </c>
      <c r="W81" s="767">
        <v>2525924.185996708</v>
      </c>
      <c r="X81" s="767">
        <v>2071497.1842696331</v>
      </c>
      <c r="Y81" s="767">
        <v>1845831.6436738821</v>
      </c>
      <c r="Z81" s="767">
        <v>1734491.0894019161</v>
      </c>
      <c r="AA81" s="767">
        <v>1963648.6914108032</v>
      </c>
      <c r="AB81" s="767">
        <v>1920120.8665702781</v>
      </c>
      <c r="AC81" s="767">
        <v>1703183.1174590858</v>
      </c>
      <c r="AD81" s="767">
        <v>2036299.8856590544</v>
      </c>
      <c r="AE81" s="767">
        <v>2609184.9899267508</v>
      </c>
      <c r="AF81" s="767">
        <v>3331623.4853356341</v>
      </c>
    </row>
    <row r="82" spans="1:32">
      <c r="A82" s="460" t="s">
        <v>264</v>
      </c>
      <c r="B82" s="692"/>
      <c r="C82" s="472">
        <f t="shared" si="10"/>
        <v>672399683.50773418</v>
      </c>
      <c r="D82" s="379">
        <f t="shared" si="11"/>
        <v>672365850.0029242</v>
      </c>
      <c r="F82" s="563" t="s">
        <v>678</v>
      </c>
      <c r="I82" s="767">
        <v>58705688.672889099</v>
      </c>
      <c r="J82" s="767">
        <v>50775891.497975782</v>
      </c>
      <c r="K82" s="767">
        <v>55874054.611349985</v>
      </c>
      <c r="L82" s="767">
        <v>50859445.563261896</v>
      </c>
      <c r="M82" s="767">
        <v>52163036.580697536</v>
      </c>
      <c r="N82" s="767">
        <v>53179243.481219426</v>
      </c>
      <c r="O82" s="767">
        <v>62138552.239847951</v>
      </c>
      <c r="P82" s="767">
        <v>61134249.627716303</v>
      </c>
      <c r="Q82" s="767">
        <v>51982528.903718017</v>
      </c>
      <c r="R82" s="767">
        <v>56054102.40617568</v>
      </c>
      <c r="S82" s="767">
        <v>57523031.933842823</v>
      </c>
      <c r="T82" s="767">
        <v>62009857.989039704</v>
      </c>
      <c r="U82" s="767">
        <v>58686916.482998982</v>
      </c>
      <c r="V82" s="767">
        <v>50732848.98508738</v>
      </c>
      <c r="W82" s="767">
        <v>55729447.19213555</v>
      </c>
      <c r="X82" s="767">
        <v>50888186.9307651</v>
      </c>
      <c r="Y82" s="767">
        <v>52154410.363534637</v>
      </c>
      <c r="Z82" s="767">
        <v>53331716.948061943</v>
      </c>
      <c r="AA82" s="767">
        <v>62355969.544691451</v>
      </c>
      <c r="AB82" s="767">
        <v>61045244.137945823</v>
      </c>
      <c r="AC82" s="767">
        <v>52193369.188832715</v>
      </c>
      <c r="AD82" s="767">
        <v>56292626.576722138</v>
      </c>
      <c r="AE82" s="767">
        <v>58040197.715779036</v>
      </c>
      <c r="AF82" s="767">
        <v>62160009.964186937</v>
      </c>
    </row>
    <row r="83" spans="1:32">
      <c r="A83" s="460" t="s">
        <v>260</v>
      </c>
      <c r="B83" s="692"/>
      <c r="C83" s="472">
        <f t="shared" si="10"/>
        <v>9077337.8130688723</v>
      </c>
      <c r="D83" s="379">
        <f t="shared" si="11"/>
        <v>9075917.3700684831</v>
      </c>
      <c r="F83" s="563" t="s">
        <v>701</v>
      </c>
      <c r="I83" s="767">
        <v>943552.29956998117</v>
      </c>
      <c r="J83" s="767">
        <v>782653.04388266359</v>
      </c>
      <c r="K83" s="767">
        <v>817298.05181806604</v>
      </c>
      <c r="L83" s="767">
        <v>685075.52526460006</v>
      </c>
      <c r="M83" s="767">
        <v>656258.33729800605</v>
      </c>
      <c r="N83" s="767">
        <v>640449.07941588003</v>
      </c>
      <c r="O83" s="767">
        <v>750716.86114396434</v>
      </c>
      <c r="P83" s="767">
        <v>734132.67797126947</v>
      </c>
      <c r="Q83" s="767">
        <v>620191.19771996804</v>
      </c>
      <c r="R83" s="767">
        <v>688744.04259918793</v>
      </c>
      <c r="S83" s="767">
        <v>792882.99595139269</v>
      </c>
      <c r="T83" s="767">
        <v>965383.7004338929</v>
      </c>
      <c r="U83" s="767">
        <v>942540.09482174355</v>
      </c>
      <c r="V83" s="767">
        <v>780995.0432734408</v>
      </c>
      <c r="W83" s="767">
        <v>816040.50099605997</v>
      </c>
      <c r="X83" s="767">
        <v>686229.88404082309</v>
      </c>
      <c r="Y83" s="767">
        <v>657175.35970667144</v>
      </c>
      <c r="Z83" s="767">
        <v>640885.01141006849</v>
      </c>
      <c r="AA83" s="767">
        <v>752018.13582365704</v>
      </c>
      <c r="AB83" s="767">
        <v>732028.63679539086</v>
      </c>
      <c r="AC83" s="767">
        <v>621621.1664717833</v>
      </c>
      <c r="AD83" s="767">
        <v>687714.66201481258</v>
      </c>
      <c r="AE83" s="767">
        <v>794019.66626284481</v>
      </c>
      <c r="AF83" s="767">
        <v>962843.92143727327</v>
      </c>
    </row>
    <row r="84" spans="1:32">
      <c r="A84" s="460" t="s">
        <v>265</v>
      </c>
      <c r="B84" s="692"/>
      <c r="C84" s="472">
        <f t="shared" si="10"/>
        <v>339059645.97780299</v>
      </c>
      <c r="D84" s="379">
        <f t="shared" si="11"/>
        <v>344738299.9987452</v>
      </c>
      <c r="F84" s="563" t="s">
        <v>702</v>
      </c>
      <c r="I84" s="767">
        <v>28305189.06850506</v>
      </c>
      <c r="J84" s="767">
        <v>28934353.290570069</v>
      </c>
      <c r="K84" s="767">
        <v>27492914.665233955</v>
      </c>
      <c r="L84" s="767">
        <v>28975492.969842236</v>
      </c>
      <c r="M84" s="767">
        <v>27948136.839211773</v>
      </c>
      <c r="N84" s="767">
        <v>27941028.109483782</v>
      </c>
      <c r="O84" s="767">
        <v>27760183.567819811</v>
      </c>
      <c r="P84" s="767">
        <v>28408244.513930522</v>
      </c>
      <c r="Q84" s="767">
        <v>28912144.126510918</v>
      </c>
      <c r="R84" s="767">
        <v>27901430.59136204</v>
      </c>
      <c r="S84" s="767">
        <v>28670574.112858959</v>
      </c>
      <c r="T84" s="767">
        <v>27809954.122473925</v>
      </c>
      <c r="U84" s="767">
        <v>29283733.027405109</v>
      </c>
      <c r="V84" s="767">
        <v>29895011.369893909</v>
      </c>
      <c r="W84" s="767">
        <v>28437673.885073818</v>
      </c>
      <c r="X84" s="767">
        <v>29908372.158683695</v>
      </c>
      <c r="Y84" s="767">
        <v>28876838.36578542</v>
      </c>
      <c r="Z84" s="767">
        <v>28874140.15694705</v>
      </c>
      <c r="AA84" s="767">
        <v>28688262.770706993</v>
      </c>
      <c r="AB84" s="767">
        <v>29335738.138625026</v>
      </c>
      <c r="AC84" s="767">
        <v>29842445.885650277</v>
      </c>
      <c r="AD84" s="767">
        <v>28837299.263599519</v>
      </c>
      <c r="AE84" s="767">
        <v>29612913.087647982</v>
      </c>
      <c r="AF84" s="767">
        <v>28758464.179872446</v>
      </c>
    </row>
    <row r="85" spans="1:32">
      <c r="A85" s="460" t="s">
        <v>267</v>
      </c>
      <c r="B85" s="692"/>
      <c r="C85" s="472">
        <f t="shared" si="10"/>
        <v>457412100</v>
      </c>
      <c r="D85" s="379">
        <f t="shared" si="11"/>
        <v>460151543</v>
      </c>
      <c r="F85" s="563" t="s">
        <v>679</v>
      </c>
      <c r="I85" s="767">
        <v>38627250</v>
      </c>
      <c r="J85" s="767">
        <v>36090693</v>
      </c>
      <c r="K85" s="767">
        <v>38577221</v>
      </c>
      <c r="L85" s="767">
        <v>36310159</v>
      </c>
      <c r="M85" s="767">
        <v>37893940</v>
      </c>
      <c r="N85" s="767">
        <v>37443219</v>
      </c>
      <c r="O85" s="767">
        <v>40233723</v>
      </c>
      <c r="P85" s="767">
        <v>39900688</v>
      </c>
      <c r="Q85" s="767">
        <v>38181877</v>
      </c>
      <c r="R85" s="767">
        <v>39518213</v>
      </c>
      <c r="S85" s="767">
        <v>36699092</v>
      </c>
      <c r="T85" s="767">
        <v>37936025</v>
      </c>
      <c r="U85" s="767">
        <v>39163194</v>
      </c>
      <c r="V85" s="767">
        <v>36531956</v>
      </c>
      <c r="W85" s="767">
        <v>38904036</v>
      </c>
      <c r="X85" s="767">
        <v>36866549</v>
      </c>
      <c r="Y85" s="767">
        <v>38397932</v>
      </c>
      <c r="Z85" s="767">
        <v>37818258</v>
      </c>
      <c r="AA85" s="767">
        <v>40533899</v>
      </c>
      <c r="AB85" s="767">
        <v>40235570</v>
      </c>
      <c r="AC85" s="767">
        <v>38552141</v>
      </c>
      <c r="AD85" s="767">
        <v>39831466</v>
      </c>
      <c r="AE85" s="767">
        <v>36940485</v>
      </c>
      <c r="AF85" s="767">
        <v>38189824</v>
      </c>
    </row>
    <row r="86" spans="1:32">
      <c r="A86" s="460" t="s">
        <v>266</v>
      </c>
      <c r="B86" s="692"/>
      <c r="C86" s="472">
        <f t="shared" si="10"/>
        <v>51024916.547818907</v>
      </c>
      <c r="D86" s="379">
        <f t="shared" si="11"/>
        <v>50675815.657660708</v>
      </c>
      <c r="F86" s="563" t="s">
        <v>680</v>
      </c>
      <c r="I86" s="767">
        <v>3035567.1298822658</v>
      </c>
      <c r="J86" s="767">
        <v>2656784.7100313837</v>
      </c>
      <c r="K86" s="767">
        <v>3006228.6984267291</v>
      </c>
      <c r="L86" s="767">
        <v>3028690.6945361309</v>
      </c>
      <c r="M86" s="767">
        <v>3831167.4213756751</v>
      </c>
      <c r="N86" s="767">
        <v>5074157.9256976973</v>
      </c>
      <c r="O86" s="767">
        <v>7205523.1920138281</v>
      </c>
      <c r="P86" s="767">
        <v>7488852.2613325249</v>
      </c>
      <c r="Q86" s="767">
        <v>5456072.7489104848</v>
      </c>
      <c r="R86" s="767">
        <v>4153514.2553024678</v>
      </c>
      <c r="S86" s="767">
        <v>3023400.3896492189</v>
      </c>
      <c r="T86" s="767">
        <v>3064957.1206604997</v>
      </c>
      <c r="U86" s="767">
        <v>2990407.9939498259</v>
      </c>
      <c r="V86" s="767">
        <v>2619249.7522874502</v>
      </c>
      <c r="W86" s="767">
        <v>2954158.7858158024</v>
      </c>
      <c r="X86" s="767">
        <v>2974771.6600199733</v>
      </c>
      <c r="Y86" s="767">
        <v>3738711.639648472</v>
      </c>
      <c r="Z86" s="767">
        <v>5006195.8580701575</v>
      </c>
      <c r="AA86" s="767">
        <v>7155044.6575771198</v>
      </c>
      <c r="AB86" s="767">
        <v>7488712.4952577781</v>
      </c>
      <c r="AC86" s="767">
        <v>5543936.7555470476</v>
      </c>
      <c r="AD86" s="767">
        <v>4211824.6494986452</v>
      </c>
      <c r="AE86" s="767">
        <v>3029209.0907117538</v>
      </c>
      <c r="AF86" s="767">
        <v>3030038.5659789545</v>
      </c>
    </row>
    <row r="87" spans="1:32">
      <c r="A87" s="460" t="s">
        <v>261</v>
      </c>
      <c r="B87" s="692"/>
      <c r="C87" s="472">
        <f t="shared" si="10"/>
        <v>4796289.480537354</v>
      </c>
      <c r="D87" s="379">
        <f t="shared" si="11"/>
        <v>4744644.7361099487</v>
      </c>
      <c r="F87" s="563" t="s">
        <v>703</v>
      </c>
      <c r="I87" s="767">
        <v>240061.06588300748</v>
      </c>
      <c r="J87" s="767">
        <v>190653.36731107946</v>
      </c>
      <c r="K87" s="767">
        <v>186970.01115493895</v>
      </c>
      <c r="L87" s="767">
        <v>172354.83953158458</v>
      </c>
      <c r="M87" s="767">
        <v>299102.62141613872</v>
      </c>
      <c r="N87" s="767">
        <v>458016.75455748924</v>
      </c>
      <c r="O87" s="767">
        <v>850159.72744383686</v>
      </c>
      <c r="P87" s="767">
        <v>954175.79492049897</v>
      </c>
      <c r="Q87" s="767">
        <v>637070.09022434545</v>
      </c>
      <c r="R87" s="767">
        <v>353047.3096220732</v>
      </c>
      <c r="S87" s="767">
        <v>220437.51146302617</v>
      </c>
      <c r="T87" s="767">
        <v>234240.38700933373</v>
      </c>
      <c r="U87" s="767">
        <v>233157.58784261142</v>
      </c>
      <c r="V87" s="767">
        <v>184800.54762726856</v>
      </c>
      <c r="W87" s="767">
        <v>183448.63136166165</v>
      </c>
      <c r="X87" s="767">
        <v>168892.55223120208</v>
      </c>
      <c r="Y87" s="767">
        <v>285981.90279181697</v>
      </c>
      <c r="Z87" s="767">
        <v>439232.69357227476</v>
      </c>
      <c r="AA87" s="767">
        <v>830519.90740037709</v>
      </c>
      <c r="AB87" s="767">
        <v>938490.5434738152</v>
      </c>
      <c r="AC87" s="767">
        <v>631561.21639597532</v>
      </c>
      <c r="AD87" s="767">
        <v>349406.62738456955</v>
      </c>
      <c r="AE87" s="767">
        <v>213166.4570050654</v>
      </c>
      <c r="AF87" s="767">
        <v>226135.49674717197</v>
      </c>
    </row>
    <row r="88" spans="1:32">
      <c r="A88" s="471" t="s">
        <v>262</v>
      </c>
      <c r="B88" s="692"/>
      <c r="C88" s="472">
        <f t="shared" si="10"/>
        <v>13528779</v>
      </c>
      <c r="D88" s="379">
        <f t="shared" si="11"/>
        <v>13556850.2609</v>
      </c>
      <c r="F88" s="563" t="s">
        <v>681</v>
      </c>
      <c r="I88" s="767">
        <v>1124885</v>
      </c>
      <c r="J88" s="767">
        <v>1125474</v>
      </c>
      <c r="K88" s="767">
        <v>1126004</v>
      </c>
      <c r="L88" s="767">
        <v>1126954</v>
      </c>
      <c r="M88" s="767">
        <v>1126393</v>
      </c>
      <c r="N88" s="767">
        <v>1127285</v>
      </c>
      <c r="O88" s="767">
        <v>1127678</v>
      </c>
      <c r="P88" s="767">
        <v>1128252</v>
      </c>
      <c r="Q88" s="767">
        <v>1128065</v>
      </c>
      <c r="R88" s="767">
        <v>1128991</v>
      </c>
      <c r="S88" s="767">
        <v>1129227</v>
      </c>
      <c r="T88" s="767">
        <v>1129571</v>
      </c>
      <c r="U88" s="767">
        <v>1129605</v>
      </c>
      <c r="V88" s="767">
        <v>1130482</v>
      </c>
      <c r="W88" s="767">
        <v>1130700</v>
      </c>
      <c r="X88" s="767">
        <v>1131032</v>
      </c>
      <c r="Y88" s="767">
        <v>1131238</v>
      </c>
      <c r="Z88" s="767">
        <v>1132009.2609000001</v>
      </c>
      <c r="AA88" s="767">
        <v>1132222.0055</v>
      </c>
      <c r="AB88" s="767">
        <v>1132588.7502000001</v>
      </c>
      <c r="AC88" s="767">
        <v>1132880.4948</v>
      </c>
      <c r="AD88" s="767">
        <v>1133506.2394000001</v>
      </c>
      <c r="AE88" s="767">
        <v>1133715.9839999999</v>
      </c>
      <c r="AF88" s="767">
        <v>1134122.7286</v>
      </c>
    </row>
    <row r="89" spans="1:32">
      <c r="A89" s="457"/>
      <c r="B89" s="692"/>
      <c r="F89" s="563"/>
    </row>
    <row r="90" spans="1:32">
      <c r="A90" s="463" t="s">
        <v>269</v>
      </c>
      <c r="B90" s="692"/>
      <c r="F90" s="563"/>
    </row>
    <row r="91" spans="1:32">
      <c r="A91" s="456" t="s">
        <v>31</v>
      </c>
      <c r="B91" s="1">
        <f>C91/C$94</f>
        <v>0.65133420005878084</v>
      </c>
      <c r="C91" s="378">
        <f>SUM(C69:C78)</f>
        <v>5798001680.6378975</v>
      </c>
      <c r="D91" s="378">
        <f>SUM(D69:D78)</f>
        <v>5819947790.2783852</v>
      </c>
      <c r="E91" s="1">
        <f>D91/D$94</f>
        <v>0.65112363208224699</v>
      </c>
      <c r="F91" s="563" t="s">
        <v>704</v>
      </c>
      <c r="I91" s="378">
        <f>SUM(I69:I78)</f>
        <v>563826584.6036104</v>
      </c>
      <c r="J91" s="378">
        <f t="shared" ref="J91:AF91" si="12">SUM(J69:J78)</f>
        <v>489695080.39938855</v>
      </c>
      <c r="K91" s="378">
        <f t="shared" si="12"/>
        <v>496329072.63557893</v>
      </c>
      <c r="L91" s="378">
        <f t="shared" si="12"/>
        <v>442026830.30193633</v>
      </c>
      <c r="M91" s="378">
        <f t="shared" si="12"/>
        <v>429973418.65787423</v>
      </c>
      <c r="N91" s="378">
        <f t="shared" si="12"/>
        <v>431226984.79367089</v>
      </c>
      <c r="O91" s="378">
        <f t="shared" si="12"/>
        <v>488409378.35810202</v>
      </c>
      <c r="P91" s="378">
        <f t="shared" si="12"/>
        <v>487096689.37796944</v>
      </c>
      <c r="Q91" s="378">
        <f t="shared" si="12"/>
        <v>428547080.41065031</v>
      </c>
      <c r="R91" s="378">
        <f t="shared" si="12"/>
        <v>462957007.5944463</v>
      </c>
      <c r="S91" s="378">
        <f t="shared" si="12"/>
        <v>503102240.41276228</v>
      </c>
      <c r="T91" s="378">
        <f t="shared" si="12"/>
        <v>574811313.09190857</v>
      </c>
      <c r="U91" s="378">
        <f t="shared" si="12"/>
        <v>568084194.79233027</v>
      </c>
      <c r="V91" s="378">
        <f t="shared" si="12"/>
        <v>492735373.70321554</v>
      </c>
      <c r="W91" s="378">
        <f t="shared" si="12"/>
        <v>498603469.33586866</v>
      </c>
      <c r="X91" s="378">
        <f t="shared" si="12"/>
        <v>445865472.53901947</v>
      </c>
      <c r="Y91" s="378">
        <f t="shared" si="12"/>
        <v>433579834.92601597</v>
      </c>
      <c r="Z91" s="378">
        <f t="shared" si="12"/>
        <v>436155735.73609757</v>
      </c>
      <c r="AA91" s="378">
        <f t="shared" si="12"/>
        <v>492659131.464203</v>
      </c>
      <c r="AB91" s="378">
        <f t="shared" si="12"/>
        <v>491115251.7463975</v>
      </c>
      <c r="AC91" s="378">
        <f t="shared" si="12"/>
        <v>432135963.17853755</v>
      </c>
      <c r="AD91" s="378">
        <f t="shared" si="12"/>
        <v>466704191.30402327</v>
      </c>
      <c r="AE91" s="378">
        <f t="shared" si="12"/>
        <v>508164988.18347436</v>
      </c>
      <c r="AF91" s="378">
        <f t="shared" si="12"/>
        <v>577854038.46809471</v>
      </c>
    </row>
    <row r="92" spans="1:32">
      <c r="A92" s="455" t="s">
        <v>257</v>
      </c>
      <c r="B92" s="1">
        <f>C92/C$94</f>
        <v>0.34866579994121899</v>
      </c>
      <c r="C92" s="378">
        <f>SUM(C79:C88)</f>
        <v>3103729074.6558447</v>
      </c>
      <c r="D92" s="378">
        <f>SUM(D79:D88)</f>
        <v>3118366691.8217435</v>
      </c>
      <c r="E92" s="1">
        <f t="shared" ref="E92:E94" si="13">D92/D$94</f>
        <v>0.34887636791775284</v>
      </c>
      <c r="F92" s="563" t="s">
        <v>705</v>
      </c>
      <c r="I92" s="378">
        <f>SUM(I79:I88)</f>
        <v>301133973.60230386</v>
      </c>
      <c r="J92" s="378">
        <f t="shared" ref="J92:AF92" si="14">SUM(J79:J88)</f>
        <v>259363133.89901039</v>
      </c>
      <c r="K92" s="378">
        <f t="shared" si="14"/>
        <v>269957338.2327137</v>
      </c>
      <c r="L92" s="378">
        <f t="shared" si="14"/>
        <v>239523743.97529149</v>
      </c>
      <c r="M92" s="378">
        <f t="shared" si="14"/>
        <v>232376577.04964063</v>
      </c>
      <c r="N92" s="378">
        <f t="shared" si="14"/>
        <v>228582725.55287832</v>
      </c>
      <c r="O92" s="378">
        <f t="shared" si="14"/>
        <v>261171915.60734457</v>
      </c>
      <c r="P92" s="378">
        <f t="shared" si="14"/>
        <v>256077718.98729289</v>
      </c>
      <c r="Q92" s="378">
        <f t="shared" si="14"/>
        <v>224599140.21684831</v>
      </c>
      <c r="R92" s="378">
        <f t="shared" si="14"/>
        <v>245665650.87145206</v>
      </c>
      <c r="S92" s="378">
        <f t="shared" si="14"/>
        <v>273060333.46105486</v>
      </c>
      <c r="T92" s="378">
        <f t="shared" si="14"/>
        <v>312216823.20001364</v>
      </c>
      <c r="U92" s="378">
        <f t="shared" si="14"/>
        <v>303910340.7777316</v>
      </c>
      <c r="V92" s="378">
        <f t="shared" si="14"/>
        <v>261767340.60560644</v>
      </c>
      <c r="W92" s="378">
        <f t="shared" si="14"/>
        <v>271951311.00677907</v>
      </c>
      <c r="X92" s="378">
        <f t="shared" si="14"/>
        <v>242349589.50933704</v>
      </c>
      <c r="Y92" s="378">
        <f t="shared" si="14"/>
        <v>234890744.02490866</v>
      </c>
      <c r="Z92" s="378">
        <f t="shared" si="14"/>
        <v>230705783.5533748</v>
      </c>
      <c r="AA92" s="378">
        <f t="shared" si="14"/>
        <v>263665154.35790923</v>
      </c>
      <c r="AB92" s="378">
        <f t="shared" si="14"/>
        <v>257980548.25734985</v>
      </c>
      <c r="AC92" s="378">
        <f t="shared" si="14"/>
        <v>226948085.48296687</v>
      </c>
      <c r="AD92" s="378">
        <f t="shared" si="14"/>
        <v>247391836.53076249</v>
      </c>
      <c r="AE92" s="378">
        <f t="shared" si="14"/>
        <v>275854036.4467904</v>
      </c>
      <c r="AF92" s="378">
        <f t="shared" si="14"/>
        <v>314756269.60952419</v>
      </c>
    </row>
    <row r="93" spans="1:32">
      <c r="A93" s="469"/>
      <c r="B93" s="531"/>
      <c r="C93" s="378"/>
      <c r="D93" s="378"/>
      <c r="E93" s="1"/>
      <c r="F93" s="563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</row>
    <row r="94" spans="1:32">
      <c r="A94" s="775" t="s">
        <v>355</v>
      </c>
      <c r="B94" s="1">
        <f>C94/C$94</f>
        <v>1</v>
      </c>
      <c r="C94" s="379">
        <f>SUM(C69:C88)</f>
        <v>8901730755.2937431</v>
      </c>
      <c r="D94" s="379">
        <f>SUM(D69:D88)</f>
        <v>8938314482.1001301</v>
      </c>
      <c r="E94" s="1">
        <f t="shared" si="13"/>
        <v>1</v>
      </c>
      <c r="F94" s="563" t="s">
        <v>706</v>
      </c>
      <c r="I94" s="379">
        <f>SUM(I69:I88)</f>
        <v>864960558.20591426</v>
      </c>
      <c r="J94" s="379">
        <f t="shared" ref="J94:AF94" si="15">SUM(J69:J88)</f>
        <v>749058214.29839885</v>
      </c>
      <c r="K94" s="379">
        <f t="shared" si="15"/>
        <v>766286410.86829245</v>
      </c>
      <c r="L94" s="379">
        <f t="shared" si="15"/>
        <v>681550574.27722776</v>
      </c>
      <c r="M94" s="379">
        <f t="shared" si="15"/>
        <v>662349995.70751488</v>
      </c>
      <c r="N94" s="379">
        <f t="shared" si="15"/>
        <v>659809710.34654927</v>
      </c>
      <c r="O94" s="379">
        <f t="shared" si="15"/>
        <v>749581293.96544659</v>
      </c>
      <c r="P94" s="379">
        <f t="shared" si="15"/>
        <v>743174408.36526215</v>
      </c>
      <c r="Q94" s="379">
        <f t="shared" si="15"/>
        <v>653146220.62749851</v>
      </c>
      <c r="R94" s="379">
        <f t="shared" si="15"/>
        <v>708622658.46589828</v>
      </c>
      <c r="S94" s="379">
        <f t="shared" si="15"/>
        <v>776162573.87381721</v>
      </c>
      <c r="T94" s="379">
        <f t="shared" si="15"/>
        <v>887028136.29192221</v>
      </c>
      <c r="U94" s="379">
        <f t="shared" si="15"/>
        <v>871994535.57006192</v>
      </c>
      <c r="V94" s="379">
        <f t="shared" si="15"/>
        <v>754502714.30882204</v>
      </c>
      <c r="W94" s="379">
        <f t="shared" si="15"/>
        <v>770554780.34264767</v>
      </c>
      <c r="X94" s="379">
        <f t="shared" si="15"/>
        <v>688215062.04835665</v>
      </c>
      <c r="Y94" s="379">
        <f t="shared" si="15"/>
        <v>668470578.95092475</v>
      </c>
      <c r="Z94" s="379">
        <f t="shared" si="15"/>
        <v>666861519.28947246</v>
      </c>
      <c r="AA94" s="379">
        <f t="shared" si="15"/>
        <v>756324285.8221122</v>
      </c>
      <c r="AB94" s="379">
        <f t="shared" si="15"/>
        <v>749095800.00374722</v>
      </c>
      <c r="AC94" s="379">
        <f t="shared" si="15"/>
        <v>659084048.66150439</v>
      </c>
      <c r="AD94" s="379">
        <f t="shared" si="15"/>
        <v>714096027.83478594</v>
      </c>
      <c r="AE94" s="379">
        <f t="shared" si="15"/>
        <v>784019024.63026464</v>
      </c>
      <c r="AF94" s="379">
        <f t="shared" si="15"/>
        <v>892610308.07761884</v>
      </c>
    </row>
    <row r="95" spans="1:32">
      <c r="A95" s="469"/>
      <c r="B95" s="692"/>
      <c r="F95" s="563"/>
    </row>
    <row r="96" spans="1:32">
      <c r="A96" s="469"/>
      <c r="B96" s="692"/>
      <c r="F96" s="563"/>
    </row>
    <row r="97" spans="1:32">
      <c r="A97" s="469"/>
      <c r="B97" s="692"/>
      <c r="F97" s="563"/>
    </row>
    <row r="98" spans="1:32">
      <c r="A98" s="466" t="s">
        <v>495</v>
      </c>
      <c r="B98" s="692"/>
      <c r="F98" s="563"/>
    </row>
    <row r="99" spans="1:32">
      <c r="A99" s="469" t="s">
        <v>496</v>
      </c>
      <c r="B99" s="692"/>
      <c r="F99" s="563" t="s">
        <v>707</v>
      </c>
      <c r="I99" s="767">
        <v>922231110.14597964</v>
      </c>
      <c r="J99" s="767">
        <v>798654669.259408</v>
      </c>
      <c r="K99" s="767">
        <v>817023574.86756849</v>
      </c>
      <c r="L99" s="767">
        <v>726677230.27745783</v>
      </c>
      <c r="M99" s="767">
        <v>706205347.80628514</v>
      </c>
      <c r="N99" s="767">
        <v>703496865.70695078</v>
      </c>
      <c r="O99" s="767">
        <v>799212382.94641912</v>
      </c>
      <c r="P99" s="767">
        <v>792381286.24081707</v>
      </c>
      <c r="Q99" s="767">
        <v>696392174.67480385</v>
      </c>
      <c r="R99" s="767">
        <v>755541804.52702665</v>
      </c>
      <c r="S99" s="767">
        <v>827553655.90555179</v>
      </c>
      <c r="T99" s="767">
        <v>945759821.18767691</v>
      </c>
      <c r="U99" s="767">
        <v>929730819.45843053</v>
      </c>
      <c r="V99" s="767">
        <v>804459659.14150953</v>
      </c>
      <c r="W99" s="767">
        <v>821574560.55298829</v>
      </c>
      <c r="X99" s="767">
        <v>733782985.44445729</v>
      </c>
      <c r="Y99" s="767">
        <v>712731185.57514107</v>
      </c>
      <c r="Z99" s="767">
        <v>711015587.25820708</v>
      </c>
      <c r="AA99" s="767">
        <v>806401840.09181392</v>
      </c>
      <c r="AB99" s="767">
        <v>798694743.58006978</v>
      </c>
      <c r="AC99" s="767">
        <v>702723156.69208276</v>
      </c>
      <c r="AD99" s="767">
        <v>761377575.25832796</v>
      </c>
      <c r="AE99" s="767">
        <v>835930296.01265037</v>
      </c>
      <c r="AF99" s="767">
        <v>951711598.33417082</v>
      </c>
    </row>
    <row r="100" spans="1:32">
      <c r="A100" s="469" t="s">
        <v>497</v>
      </c>
      <c r="B100" s="692"/>
      <c r="F100" s="563" t="s">
        <v>708</v>
      </c>
      <c r="I100" s="767">
        <v>57270551.940065339</v>
      </c>
      <c r="J100" s="767">
        <v>49596454.961009234</v>
      </c>
      <c r="K100" s="767">
        <v>50737163.999275997</v>
      </c>
      <c r="L100" s="767">
        <v>45126656.000230134</v>
      </c>
      <c r="M100" s="767">
        <v>43855352.098770306</v>
      </c>
      <c r="N100" s="767">
        <v>43687155.360401645</v>
      </c>
      <c r="O100" s="767">
        <v>49631088.980972625</v>
      </c>
      <c r="P100" s="767">
        <v>49206877.875554748</v>
      </c>
      <c r="Q100" s="767">
        <v>43245954.047305331</v>
      </c>
      <c r="R100" s="767">
        <v>46919146.061128356</v>
      </c>
      <c r="S100" s="767">
        <v>51391082.031734765</v>
      </c>
      <c r="T100" s="767">
        <v>58731684.89575474</v>
      </c>
      <c r="U100" s="767">
        <v>57736283.88836854</v>
      </c>
      <c r="V100" s="767">
        <v>49956944.832687743</v>
      </c>
      <c r="W100" s="767">
        <v>51019780.210340574</v>
      </c>
      <c r="X100" s="767">
        <v>45567923.396100797</v>
      </c>
      <c r="Y100" s="767">
        <v>44260606.624216266</v>
      </c>
      <c r="Z100" s="767">
        <v>44154067.968734659</v>
      </c>
      <c r="AA100" s="767">
        <v>50077554.269701652</v>
      </c>
      <c r="AB100" s="767">
        <v>49598943.576322332</v>
      </c>
      <c r="AC100" s="767">
        <v>43639108.030578338</v>
      </c>
      <c r="AD100" s="767">
        <v>47281547.423542172</v>
      </c>
      <c r="AE100" s="767">
        <v>51911271.382385589</v>
      </c>
      <c r="AF100" s="767">
        <v>59101290.256552018</v>
      </c>
    </row>
    <row r="101" spans="1:32">
      <c r="A101" s="692"/>
      <c r="B101" s="692"/>
      <c r="F101" s="563"/>
      <c r="I101" s="767"/>
      <c r="J101" s="767"/>
      <c r="K101" s="767"/>
      <c r="L101" s="767"/>
      <c r="M101" s="767"/>
      <c r="N101" s="767"/>
      <c r="O101" s="767"/>
      <c r="P101" s="767"/>
      <c r="Q101" s="767"/>
      <c r="R101" s="767"/>
      <c r="S101" s="767"/>
      <c r="T101" s="767"/>
      <c r="U101" s="767"/>
      <c r="V101" s="767"/>
      <c r="W101" s="767"/>
      <c r="X101" s="767"/>
      <c r="Y101" s="767"/>
      <c r="Z101" s="767"/>
      <c r="AA101" s="767"/>
      <c r="AB101" s="767"/>
      <c r="AC101" s="767"/>
      <c r="AD101" s="767"/>
      <c r="AE101" s="767"/>
      <c r="AF101" s="767"/>
    </row>
    <row r="102" spans="1:32">
      <c r="A102" s="469" t="s">
        <v>498</v>
      </c>
      <c r="B102" s="692"/>
      <c r="F102" s="563" t="s">
        <v>709</v>
      </c>
      <c r="I102" s="767">
        <f>I94</f>
        <v>864960558.20591426</v>
      </c>
      <c r="J102" s="767">
        <f t="shared" ref="J102:AF102" si="16">J94</f>
        <v>749058214.29839885</v>
      </c>
      <c r="K102" s="767">
        <f t="shared" si="16"/>
        <v>766286410.86829245</v>
      </c>
      <c r="L102" s="767">
        <f t="shared" si="16"/>
        <v>681550574.27722776</v>
      </c>
      <c r="M102" s="767">
        <f t="shared" si="16"/>
        <v>662349995.70751488</v>
      </c>
      <c r="N102" s="767">
        <f t="shared" si="16"/>
        <v>659809710.34654927</v>
      </c>
      <c r="O102" s="767">
        <f t="shared" si="16"/>
        <v>749581293.96544659</v>
      </c>
      <c r="P102" s="767">
        <f t="shared" si="16"/>
        <v>743174408.36526215</v>
      </c>
      <c r="Q102" s="767">
        <f t="shared" si="16"/>
        <v>653146220.62749851</v>
      </c>
      <c r="R102" s="767">
        <f t="shared" si="16"/>
        <v>708622658.46589828</v>
      </c>
      <c r="S102" s="767">
        <f t="shared" si="16"/>
        <v>776162573.87381721</v>
      </c>
      <c r="T102" s="767">
        <f t="shared" si="16"/>
        <v>887028136.29192221</v>
      </c>
      <c r="U102" s="767">
        <f t="shared" si="16"/>
        <v>871994535.57006192</v>
      </c>
      <c r="V102" s="767">
        <f t="shared" si="16"/>
        <v>754502714.30882204</v>
      </c>
      <c r="W102" s="767">
        <f t="shared" si="16"/>
        <v>770554780.34264767</v>
      </c>
      <c r="X102" s="767">
        <f t="shared" si="16"/>
        <v>688215062.04835665</v>
      </c>
      <c r="Y102" s="767">
        <f t="shared" si="16"/>
        <v>668470578.95092475</v>
      </c>
      <c r="Z102" s="767">
        <f t="shared" si="16"/>
        <v>666861519.28947246</v>
      </c>
      <c r="AA102" s="767">
        <f t="shared" si="16"/>
        <v>756324285.8221122</v>
      </c>
      <c r="AB102" s="767">
        <f t="shared" si="16"/>
        <v>749095800.00374722</v>
      </c>
      <c r="AC102" s="767">
        <f t="shared" si="16"/>
        <v>659084048.66150439</v>
      </c>
      <c r="AD102" s="767">
        <f t="shared" si="16"/>
        <v>714096027.83478594</v>
      </c>
      <c r="AE102" s="767">
        <f t="shared" si="16"/>
        <v>784019024.63026464</v>
      </c>
      <c r="AF102" s="767">
        <f t="shared" si="16"/>
        <v>892610308.07761884</v>
      </c>
    </row>
    <row r="103" spans="1:32">
      <c r="A103" s="692"/>
      <c r="B103" s="692"/>
      <c r="F103" s="563"/>
      <c r="I103" s="767"/>
      <c r="J103" s="767"/>
      <c r="K103" s="767"/>
      <c r="L103" s="767"/>
      <c r="M103" s="767"/>
      <c r="N103" s="767"/>
      <c r="O103" s="767"/>
      <c r="P103" s="767"/>
      <c r="Q103" s="767"/>
      <c r="R103" s="767"/>
      <c r="S103" s="767"/>
      <c r="T103" s="767"/>
      <c r="U103" s="767"/>
      <c r="V103" s="767"/>
      <c r="W103" s="767"/>
      <c r="X103" s="767"/>
      <c r="Y103" s="767"/>
      <c r="Z103" s="767"/>
      <c r="AA103" s="767"/>
      <c r="AB103" s="767"/>
      <c r="AC103" s="767"/>
      <c r="AD103" s="767"/>
      <c r="AE103" s="767"/>
      <c r="AF103" s="767"/>
    </row>
    <row r="104" spans="1:32">
      <c r="A104" s="469" t="s">
        <v>499</v>
      </c>
      <c r="B104" s="692"/>
      <c r="F104" s="563" t="s">
        <v>710</v>
      </c>
      <c r="I104" s="767">
        <f>I99-I100-I102</f>
        <v>0</v>
      </c>
      <c r="J104" s="767">
        <f t="shared" ref="J104:AF104" si="17">J99-J100-J102</f>
        <v>0</v>
      </c>
      <c r="K104" s="767">
        <f t="shared" si="17"/>
        <v>0</v>
      </c>
      <c r="L104" s="767">
        <f t="shared" si="17"/>
        <v>0</v>
      </c>
      <c r="M104" s="767">
        <f t="shared" si="17"/>
        <v>0</v>
      </c>
      <c r="N104" s="767">
        <f t="shared" si="17"/>
        <v>0</v>
      </c>
      <c r="O104" s="767">
        <f t="shared" si="17"/>
        <v>0</v>
      </c>
      <c r="P104" s="767">
        <f t="shared" si="17"/>
        <v>0</v>
      </c>
      <c r="Q104" s="767">
        <f t="shared" si="17"/>
        <v>0</v>
      </c>
      <c r="R104" s="767">
        <f t="shared" si="17"/>
        <v>0</v>
      </c>
      <c r="S104" s="767">
        <f t="shared" si="17"/>
        <v>0</v>
      </c>
      <c r="T104" s="767">
        <f t="shared" si="17"/>
        <v>0</v>
      </c>
      <c r="U104" s="767">
        <f t="shared" si="17"/>
        <v>0</v>
      </c>
      <c r="V104" s="767">
        <f t="shared" si="17"/>
        <v>0</v>
      </c>
      <c r="W104" s="767">
        <f t="shared" si="17"/>
        <v>0</v>
      </c>
      <c r="X104" s="767">
        <f t="shared" si="17"/>
        <v>0</v>
      </c>
      <c r="Y104" s="767">
        <f t="shared" si="17"/>
        <v>0</v>
      </c>
      <c r="Z104" s="767">
        <f t="shared" si="17"/>
        <v>0</v>
      </c>
      <c r="AA104" s="767">
        <f t="shared" si="17"/>
        <v>0</v>
      </c>
      <c r="AB104" s="767">
        <f t="shared" si="17"/>
        <v>0</v>
      </c>
      <c r="AC104" s="767">
        <f t="shared" si="17"/>
        <v>0</v>
      </c>
      <c r="AD104" s="767">
        <f t="shared" si="17"/>
        <v>0</v>
      </c>
      <c r="AE104" s="767">
        <f t="shared" si="17"/>
        <v>0</v>
      </c>
      <c r="AF104" s="767">
        <f t="shared" si="17"/>
        <v>0</v>
      </c>
    </row>
    <row r="192" spans="2:2" ht="15">
      <c r="B192" s="776"/>
    </row>
    <row r="242" spans="5:5">
      <c r="E242" s="500"/>
    </row>
    <row r="243" spans="5:5">
      <c r="E243" s="500"/>
    </row>
  </sheetData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6"/>
  <sheetViews>
    <sheetView zoomScaleNormal="100" workbookViewId="0"/>
  </sheetViews>
  <sheetFormatPr defaultColWidth="9.140625" defaultRowHeight="12.75"/>
  <cols>
    <col min="1" max="1" width="26" style="336" customWidth="1"/>
    <col min="2" max="2" width="9.140625" style="336"/>
    <col min="3" max="3" width="9.42578125" style="336" customWidth="1"/>
    <col min="4" max="4" width="9.85546875" style="336" customWidth="1"/>
    <col min="5" max="5" width="8" style="336" customWidth="1"/>
    <col min="6" max="6" width="12.140625" style="336" customWidth="1"/>
    <col min="7" max="7" width="3.7109375" style="336" customWidth="1"/>
    <col min="8" max="8" width="4.7109375" style="73" customWidth="1"/>
    <col min="9" max="11" width="9.140625" style="73"/>
    <col min="12" max="12" width="14.7109375" style="73" customWidth="1"/>
    <col min="13" max="17" width="9.140625" style="73"/>
    <col min="18" max="16384" width="9.140625" style="336"/>
  </cols>
  <sheetData>
    <row r="1" spans="1:17">
      <c r="A1" s="53" t="s">
        <v>6</v>
      </c>
      <c r="B1" s="53"/>
      <c r="C1" s="53"/>
      <c r="D1" s="53"/>
      <c r="E1" s="53"/>
      <c r="F1" s="53"/>
      <c r="G1" s="53"/>
      <c r="H1" s="551"/>
    </row>
    <row r="2" spans="1:17">
      <c r="A2" s="53" t="s">
        <v>125</v>
      </c>
      <c r="B2" s="53"/>
      <c r="C2" s="53"/>
      <c r="D2" s="53"/>
      <c r="E2" s="53"/>
      <c r="F2" s="53"/>
      <c r="G2" s="53"/>
      <c r="H2" s="551"/>
    </row>
    <row r="3" spans="1:17">
      <c r="A3" s="54" t="s">
        <v>711</v>
      </c>
      <c r="B3" s="53"/>
      <c r="C3" s="53"/>
      <c r="D3" s="53"/>
      <c r="E3" s="53"/>
      <c r="F3" s="53"/>
      <c r="G3" s="53"/>
      <c r="H3" s="551"/>
    </row>
    <row r="4" spans="1:17">
      <c r="G4" s="70"/>
      <c r="L4" s="552"/>
      <c r="M4" s="552"/>
      <c r="N4" s="552"/>
      <c r="O4" s="552"/>
    </row>
    <row r="5" spans="1:17">
      <c r="D5" s="111"/>
      <c r="G5" s="70"/>
      <c r="H5" s="111"/>
      <c r="L5" s="552"/>
      <c r="M5" s="552"/>
      <c r="N5" s="552"/>
      <c r="O5" s="552"/>
    </row>
    <row r="6" spans="1:17">
      <c r="D6" s="337" t="s">
        <v>88</v>
      </c>
      <c r="E6" s="337"/>
      <c r="F6" s="337" t="s">
        <v>8</v>
      </c>
      <c r="G6" s="70"/>
      <c r="L6" s="549"/>
      <c r="M6" s="549"/>
      <c r="N6" s="549"/>
      <c r="O6" s="552"/>
    </row>
    <row r="7" spans="1:17">
      <c r="D7" s="337" t="s">
        <v>87</v>
      </c>
      <c r="E7" s="337"/>
      <c r="F7" s="337" t="s">
        <v>5</v>
      </c>
      <c r="G7" s="70"/>
      <c r="L7" s="549"/>
      <c r="M7" s="549"/>
      <c r="N7" s="549"/>
      <c r="O7" s="552"/>
    </row>
    <row r="8" spans="1:17">
      <c r="D8" s="56" t="s">
        <v>97</v>
      </c>
      <c r="E8" s="56"/>
      <c r="F8" s="56" t="s">
        <v>126</v>
      </c>
      <c r="G8" s="71"/>
      <c r="L8" s="418"/>
      <c r="M8" s="418"/>
      <c r="N8" s="418"/>
      <c r="O8" s="552"/>
    </row>
    <row r="9" spans="1:17">
      <c r="A9" s="336" t="s">
        <v>9</v>
      </c>
      <c r="E9" s="1"/>
      <c r="F9" s="574">
        <v>0.64710000000000001</v>
      </c>
      <c r="G9" s="72"/>
      <c r="L9" s="552"/>
      <c r="M9" s="553"/>
      <c r="N9" s="553"/>
      <c r="O9" s="552"/>
    </row>
    <row r="10" spans="1:17">
      <c r="G10" s="70"/>
      <c r="L10" s="552"/>
      <c r="M10" s="552"/>
      <c r="N10" s="552"/>
      <c r="O10" s="552"/>
    </row>
    <row r="11" spans="1:17">
      <c r="A11" s="336" t="s">
        <v>10</v>
      </c>
      <c r="D11" s="57">
        <v>101909</v>
      </c>
      <c r="E11" s="57"/>
      <c r="F11" s="57">
        <f>ROUND(F$9*D11,0)-1</f>
        <v>65944</v>
      </c>
      <c r="G11" s="63"/>
      <c r="H11" s="554"/>
      <c r="L11" s="555"/>
      <c r="M11" s="555"/>
      <c r="N11" s="555"/>
      <c r="O11" s="552"/>
    </row>
    <row r="12" spans="1:17">
      <c r="A12" s="336" t="s">
        <v>11</v>
      </c>
      <c r="D12" s="58">
        <v>418</v>
      </c>
      <c r="E12" s="58"/>
      <c r="F12" s="58">
        <f>ROUND(F$9*D12,0)</f>
        <v>270</v>
      </c>
      <c r="G12" s="60"/>
      <c r="H12" s="554"/>
      <c r="L12" s="556"/>
      <c r="M12" s="556"/>
      <c r="N12" s="556"/>
      <c r="O12" s="552"/>
    </row>
    <row r="13" spans="1:17">
      <c r="A13" s="336" t="s">
        <v>12</v>
      </c>
      <c r="D13" s="58">
        <v>0</v>
      </c>
      <c r="E13" s="58"/>
      <c r="F13" s="58">
        <f t="shared" ref="F13:F17" si="0">ROUND(F$9*D13,0)</f>
        <v>0</v>
      </c>
      <c r="G13" s="60"/>
      <c r="H13" s="554"/>
      <c r="L13" s="556"/>
      <c r="M13" s="556"/>
      <c r="N13" s="556"/>
      <c r="O13" s="552"/>
    </row>
    <row r="14" spans="1:17">
      <c r="A14" s="336" t="s">
        <v>391</v>
      </c>
      <c r="C14" s="451" t="s">
        <v>97</v>
      </c>
      <c r="D14" s="505">
        <f>17070-D15-D16</f>
        <v>17070</v>
      </c>
      <c r="E14" s="58"/>
      <c r="F14" s="58">
        <f t="shared" si="0"/>
        <v>11046</v>
      </c>
      <c r="G14" s="60"/>
      <c r="H14" s="554"/>
      <c r="I14" s="557"/>
      <c r="J14" s="557"/>
      <c r="K14" s="558"/>
      <c r="L14" s="558"/>
      <c r="N14" s="556"/>
      <c r="O14" s="552"/>
    </row>
    <row r="15" spans="1:17" s="451" customFormat="1">
      <c r="A15" s="451" t="s">
        <v>391</v>
      </c>
      <c r="C15" s="451" t="s">
        <v>491</v>
      </c>
      <c r="D15" s="505">
        <v>0</v>
      </c>
      <c r="E15" s="58"/>
      <c r="F15" s="58">
        <f>D15</f>
        <v>0</v>
      </c>
      <c r="G15" s="60"/>
      <c r="H15" s="559"/>
      <c r="I15" s="36"/>
      <c r="J15" s="36"/>
      <c r="K15" s="36"/>
      <c r="L15" s="556"/>
      <c r="M15" s="556"/>
      <c r="N15" s="556"/>
      <c r="O15" s="552"/>
      <c r="P15" s="73"/>
      <c r="Q15" s="73"/>
    </row>
    <row r="16" spans="1:17" s="451" customFormat="1">
      <c r="A16" s="451" t="s">
        <v>391</v>
      </c>
      <c r="C16" s="451" t="s">
        <v>492</v>
      </c>
      <c r="D16" s="505">
        <v>0</v>
      </c>
      <c r="E16" s="58"/>
      <c r="F16" s="58">
        <v>0</v>
      </c>
      <c r="G16" s="60"/>
      <c r="H16" s="559"/>
      <c r="I16" s="36"/>
      <c r="J16" s="36"/>
      <c r="K16" s="36"/>
      <c r="L16" s="556"/>
      <c r="M16" s="556"/>
      <c r="N16" s="556"/>
      <c r="O16" s="552"/>
      <c r="P16" s="73"/>
      <c r="Q16" s="73"/>
    </row>
    <row r="17" spans="1:17">
      <c r="A17" s="336" t="s">
        <v>13</v>
      </c>
      <c r="D17" s="541">
        <f>0-D18</f>
        <v>0</v>
      </c>
      <c r="E17" s="58"/>
      <c r="F17" s="58">
        <f t="shared" si="0"/>
        <v>0</v>
      </c>
      <c r="G17" s="60"/>
      <c r="H17" s="554"/>
      <c r="L17" s="556"/>
      <c r="M17" s="556"/>
      <c r="N17" s="556"/>
      <c r="O17" s="552"/>
    </row>
    <row r="18" spans="1:17">
      <c r="A18" s="336" t="s">
        <v>127</v>
      </c>
      <c r="D18" s="251">
        <v>0</v>
      </c>
      <c r="E18" s="60"/>
      <c r="F18" s="58">
        <f>D18</f>
        <v>0</v>
      </c>
      <c r="G18" s="60"/>
      <c r="H18" s="554"/>
      <c r="L18" s="556"/>
      <c r="M18" s="556"/>
      <c r="N18" s="556"/>
      <c r="O18" s="552"/>
    </row>
    <row r="19" spans="1:17">
      <c r="A19" s="336" t="s">
        <v>14</v>
      </c>
      <c r="D19" s="58">
        <f>SUM(D11:D18)</f>
        <v>119397</v>
      </c>
      <c r="E19" s="60"/>
      <c r="F19" s="343">
        <f>SUM(F11:F18)</f>
        <v>77260</v>
      </c>
      <c r="G19" s="60"/>
      <c r="H19" s="554"/>
      <c r="L19" s="556"/>
      <c r="M19" s="556"/>
      <c r="N19" s="556"/>
      <c r="O19" s="552"/>
    </row>
    <row r="20" spans="1:17">
      <c r="D20" s="58"/>
      <c r="E20" s="60"/>
      <c r="F20" s="58"/>
      <c r="G20" s="60"/>
      <c r="H20" s="554"/>
      <c r="L20" s="556"/>
      <c r="M20" s="556"/>
      <c r="N20" s="556"/>
      <c r="O20" s="552"/>
    </row>
    <row r="21" spans="1:17">
      <c r="D21" s="58"/>
      <c r="E21" s="60"/>
      <c r="F21" s="58"/>
      <c r="G21" s="60"/>
      <c r="H21" s="554"/>
      <c r="L21" s="556"/>
      <c r="M21" s="556"/>
      <c r="N21" s="556"/>
      <c r="O21" s="552"/>
    </row>
    <row r="22" spans="1:17">
      <c r="A22" s="336" t="s">
        <v>15</v>
      </c>
      <c r="D22" s="58">
        <v>27466</v>
      </c>
      <c r="E22" s="60"/>
      <c r="F22" s="58">
        <f t="shared" ref="F22:F34" si="1">ROUND(F$9*D22,0)</f>
        <v>17773</v>
      </c>
      <c r="G22" s="60"/>
      <c r="H22" s="554"/>
      <c r="L22" s="556"/>
      <c r="M22" s="556"/>
      <c r="N22" s="556"/>
      <c r="O22" s="552"/>
    </row>
    <row r="23" spans="1:17">
      <c r="A23" s="336" t="s">
        <v>16</v>
      </c>
      <c r="D23" s="58">
        <v>0</v>
      </c>
      <c r="E23" s="60"/>
      <c r="F23" s="58">
        <f t="shared" si="1"/>
        <v>0</v>
      </c>
      <c r="G23" s="60"/>
      <c r="H23" s="554"/>
      <c r="L23" s="556"/>
      <c r="M23" s="556"/>
      <c r="N23" s="556"/>
      <c r="O23" s="552"/>
    </row>
    <row r="24" spans="1:17">
      <c r="A24" s="336" t="s">
        <v>17</v>
      </c>
      <c r="D24" s="58">
        <v>78990</v>
      </c>
      <c r="E24" s="60"/>
      <c r="F24" s="58">
        <f t="shared" si="1"/>
        <v>51114</v>
      </c>
      <c r="G24" s="60"/>
      <c r="H24" s="554"/>
      <c r="L24" s="556"/>
      <c r="M24" s="556"/>
      <c r="N24" s="556"/>
      <c r="O24" s="552"/>
    </row>
    <row r="25" spans="1:17">
      <c r="A25" s="336" t="s">
        <v>18</v>
      </c>
      <c r="D25" s="58">
        <v>997</v>
      </c>
      <c r="E25" s="60"/>
      <c r="F25" s="58">
        <f t="shared" si="1"/>
        <v>645</v>
      </c>
      <c r="G25" s="60"/>
      <c r="H25" s="554"/>
      <c r="L25" s="556"/>
      <c r="M25" s="556"/>
      <c r="N25" s="556"/>
      <c r="O25" s="552"/>
    </row>
    <row r="26" spans="1:17">
      <c r="A26" s="336" t="s">
        <v>19</v>
      </c>
      <c r="D26" s="58">
        <v>149120</v>
      </c>
      <c r="E26" s="60"/>
      <c r="F26" s="58">
        <f>ROUND(F$9*D26,0)</f>
        <v>96496</v>
      </c>
      <c r="G26" s="60"/>
      <c r="H26" s="554"/>
      <c r="L26" s="556"/>
      <c r="M26" s="556"/>
      <c r="N26" s="556"/>
      <c r="O26" s="552"/>
    </row>
    <row r="27" spans="1:17">
      <c r="A27" s="336" t="s">
        <v>20</v>
      </c>
      <c r="D27" s="58">
        <v>0</v>
      </c>
      <c r="E27" s="60"/>
      <c r="F27" s="58">
        <f t="shared" si="1"/>
        <v>0</v>
      </c>
      <c r="G27" s="60"/>
      <c r="H27" s="554"/>
      <c r="I27" s="36"/>
      <c r="J27" s="36"/>
      <c r="K27" s="36"/>
      <c r="L27" s="556"/>
      <c r="M27" s="556"/>
      <c r="N27" s="556"/>
      <c r="O27" s="552"/>
    </row>
    <row r="28" spans="1:17">
      <c r="A28" s="336" t="s">
        <v>21</v>
      </c>
      <c r="D28" s="58">
        <v>0</v>
      </c>
      <c r="E28" s="60"/>
      <c r="F28" s="58">
        <f t="shared" si="1"/>
        <v>0</v>
      </c>
      <c r="G28" s="60"/>
      <c r="H28" s="554"/>
      <c r="I28" s="36"/>
      <c r="J28" s="36"/>
      <c r="K28" s="36"/>
      <c r="L28" s="556"/>
      <c r="M28" s="556"/>
      <c r="N28" s="556"/>
      <c r="O28" s="552"/>
    </row>
    <row r="29" spans="1:17">
      <c r="A29" s="336" t="s">
        <v>22</v>
      </c>
      <c r="D29" s="58">
        <v>0</v>
      </c>
      <c r="E29" s="60"/>
      <c r="F29" s="58">
        <f t="shared" si="1"/>
        <v>0</v>
      </c>
      <c r="G29" s="60"/>
      <c r="H29" s="554"/>
      <c r="I29" s="36"/>
      <c r="J29" s="36"/>
      <c r="K29" s="36"/>
      <c r="L29" s="556"/>
      <c r="M29" s="556"/>
      <c r="N29" s="556"/>
      <c r="O29" s="552"/>
    </row>
    <row r="30" spans="1:17">
      <c r="A30" s="336" t="s">
        <v>23</v>
      </c>
      <c r="D30" s="250">
        <f>-4902-D31-D32-D33</f>
        <v>408</v>
      </c>
      <c r="E30" s="60"/>
      <c r="F30" s="58">
        <f>ROUND(F$9*D30,0)</f>
        <v>264</v>
      </c>
      <c r="G30" s="60"/>
      <c r="H30" s="560"/>
      <c r="I30" s="561"/>
      <c r="J30" s="561"/>
      <c r="K30" s="561"/>
      <c r="L30" s="561"/>
      <c r="M30" s="556"/>
      <c r="N30" s="556"/>
      <c r="O30" s="552"/>
    </row>
    <row r="31" spans="1:17">
      <c r="A31" s="336" t="s">
        <v>128</v>
      </c>
      <c r="D31" s="250">
        <v>0</v>
      </c>
      <c r="E31" s="60"/>
      <c r="F31" s="58">
        <f>D31</f>
        <v>0</v>
      </c>
      <c r="G31" s="60"/>
      <c r="H31" s="560"/>
      <c r="I31" s="561"/>
      <c r="J31" s="561"/>
      <c r="K31" s="561"/>
      <c r="L31" s="561"/>
      <c r="M31" s="556"/>
      <c r="N31" s="556"/>
      <c r="O31" s="552"/>
    </row>
    <row r="32" spans="1:17" s="693" customFormat="1">
      <c r="A32" s="693" t="s">
        <v>644</v>
      </c>
      <c r="D32" s="250">
        <f>-5310-D33</f>
        <v>-3463</v>
      </c>
      <c r="E32" s="60"/>
      <c r="F32" s="58">
        <f t="shared" ref="F32" si="2">D32</f>
        <v>-3463</v>
      </c>
      <c r="G32" s="60"/>
      <c r="H32" s="560"/>
      <c r="I32" s="561"/>
      <c r="J32" s="561"/>
      <c r="K32" s="561"/>
      <c r="L32" s="561"/>
      <c r="M32" s="556"/>
      <c r="N32" s="556"/>
      <c r="O32" s="552"/>
      <c r="P32" s="73"/>
      <c r="Q32" s="73"/>
    </row>
    <row r="33" spans="1:17" s="693" customFormat="1">
      <c r="A33" s="693" t="s">
        <v>645</v>
      </c>
      <c r="D33" s="250">
        <v>-1847</v>
      </c>
      <c r="E33" s="60"/>
      <c r="F33" s="58">
        <v>0</v>
      </c>
      <c r="G33" s="60"/>
      <c r="H33" s="560"/>
      <c r="I33" s="561"/>
      <c r="J33" s="561"/>
      <c r="K33" s="561"/>
      <c r="L33" s="561"/>
      <c r="M33" s="556"/>
      <c r="N33" s="556"/>
      <c r="O33" s="552"/>
      <c r="P33" s="73"/>
      <c r="Q33" s="73"/>
    </row>
    <row r="34" spans="1:17">
      <c r="A34" s="336" t="s">
        <v>24</v>
      </c>
      <c r="D34" s="58">
        <v>17354</v>
      </c>
      <c r="E34" s="60"/>
      <c r="F34" s="58">
        <f t="shared" si="1"/>
        <v>11230</v>
      </c>
      <c r="G34" s="60"/>
      <c r="H34" s="554"/>
      <c r="I34" s="36"/>
      <c r="J34" s="36"/>
      <c r="K34" s="36"/>
      <c r="L34" s="556"/>
      <c r="M34" s="556"/>
      <c r="N34" s="556"/>
      <c r="O34" s="552"/>
    </row>
    <row r="35" spans="1:17" s="16" customFormat="1" ht="3" customHeight="1">
      <c r="D35" s="250"/>
      <c r="E35" s="339"/>
      <c r="F35" s="250"/>
      <c r="G35" s="339"/>
      <c r="H35" s="676"/>
      <c r="I35" s="562"/>
      <c r="J35" s="562"/>
      <c r="K35" s="562"/>
      <c r="L35" s="562"/>
      <c r="M35" s="36"/>
      <c r="N35" s="36"/>
      <c r="O35" s="36"/>
      <c r="P35" s="36"/>
      <c r="Q35" s="36"/>
    </row>
    <row r="36" spans="1:17">
      <c r="A36" s="336" t="s">
        <v>25</v>
      </c>
      <c r="D36" s="61">
        <f>SUM(D22:D35)</f>
        <v>269025</v>
      </c>
      <c r="E36" s="60"/>
      <c r="F36" s="61">
        <f>SUM(F22:F35)</f>
        <v>174059</v>
      </c>
      <c r="G36" s="60"/>
      <c r="H36" s="554"/>
      <c r="I36" s="36"/>
      <c r="J36" s="36"/>
      <c r="K36" s="36"/>
      <c r="L36" s="556"/>
      <c r="M36" s="556"/>
      <c r="N36" s="556"/>
      <c r="O36" s="552"/>
    </row>
    <row r="37" spans="1:17">
      <c r="G37" s="70"/>
      <c r="H37" s="554"/>
      <c r="I37" s="36"/>
      <c r="J37" s="36"/>
      <c r="K37" s="36"/>
      <c r="L37" s="552"/>
      <c r="M37" s="552"/>
      <c r="N37" s="552"/>
      <c r="O37" s="552"/>
    </row>
    <row r="38" spans="1:17">
      <c r="A38" s="336" t="s">
        <v>26</v>
      </c>
      <c r="D38" s="58">
        <f>D19-D36</f>
        <v>-149628</v>
      </c>
      <c r="E38" s="58"/>
      <c r="F38" s="58">
        <f>F19-F36</f>
        <v>-96799</v>
      </c>
      <c r="G38" s="60"/>
      <c r="H38" s="554"/>
      <c r="L38" s="556"/>
      <c r="M38" s="556"/>
      <c r="N38" s="556"/>
      <c r="O38" s="552"/>
    </row>
    <row r="39" spans="1:17">
      <c r="E39" s="58"/>
      <c r="F39" s="58"/>
      <c r="G39" s="58"/>
      <c r="L39" s="552"/>
      <c r="M39" s="556"/>
      <c r="N39" s="556"/>
      <c r="O39" s="552"/>
    </row>
    <row r="40" spans="1:17">
      <c r="A40" s="336" t="s">
        <v>27</v>
      </c>
      <c r="C40" s="62">
        <v>0.35</v>
      </c>
      <c r="E40" s="63"/>
      <c r="F40" s="59">
        <f>C40*F38</f>
        <v>-33879.65</v>
      </c>
      <c r="G40" s="57"/>
      <c r="L40" s="552"/>
      <c r="M40" s="555"/>
      <c r="N40" s="556"/>
      <c r="O40" s="552"/>
    </row>
    <row r="41" spans="1:17">
      <c r="E41" s="63"/>
      <c r="F41" s="57"/>
      <c r="G41" s="57"/>
      <c r="L41" s="552"/>
      <c r="M41" s="555"/>
      <c r="N41" s="555"/>
      <c r="O41" s="552"/>
    </row>
    <row r="42" spans="1:17">
      <c r="A42" s="336" t="s">
        <v>28</v>
      </c>
      <c r="E42" s="58"/>
      <c r="F42" s="57">
        <f>F38-F40</f>
        <v>-62919.35</v>
      </c>
      <c r="G42" s="58"/>
      <c r="L42" s="552"/>
      <c r="M42" s="556"/>
      <c r="N42" s="555"/>
      <c r="O42" s="552"/>
    </row>
    <row r="43" spans="1:17">
      <c r="E43" s="58"/>
      <c r="F43" s="58"/>
      <c r="G43" s="58"/>
      <c r="L43" s="552"/>
      <c r="M43" s="552"/>
      <c r="N43" s="552"/>
      <c r="O43" s="552"/>
    </row>
    <row r="44" spans="1:17">
      <c r="A44" s="73"/>
      <c r="L44" s="552"/>
      <c r="M44" s="552"/>
      <c r="N44" s="552"/>
      <c r="O44" s="552"/>
    </row>
    <row r="45" spans="1:17">
      <c r="A45" s="73"/>
      <c r="L45" s="552"/>
      <c r="M45" s="552"/>
      <c r="N45" s="552"/>
      <c r="O45" s="552"/>
    </row>
    <row r="46" spans="1:17">
      <c r="A46" s="73"/>
      <c r="L46" s="552"/>
      <c r="M46" s="552"/>
      <c r="N46" s="552"/>
      <c r="O46" s="552"/>
    </row>
  </sheetData>
  <pageMargins left="1.05" right="0.34" top="0.75" bottom="0.77" header="0.5" footer="0.77"/>
  <pageSetup orientation="portrait" r:id="rId1"/>
  <headerFooter alignWithMargins="0">
    <oddFooter>&amp;C&amp;F /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5546875" defaultRowHeight="12.75"/>
  <cols>
    <col min="1" max="1" width="11.28515625" style="502" bestFit="1" customWidth="1"/>
    <col min="2" max="2" width="41" style="502" bestFit="1" customWidth="1"/>
    <col min="3" max="3" width="19.7109375" style="502" bestFit="1" customWidth="1"/>
    <col min="4" max="4" width="11.140625" style="502" bestFit="1" customWidth="1"/>
    <col min="5" max="5" width="20.7109375" style="502" customWidth="1"/>
    <col min="6" max="6" width="10.28515625" style="502" customWidth="1"/>
    <col min="7" max="7" width="12.7109375" style="502" bestFit="1" customWidth="1"/>
    <col min="8" max="8" width="18.28515625" style="502" customWidth="1"/>
    <col min="9" max="9" width="14.5703125" style="502" customWidth="1"/>
    <col min="10" max="10" width="12.7109375" style="502" customWidth="1"/>
    <col min="11" max="16384" width="8.85546875" style="502"/>
  </cols>
  <sheetData>
    <row r="1" spans="1:10">
      <c r="A1" s="182" t="s">
        <v>540</v>
      </c>
      <c r="B1" s="182"/>
      <c r="C1" s="182"/>
      <c r="D1" s="182"/>
      <c r="E1" s="182"/>
      <c r="F1" s="182"/>
      <c r="G1" s="182"/>
      <c r="H1" s="182"/>
    </row>
    <row r="2" spans="1:10">
      <c r="A2" s="182"/>
      <c r="B2" s="182"/>
      <c r="C2" s="182"/>
      <c r="D2" s="182"/>
      <c r="E2" s="182"/>
      <c r="F2" s="182"/>
      <c r="G2" s="182"/>
      <c r="H2" s="182"/>
    </row>
    <row r="3" spans="1:10">
      <c r="A3" s="509" t="s">
        <v>510</v>
      </c>
      <c r="B3" s="510" t="s">
        <v>511</v>
      </c>
      <c r="C3" s="182"/>
      <c r="D3" s="182"/>
      <c r="E3" s="182"/>
      <c r="F3" s="182"/>
      <c r="G3" s="182"/>
      <c r="H3" s="182"/>
    </row>
    <row r="4" spans="1:10">
      <c r="A4" s="182"/>
      <c r="B4" s="182"/>
      <c r="C4" s="182"/>
      <c r="D4" s="182"/>
      <c r="E4" s="182"/>
      <c r="F4" s="182"/>
      <c r="G4" s="182"/>
      <c r="H4" s="182"/>
    </row>
    <row r="5" spans="1:10">
      <c r="A5" s="511"/>
      <c r="B5" s="512"/>
      <c r="C5" s="513"/>
      <c r="D5" s="514"/>
      <c r="E5" s="515" t="s">
        <v>512</v>
      </c>
      <c r="F5" s="516"/>
      <c r="G5" s="516"/>
      <c r="H5" s="517"/>
      <c r="I5" s="531" t="s">
        <v>88</v>
      </c>
      <c r="J5" s="531" t="s">
        <v>577</v>
      </c>
    </row>
    <row r="6" spans="1:10" ht="14.25">
      <c r="A6" s="518"/>
      <c r="B6" s="519"/>
      <c r="C6" s="520"/>
      <c r="D6" s="521" t="s">
        <v>513</v>
      </c>
      <c r="E6" s="521" t="s">
        <v>514</v>
      </c>
      <c r="F6" s="521" t="s">
        <v>257</v>
      </c>
      <c r="G6" s="521" t="s">
        <v>31</v>
      </c>
      <c r="H6" s="522" t="s">
        <v>515</v>
      </c>
      <c r="I6" s="531" t="s">
        <v>87</v>
      </c>
      <c r="J6" s="531"/>
    </row>
    <row r="7" spans="1:10" ht="14.25">
      <c r="A7" s="521" t="s">
        <v>516</v>
      </c>
      <c r="B7" s="521" t="s">
        <v>541</v>
      </c>
      <c r="C7" s="521" t="s">
        <v>517</v>
      </c>
      <c r="D7" s="523"/>
      <c r="E7" s="523"/>
      <c r="F7" s="523"/>
      <c r="G7" s="523"/>
      <c r="H7" s="523"/>
    </row>
    <row r="8" spans="1:10" ht="14.25">
      <c r="A8" s="524" t="s">
        <v>542</v>
      </c>
      <c r="B8" s="524" t="s">
        <v>543</v>
      </c>
      <c r="C8" s="521" t="s">
        <v>544</v>
      </c>
      <c r="D8" s="523"/>
      <c r="E8" s="525">
        <v>10582</v>
      </c>
      <c r="F8" s="525" t="s">
        <v>520</v>
      </c>
      <c r="G8" s="525" t="s">
        <v>520</v>
      </c>
      <c r="H8" s="525">
        <v>10582</v>
      </c>
    </row>
    <row r="9" spans="1:10" ht="14.25">
      <c r="A9" s="526"/>
      <c r="B9" s="526"/>
      <c r="C9" s="521" t="s">
        <v>545</v>
      </c>
      <c r="D9" s="523"/>
      <c r="E9" s="525">
        <v>889279.74</v>
      </c>
      <c r="F9" s="525" t="s">
        <v>520</v>
      </c>
      <c r="G9" s="525" t="s">
        <v>520</v>
      </c>
      <c r="H9" s="525">
        <v>889279.74</v>
      </c>
    </row>
    <row r="10" spans="1:10" ht="14.25">
      <c r="A10" s="526"/>
      <c r="B10" s="527"/>
      <c r="C10" s="521" t="s">
        <v>546</v>
      </c>
      <c r="D10" s="523"/>
      <c r="E10" s="525">
        <v>3679.62</v>
      </c>
      <c r="F10" s="525">
        <v>683.02</v>
      </c>
      <c r="G10" s="525">
        <v>38699.56</v>
      </c>
      <c r="H10" s="525">
        <v>43062.200000000004</v>
      </c>
    </row>
    <row r="11" spans="1:10" ht="14.25">
      <c r="A11" s="526"/>
      <c r="B11" s="521" t="s">
        <v>547</v>
      </c>
      <c r="C11" s="521" t="s">
        <v>548</v>
      </c>
      <c r="D11" s="523"/>
      <c r="E11" s="525">
        <v>16978.95</v>
      </c>
      <c r="F11" s="525" t="s">
        <v>520</v>
      </c>
      <c r="G11" s="525" t="s">
        <v>520</v>
      </c>
      <c r="H11" s="525">
        <v>16978.95</v>
      </c>
    </row>
    <row r="12" spans="1:10" ht="14.25">
      <c r="A12" s="526"/>
      <c r="B12" s="524" t="s">
        <v>549</v>
      </c>
      <c r="C12" s="521" t="s">
        <v>550</v>
      </c>
      <c r="D12" s="523"/>
      <c r="E12" s="525">
        <v>6800</v>
      </c>
      <c r="F12" s="525" t="s">
        <v>520</v>
      </c>
      <c r="G12" s="525" t="s">
        <v>520</v>
      </c>
      <c r="H12" s="525">
        <v>6800</v>
      </c>
    </row>
    <row r="13" spans="1:10" ht="14.25">
      <c r="A13" s="526"/>
      <c r="B13" s="526"/>
      <c r="C13" s="521" t="s">
        <v>551</v>
      </c>
      <c r="D13" s="523"/>
      <c r="E13" s="525">
        <v>7023.6900000000005</v>
      </c>
      <c r="F13" s="525" t="s">
        <v>520</v>
      </c>
      <c r="G13" s="525" t="s">
        <v>520</v>
      </c>
      <c r="H13" s="525">
        <v>7023.6900000000005</v>
      </c>
    </row>
    <row r="14" spans="1:10" ht="14.25">
      <c r="A14" s="526"/>
      <c r="B14" s="526"/>
      <c r="C14" s="521" t="s">
        <v>552</v>
      </c>
      <c r="D14" s="523"/>
      <c r="E14" s="525">
        <v>666530.53</v>
      </c>
      <c r="F14" s="525" t="s">
        <v>520</v>
      </c>
      <c r="G14" s="525" t="s">
        <v>520</v>
      </c>
      <c r="H14" s="525">
        <v>666530.53</v>
      </c>
    </row>
    <row r="15" spans="1:10" ht="14.25">
      <c r="A15" s="526"/>
      <c r="B15" s="527"/>
      <c r="C15" s="521" t="s">
        <v>553</v>
      </c>
      <c r="D15" s="523"/>
      <c r="E15" s="525">
        <v>456.12</v>
      </c>
      <c r="F15" s="525" t="s">
        <v>520</v>
      </c>
      <c r="G15" s="525" t="s">
        <v>520</v>
      </c>
      <c r="H15" s="525">
        <v>456.12</v>
      </c>
    </row>
    <row r="16" spans="1:10" ht="14.25">
      <c r="A16" s="527"/>
      <c r="B16" s="521" t="s">
        <v>554</v>
      </c>
      <c r="C16" s="521" t="s">
        <v>555</v>
      </c>
      <c r="D16" s="523"/>
      <c r="E16" s="525">
        <v>46995</v>
      </c>
      <c r="F16" s="525" t="s">
        <v>520</v>
      </c>
      <c r="G16" s="525" t="s">
        <v>520</v>
      </c>
      <c r="H16" s="525">
        <v>46995</v>
      </c>
    </row>
    <row r="17" spans="1:10" ht="14.25">
      <c r="A17" s="524" t="s">
        <v>556</v>
      </c>
      <c r="B17" s="524" t="s">
        <v>557</v>
      </c>
      <c r="C17" s="521" t="s">
        <v>558</v>
      </c>
      <c r="D17" s="523"/>
      <c r="E17" s="525">
        <v>-7723892.5</v>
      </c>
      <c r="F17" s="525" t="s">
        <v>520</v>
      </c>
      <c r="G17" s="525" t="s">
        <v>520</v>
      </c>
      <c r="H17" s="525">
        <v>-7723892.5</v>
      </c>
      <c r="I17" s="532">
        <f>H17</f>
        <v>-7723892.5</v>
      </c>
    </row>
    <row r="18" spans="1:10" ht="14.25">
      <c r="A18" s="526"/>
      <c r="B18" s="526"/>
      <c r="C18" s="521" t="s">
        <v>559</v>
      </c>
      <c r="D18" s="523"/>
      <c r="E18" s="525">
        <v>-2718369.75</v>
      </c>
      <c r="F18" s="525" t="s">
        <v>520</v>
      </c>
      <c r="G18" s="525" t="s">
        <v>520</v>
      </c>
      <c r="H18" s="525">
        <v>-2718369.75</v>
      </c>
      <c r="I18" s="532">
        <f t="shared" ref="I18:I23" si="0">H18</f>
        <v>-2718369.75</v>
      </c>
    </row>
    <row r="19" spans="1:10" ht="14.25">
      <c r="A19" s="527"/>
      <c r="B19" s="527"/>
      <c r="C19" s="521" t="s">
        <v>560</v>
      </c>
      <c r="D19" s="523"/>
      <c r="E19" s="525">
        <v>24.8</v>
      </c>
      <c r="F19" s="525" t="s">
        <v>520</v>
      </c>
      <c r="G19" s="525" t="s">
        <v>520</v>
      </c>
      <c r="H19" s="525">
        <v>24.8</v>
      </c>
      <c r="I19" s="532">
        <f t="shared" si="0"/>
        <v>24.8</v>
      </c>
    </row>
    <row r="20" spans="1:10" ht="14.25">
      <c r="A20" s="524" t="s">
        <v>561</v>
      </c>
      <c r="B20" s="524" t="s">
        <v>557</v>
      </c>
      <c r="C20" s="521" t="s">
        <v>562</v>
      </c>
      <c r="D20" s="523"/>
      <c r="E20" s="525">
        <v>855810.15</v>
      </c>
      <c r="F20" s="525" t="s">
        <v>520</v>
      </c>
      <c r="G20" s="525" t="s">
        <v>520</v>
      </c>
      <c r="H20" s="525">
        <v>855810.15</v>
      </c>
      <c r="I20" s="532">
        <f t="shared" si="0"/>
        <v>855810.15</v>
      </c>
    </row>
    <row r="21" spans="1:10" ht="14.25">
      <c r="A21" s="527"/>
      <c r="B21" s="527"/>
      <c r="C21" s="521" t="s">
        <v>563</v>
      </c>
      <c r="D21" s="523"/>
      <c r="E21" s="525">
        <v>29287951.550000001</v>
      </c>
      <c r="F21" s="525" t="s">
        <v>520</v>
      </c>
      <c r="G21" s="525" t="s">
        <v>520</v>
      </c>
      <c r="H21" s="525">
        <v>29287951.550000001</v>
      </c>
      <c r="I21" s="532">
        <f t="shared" si="0"/>
        <v>29287951.550000001</v>
      </c>
    </row>
    <row r="22" spans="1:10" ht="14.25">
      <c r="A22" s="524" t="s">
        <v>564</v>
      </c>
      <c r="B22" s="524" t="s">
        <v>565</v>
      </c>
      <c r="C22" s="521" t="s">
        <v>566</v>
      </c>
      <c r="D22" s="523"/>
      <c r="E22" s="525">
        <v>4006377.64</v>
      </c>
      <c r="F22" s="525" t="s">
        <v>520</v>
      </c>
      <c r="G22" s="525" t="s">
        <v>520</v>
      </c>
      <c r="H22" s="525">
        <v>4006377.64</v>
      </c>
      <c r="I22" s="532">
        <f t="shared" si="0"/>
        <v>4006377.64</v>
      </c>
    </row>
    <row r="23" spans="1:10" ht="14.25">
      <c r="A23" s="527"/>
      <c r="B23" s="527"/>
      <c r="C23" s="521" t="s">
        <v>567</v>
      </c>
      <c r="D23" s="523"/>
      <c r="E23" s="525" t="s">
        <v>520</v>
      </c>
      <c r="F23" s="525" t="s">
        <v>520</v>
      </c>
      <c r="G23" s="525">
        <v>162500</v>
      </c>
      <c r="H23" s="525">
        <v>162500</v>
      </c>
      <c r="I23" s="532">
        <f t="shared" si="0"/>
        <v>162500</v>
      </c>
    </row>
    <row r="24" spans="1:10" ht="14.25">
      <c r="A24" s="521" t="s">
        <v>518</v>
      </c>
      <c r="B24" s="521" t="s">
        <v>568</v>
      </c>
      <c r="C24" s="521" t="s">
        <v>519</v>
      </c>
      <c r="D24" s="523"/>
      <c r="E24" s="525">
        <v>60244.08</v>
      </c>
      <c r="F24" s="525" t="s">
        <v>520</v>
      </c>
      <c r="G24" s="525" t="s">
        <v>520</v>
      </c>
      <c r="H24" s="525">
        <v>60244.08</v>
      </c>
      <c r="J24" s="532">
        <f>H24</f>
        <v>60244.08</v>
      </c>
    </row>
    <row r="25" spans="1:10" ht="14.25">
      <c r="A25" s="521" t="s">
        <v>569</v>
      </c>
      <c r="B25" s="521" t="s">
        <v>570</v>
      </c>
      <c r="C25" s="521" t="s">
        <v>571</v>
      </c>
      <c r="D25" s="523"/>
      <c r="E25" s="525">
        <v>529103.25</v>
      </c>
      <c r="F25" s="525" t="s">
        <v>520</v>
      </c>
      <c r="G25" s="525" t="s">
        <v>520</v>
      </c>
      <c r="H25" s="525">
        <v>529103.25</v>
      </c>
      <c r="I25" s="542"/>
      <c r="J25" s="532">
        <f>H25</f>
        <v>529103.25</v>
      </c>
    </row>
    <row r="26" spans="1:10" ht="14.25">
      <c r="A26" s="521" t="s">
        <v>521</v>
      </c>
      <c r="B26" s="521" t="s">
        <v>568</v>
      </c>
      <c r="C26" s="521" t="s">
        <v>522</v>
      </c>
      <c r="D26" s="523"/>
      <c r="E26" s="525">
        <v>11553981.52</v>
      </c>
      <c r="F26" s="525" t="s">
        <v>520</v>
      </c>
      <c r="G26" s="525" t="s">
        <v>520</v>
      </c>
      <c r="H26" s="525">
        <v>11553981.52</v>
      </c>
      <c r="J26" s="532">
        <f>H26</f>
        <v>11553981.52</v>
      </c>
    </row>
    <row r="27" spans="1:10" ht="14.25">
      <c r="A27" s="521" t="s">
        <v>523</v>
      </c>
      <c r="B27" s="521" t="s">
        <v>568</v>
      </c>
      <c r="C27" s="521" t="s">
        <v>524</v>
      </c>
      <c r="D27" s="523"/>
      <c r="E27" s="525">
        <v>3192000</v>
      </c>
      <c r="F27" s="525" t="s">
        <v>520</v>
      </c>
      <c r="G27" s="525" t="s">
        <v>520</v>
      </c>
      <c r="H27" s="525">
        <v>3192000</v>
      </c>
      <c r="J27" s="532">
        <f t="shared" ref="J27:J29" si="1">H27</f>
        <v>3192000</v>
      </c>
    </row>
    <row r="28" spans="1:10" ht="14.25">
      <c r="A28" s="521" t="s">
        <v>525</v>
      </c>
      <c r="B28" s="521" t="s">
        <v>568</v>
      </c>
      <c r="C28" s="521" t="s">
        <v>526</v>
      </c>
      <c r="D28" s="523"/>
      <c r="E28" s="525" t="s">
        <v>520</v>
      </c>
      <c r="F28" s="525">
        <v>44019.49</v>
      </c>
      <c r="G28" s="525">
        <v>97939.56</v>
      </c>
      <c r="H28" s="525">
        <v>141959.05000000002</v>
      </c>
      <c r="J28" s="532">
        <f t="shared" si="1"/>
        <v>141959.05000000002</v>
      </c>
    </row>
    <row r="29" spans="1:10" ht="14.25">
      <c r="A29" s="521" t="s">
        <v>527</v>
      </c>
      <c r="B29" s="521" t="s">
        <v>568</v>
      </c>
      <c r="C29" s="521" t="s">
        <v>528</v>
      </c>
      <c r="D29" s="523"/>
      <c r="E29" s="525">
        <v>928944</v>
      </c>
      <c r="F29" s="525" t="s">
        <v>520</v>
      </c>
      <c r="G29" s="525" t="s">
        <v>520</v>
      </c>
      <c r="H29" s="525">
        <v>928944</v>
      </c>
      <c r="J29" s="532">
        <f t="shared" si="1"/>
        <v>928944</v>
      </c>
    </row>
    <row r="30" spans="1:10" ht="14.25">
      <c r="A30" s="521" t="s">
        <v>572</v>
      </c>
      <c r="B30" s="521" t="s">
        <v>557</v>
      </c>
      <c r="C30" s="521" t="s">
        <v>573</v>
      </c>
      <c r="D30" s="523"/>
      <c r="E30" s="525">
        <v>-44500</v>
      </c>
      <c r="F30" s="525" t="s">
        <v>520</v>
      </c>
      <c r="G30" s="525" t="s">
        <v>520</v>
      </c>
      <c r="H30" s="525">
        <v>-44500</v>
      </c>
      <c r="I30" s="532">
        <f t="shared" ref="I30:I32" si="2">H30</f>
        <v>-44500</v>
      </c>
    </row>
    <row r="31" spans="1:10" ht="14.25">
      <c r="A31" s="521" t="s">
        <v>574</v>
      </c>
      <c r="B31" s="521" t="s">
        <v>557</v>
      </c>
      <c r="C31" s="521" t="s">
        <v>573</v>
      </c>
      <c r="D31" s="523"/>
      <c r="E31" s="525">
        <v>44500</v>
      </c>
      <c r="F31" s="525" t="s">
        <v>520</v>
      </c>
      <c r="G31" s="525" t="s">
        <v>520</v>
      </c>
      <c r="H31" s="525">
        <v>44500</v>
      </c>
      <c r="I31" s="532">
        <f t="shared" si="2"/>
        <v>44500</v>
      </c>
    </row>
    <row r="32" spans="1:10" ht="14.25">
      <c r="A32" s="521" t="s">
        <v>575</v>
      </c>
      <c r="B32" s="521" t="s">
        <v>557</v>
      </c>
      <c r="C32" s="521" t="s">
        <v>576</v>
      </c>
      <c r="D32" s="523"/>
      <c r="E32" s="525">
        <v>67420725.560000002</v>
      </c>
      <c r="F32" s="525" t="s">
        <v>520</v>
      </c>
      <c r="G32" s="525" t="s">
        <v>520</v>
      </c>
      <c r="H32" s="525">
        <v>67420725.560000002</v>
      </c>
      <c r="I32" s="532">
        <f t="shared" si="2"/>
        <v>67420725.560000002</v>
      </c>
    </row>
    <row r="33" spans="1:10">
      <c r="A33" s="528" t="s">
        <v>529</v>
      </c>
      <c r="B33" s="529"/>
      <c r="C33" s="530"/>
      <c r="D33" s="523"/>
      <c r="E33" s="525">
        <v>109041225.95</v>
      </c>
      <c r="F33" s="525">
        <v>44702.51</v>
      </c>
      <c r="G33" s="525">
        <v>299139.12</v>
      </c>
      <c r="H33" s="525">
        <v>109385067.58</v>
      </c>
    </row>
    <row r="34" spans="1:10">
      <c r="I34" s="532">
        <f>SUM(I17:I32)</f>
        <v>91291127.450000003</v>
      </c>
      <c r="J34" s="576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J10" sqref="J10"/>
    </sheetView>
  </sheetViews>
  <sheetFormatPr defaultColWidth="9.140625" defaultRowHeight="12.75"/>
  <cols>
    <col min="1" max="1" width="6.7109375" style="112" customWidth="1"/>
    <col min="2" max="2" width="3.42578125" style="112" customWidth="1"/>
    <col min="3" max="3" width="36.7109375" style="112" customWidth="1"/>
    <col min="4" max="4" width="9.28515625" style="112" bestFit="1" customWidth="1"/>
    <col min="5" max="5" width="13.5703125" style="112" customWidth="1"/>
    <col min="6" max="6" width="2.42578125" style="112" customWidth="1"/>
    <col min="7" max="7" width="11.42578125" style="112" customWidth="1"/>
    <col min="8" max="8" width="10.7109375" style="112" customWidth="1"/>
    <col min="9" max="9" width="11.140625" style="112" customWidth="1"/>
    <col min="10" max="10" width="10.28515625" style="112" customWidth="1"/>
    <col min="11" max="16384" width="9.140625" style="112"/>
  </cols>
  <sheetData>
    <row r="1" spans="1:10" ht="42" customHeight="1">
      <c r="A1" s="936" t="s">
        <v>246</v>
      </c>
      <c r="B1" s="936"/>
      <c r="C1" s="936"/>
      <c r="D1" s="936"/>
      <c r="E1" s="936"/>
      <c r="F1" s="936"/>
    </row>
    <row r="2" spans="1:10">
      <c r="A2" s="937" t="s">
        <v>92</v>
      </c>
      <c r="B2" s="937"/>
      <c r="C2" s="937"/>
      <c r="D2" s="937"/>
      <c r="E2" s="937"/>
      <c r="F2" s="937"/>
      <c r="G2" s="533"/>
    </row>
    <row r="3" spans="1:10">
      <c r="A3" s="114"/>
      <c r="B3" s="114"/>
      <c r="C3" s="114"/>
      <c r="D3" s="114"/>
      <c r="E3" s="114"/>
      <c r="F3" s="114"/>
    </row>
    <row r="4" spans="1:10">
      <c r="E4" s="114" t="s">
        <v>47</v>
      </c>
      <c r="G4" s="453" t="s">
        <v>88</v>
      </c>
      <c r="H4" s="453" t="s">
        <v>88</v>
      </c>
      <c r="I4" s="453" t="s">
        <v>504</v>
      </c>
      <c r="J4" s="453"/>
    </row>
    <row r="5" spans="1:10">
      <c r="E5" s="123" t="s">
        <v>118</v>
      </c>
      <c r="G5" s="453" t="s">
        <v>248</v>
      </c>
      <c r="H5" s="453" t="s">
        <v>248</v>
      </c>
      <c r="I5" s="453" t="s">
        <v>88</v>
      </c>
      <c r="J5" s="453" t="s">
        <v>505</v>
      </c>
    </row>
    <row r="6" spans="1:10">
      <c r="A6" s="114" t="s">
        <v>3</v>
      </c>
      <c r="E6" s="114" t="s">
        <v>247</v>
      </c>
      <c r="G6" s="453" t="s">
        <v>501</v>
      </c>
      <c r="H6" s="453" t="s">
        <v>503</v>
      </c>
      <c r="I6" s="453" t="s">
        <v>87</v>
      </c>
      <c r="J6" s="453" t="s">
        <v>47</v>
      </c>
    </row>
    <row r="7" spans="1:10">
      <c r="A7" s="115" t="s">
        <v>89</v>
      </c>
      <c r="C7" s="116" t="s">
        <v>4</v>
      </c>
      <c r="D7" s="114" t="s">
        <v>232</v>
      </c>
      <c r="E7" s="115" t="s">
        <v>248</v>
      </c>
      <c r="G7" s="465" t="s">
        <v>502</v>
      </c>
      <c r="H7" s="465" t="s">
        <v>502</v>
      </c>
      <c r="I7" s="465" t="s">
        <v>274</v>
      </c>
      <c r="J7" s="465" t="s">
        <v>118</v>
      </c>
    </row>
    <row r="8" spans="1:10">
      <c r="A8" s="114"/>
      <c r="F8" s="154"/>
      <c r="G8" s="154"/>
      <c r="H8" s="154"/>
      <c r="I8" s="154"/>
    </row>
    <row r="9" spans="1:10">
      <c r="A9" s="114"/>
      <c r="B9" s="112" t="s">
        <v>85</v>
      </c>
      <c r="F9" s="154"/>
      <c r="G9" s="154"/>
      <c r="H9" s="154"/>
      <c r="I9" s="154"/>
    </row>
    <row r="10" spans="1:10">
      <c r="A10" s="114">
        <v>1</v>
      </c>
      <c r="B10" s="112" t="s">
        <v>84</v>
      </c>
      <c r="D10" s="117"/>
      <c r="E10" s="433">
        <f>I10+J10</f>
        <v>7724.2941524713633</v>
      </c>
      <c r="F10" s="154"/>
      <c r="G10" s="154"/>
      <c r="H10" s="155"/>
      <c r="I10" s="154"/>
      <c r="J10" s="118">
        <f>'Attrition 09.2015 to 2017'!P7*'Attrition 09.2015 to 2017'!M7</f>
        <v>7724.2941524713633</v>
      </c>
    </row>
    <row r="11" spans="1:10">
      <c r="A11" s="114">
        <v>2</v>
      </c>
      <c r="B11" s="112" t="s">
        <v>83</v>
      </c>
      <c r="E11" s="118">
        <f>I11+J11</f>
        <v>14.381133071075748</v>
      </c>
      <c r="F11" s="154"/>
      <c r="G11" s="154"/>
      <c r="H11" s="154"/>
      <c r="I11" s="154"/>
      <c r="J11" s="118">
        <f>'Attrition 09.2015 to 2017'!P8*'Attrition 09.2015 to 2017'!M8</f>
        <v>14.381133071075748</v>
      </c>
    </row>
    <row r="12" spans="1:10">
      <c r="A12" s="114">
        <v>3</v>
      </c>
      <c r="B12" s="112" t="s">
        <v>82</v>
      </c>
      <c r="E12" s="118">
        <f>I12+J12</f>
        <v>-2489</v>
      </c>
      <c r="F12" s="154"/>
      <c r="G12" s="118">
        <f>ROUND('PF Power Supply 09.2015 load'!F11,0)</f>
        <v>37211</v>
      </c>
      <c r="H12" s="118">
        <f>ROUND('PF Power Supply 2017 load'!F11,0)</f>
        <v>34722</v>
      </c>
      <c r="I12" s="433">
        <f>H12-G12</f>
        <v>-2489</v>
      </c>
    </row>
    <row r="13" spans="1:10">
      <c r="A13" s="114">
        <v>4</v>
      </c>
      <c r="B13" s="112" t="s">
        <v>81</v>
      </c>
      <c r="E13" s="458">
        <f>SUM(E10:E12)</f>
        <v>5249.6752855424393</v>
      </c>
      <c r="F13" s="154"/>
      <c r="G13" s="458">
        <f>SUM(G10:G12)</f>
        <v>37211</v>
      </c>
      <c r="H13" s="458">
        <f>SUM(H10:H12)</f>
        <v>34722</v>
      </c>
      <c r="I13" s="458">
        <f>SUM(I10:I12)</f>
        <v>-2489</v>
      </c>
      <c r="J13" s="458">
        <f>SUM(J10:J12)</f>
        <v>7738.6752855424393</v>
      </c>
    </row>
    <row r="14" spans="1:10">
      <c r="A14" s="114">
        <v>5</v>
      </c>
      <c r="B14" s="112" t="s">
        <v>80</v>
      </c>
      <c r="E14" s="118">
        <f>I14+J14</f>
        <v>0</v>
      </c>
      <c r="F14" s="154"/>
      <c r="G14" s="119">
        <f>ROUND('PF Power Supply 09.2015 load'!F19-'incremental load expense'!G13,0)</f>
        <v>10932</v>
      </c>
      <c r="H14" s="119">
        <f>ROUND('PF Power Supply 2017 load'!F19-H12,0)</f>
        <v>10932</v>
      </c>
      <c r="I14" s="433">
        <f>H14-G14</f>
        <v>0</v>
      </c>
      <c r="J14" s="118">
        <f>'Attrition 09.2015 to 2017'!P11*'Attrition 09.2015 to 2017'!M11</f>
        <v>0</v>
      </c>
    </row>
    <row r="15" spans="1:10">
      <c r="A15" s="114">
        <v>6</v>
      </c>
      <c r="B15" s="112" t="s">
        <v>79</v>
      </c>
      <c r="E15" s="458">
        <f>E13+E14</f>
        <v>5249.6752855424393</v>
      </c>
      <c r="F15" s="154"/>
      <c r="G15" s="118">
        <f>G13+G14</f>
        <v>48143</v>
      </c>
      <c r="H15" s="118">
        <f>H13+H14</f>
        <v>45654</v>
      </c>
      <c r="I15" s="458">
        <f>I13+I14</f>
        <v>-2489</v>
      </c>
      <c r="J15" s="458">
        <f>J13+J14</f>
        <v>7738.6752855424393</v>
      </c>
    </row>
    <row r="16" spans="1:10">
      <c r="A16" s="114"/>
      <c r="E16" s="118"/>
      <c r="F16" s="154"/>
      <c r="G16" s="118"/>
      <c r="H16" s="118"/>
      <c r="I16" s="118"/>
      <c r="J16" s="118"/>
    </row>
    <row r="17" spans="1:10">
      <c r="A17" s="114"/>
      <c r="B17" s="112" t="s">
        <v>78</v>
      </c>
      <c r="E17" s="118"/>
      <c r="F17" s="154"/>
      <c r="G17" s="118"/>
      <c r="H17" s="118"/>
      <c r="I17" s="118"/>
      <c r="J17" s="118"/>
    </row>
    <row r="18" spans="1:10">
      <c r="A18" s="114"/>
      <c r="B18" s="112" t="s">
        <v>77</v>
      </c>
      <c r="E18" s="118"/>
      <c r="F18" s="154"/>
      <c r="G18" s="118"/>
      <c r="H18" s="118"/>
      <c r="I18" s="118"/>
      <c r="J18" s="118"/>
    </row>
    <row r="19" spans="1:10">
      <c r="A19" s="114">
        <v>7</v>
      </c>
      <c r="C19" s="112" t="s">
        <v>69</v>
      </c>
      <c r="E19" s="118">
        <f>I19+J19</f>
        <v>0</v>
      </c>
      <c r="F19" s="154"/>
      <c r="G19" s="118">
        <f>ROUND('PF Power Supply 09.2015 load'!F33-'incremental load expense'!G20,0)</f>
        <v>80894</v>
      </c>
      <c r="H19" s="118">
        <f>ROUND('PF Power Supply 2017 load'!F33-H20,0)</f>
        <v>80894</v>
      </c>
      <c r="I19" s="433">
        <f>H19-G19</f>
        <v>0</v>
      </c>
      <c r="J19" s="118"/>
    </row>
    <row r="20" spans="1:10">
      <c r="A20" s="114">
        <v>8</v>
      </c>
      <c r="C20" s="112" t="s">
        <v>76</v>
      </c>
      <c r="E20" s="118">
        <f>I20+J20</f>
        <v>831</v>
      </c>
      <c r="F20" s="154"/>
      <c r="G20" s="118">
        <f>ROUND('PF Power Supply 09.2015 load'!F26,0)</f>
        <v>71041</v>
      </c>
      <c r="H20" s="118">
        <f>ROUND('PF Power Supply 2017 load'!F26,0)</f>
        <v>71872</v>
      </c>
      <c r="I20" s="433">
        <f>H20-G20</f>
        <v>831</v>
      </c>
      <c r="J20" s="118"/>
    </row>
    <row r="21" spans="1:10">
      <c r="A21" s="114">
        <v>9</v>
      </c>
      <c r="C21" s="112" t="s">
        <v>136</v>
      </c>
      <c r="E21" s="118"/>
      <c r="F21" s="154"/>
      <c r="G21" s="118"/>
      <c r="H21" s="118"/>
      <c r="I21" s="118"/>
      <c r="J21" s="118"/>
    </row>
    <row r="22" spans="1:10">
      <c r="A22" s="114">
        <v>10</v>
      </c>
      <c r="C22" s="112" t="s">
        <v>137</v>
      </c>
      <c r="E22" s="118"/>
      <c r="F22" s="154"/>
      <c r="G22" s="118"/>
      <c r="H22" s="118"/>
      <c r="I22" s="118"/>
      <c r="J22" s="118"/>
    </row>
    <row r="23" spans="1:10">
      <c r="A23" s="114">
        <v>11</v>
      </c>
      <c r="C23" s="112" t="s">
        <v>68</v>
      </c>
      <c r="E23" s="119"/>
      <c r="F23" s="154"/>
      <c r="G23" s="119"/>
      <c r="H23" s="119"/>
      <c r="I23" s="119"/>
      <c r="J23" s="119"/>
    </row>
    <row r="24" spans="1:10">
      <c r="A24" s="114">
        <v>12</v>
      </c>
      <c r="B24" s="112" t="s">
        <v>75</v>
      </c>
      <c r="E24" s="118">
        <f>SUM(E19:E23)</f>
        <v>831</v>
      </c>
      <c r="F24" s="154"/>
      <c r="G24" s="118">
        <f>SUM(G19:G23)</f>
        <v>151935</v>
      </c>
      <c r="H24" s="118">
        <f>SUM(H19:H23)</f>
        <v>152766</v>
      </c>
      <c r="I24" s="118">
        <f>SUM(I19:I23)</f>
        <v>831</v>
      </c>
      <c r="J24" s="118">
        <f>SUM(J19:J23)</f>
        <v>0</v>
      </c>
    </row>
    <row r="25" spans="1:10">
      <c r="A25" s="114"/>
      <c r="E25" s="118"/>
      <c r="F25" s="154"/>
      <c r="G25" s="118"/>
      <c r="H25" s="118"/>
      <c r="I25" s="118"/>
      <c r="J25" s="118"/>
    </row>
    <row r="26" spans="1:10">
      <c r="A26" s="114"/>
      <c r="B26" s="112" t="s">
        <v>55</v>
      </c>
      <c r="E26" s="118"/>
      <c r="G26" s="118"/>
      <c r="H26" s="118"/>
      <c r="I26" s="118"/>
      <c r="J26" s="118"/>
    </row>
    <row r="27" spans="1:10">
      <c r="A27" s="114">
        <v>13</v>
      </c>
      <c r="C27" s="112" t="s">
        <v>69</v>
      </c>
      <c r="E27" s="118"/>
      <c r="G27" s="118"/>
      <c r="H27" s="118"/>
      <c r="I27" s="118"/>
      <c r="J27" s="118"/>
    </row>
    <row r="28" spans="1:10">
      <c r="A28" s="114">
        <v>14</v>
      </c>
      <c r="C28" s="112" t="s">
        <v>138</v>
      </c>
      <c r="E28" s="118"/>
      <c r="G28" s="118"/>
      <c r="H28" s="118"/>
      <c r="I28" s="118"/>
      <c r="J28" s="118"/>
    </row>
    <row r="29" spans="1:10">
      <c r="A29" s="114">
        <v>15</v>
      </c>
      <c r="C29" s="112" t="s">
        <v>68</v>
      </c>
      <c r="D29" s="338">
        <f>ROR!L16</f>
        <v>3.8507300000000001E-2</v>
      </c>
      <c r="E29" s="118">
        <f>I29+J29</f>
        <v>297.44171221746052</v>
      </c>
      <c r="G29" s="119"/>
      <c r="H29" s="119"/>
      <c r="I29" s="119"/>
      <c r="J29" s="119">
        <f>J10*D29</f>
        <v>297.44171221746052</v>
      </c>
    </row>
    <row r="30" spans="1:10">
      <c r="A30" s="114">
        <v>16</v>
      </c>
      <c r="B30" s="112" t="s">
        <v>74</v>
      </c>
      <c r="E30" s="458">
        <f>SUM(E27:E29)</f>
        <v>297.44171221746052</v>
      </c>
      <c r="G30" s="118">
        <f>SUM(G27:G29)</f>
        <v>0</v>
      </c>
      <c r="H30" s="118">
        <f>SUM(H27:H29)</f>
        <v>0</v>
      </c>
      <c r="I30" s="118">
        <f>SUM(I27:I29)</f>
        <v>0</v>
      </c>
      <c r="J30" s="118">
        <f>SUM(J27:J29)</f>
        <v>297.44171221746052</v>
      </c>
    </row>
    <row r="31" spans="1:10">
      <c r="A31" s="114"/>
      <c r="E31" s="118"/>
      <c r="G31" s="118"/>
      <c r="H31" s="118"/>
      <c r="I31" s="118"/>
      <c r="J31" s="118"/>
    </row>
    <row r="32" spans="1:10">
      <c r="A32" s="114">
        <v>17</v>
      </c>
      <c r="B32" s="112" t="s">
        <v>73</v>
      </c>
      <c r="D32" s="338">
        <f>ROR!L12</f>
        <v>5.8552999999999999E-3</v>
      </c>
      <c r="E32" s="118">
        <f>I32+J32</f>
        <v>45.228059550965575</v>
      </c>
      <c r="G32" s="118"/>
      <c r="H32" s="118"/>
      <c r="I32" s="118"/>
      <c r="J32" s="118">
        <f>J10*D32</f>
        <v>45.228059550965575</v>
      </c>
    </row>
    <row r="33" spans="1:10">
      <c r="A33" s="114">
        <v>18</v>
      </c>
      <c r="B33" s="112" t="s">
        <v>72</v>
      </c>
      <c r="E33" s="118"/>
      <c r="G33" s="118"/>
      <c r="H33" s="118"/>
      <c r="I33" s="118"/>
      <c r="J33" s="118"/>
    </row>
    <row r="34" spans="1:10">
      <c r="A34" s="114">
        <v>19</v>
      </c>
      <c r="B34" s="112" t="s">
        <v>71</v>
      </c>
      <c r="E34" s="118"/>
      <c r="G34" s="118"/>
      <c r="H34" s="118"/>
      <c r="I34" s="118"/>
      <c r="J34" s="118"/>
    </row>
    <row r="35" spans="1:10">
      <c r="A35" s="114"/>
      <c r="E35" s="118"/>
      <c r="G35" s="118"/>
      <c r="H35" s="118"/>
      <c r="I35" s="118"/>
      <c r="J35" s="118"/>
    </row>
    <row r="36" spans="1:10">
      <c r="A36" s="114"/>
      <c r="B36" s="112" t="s">
        <v>70</v>
      </c>
      <c r="E36" s="118"/>
      <c r="G36" s="118"/>
      <c r="H36" s="118"/>
      <c r="I36" s="118"/>
      <c r="J36" s="118"/>
    </row>
    <row r="37" spans="1:10">
      <c r="A37" s="114">
        <v>20</v>
      </c>
      <c r="C37" s="112" t="s">
        <v>69</v>
      </c>
      <c r="D37" s="338">
        <f>ROR!L14</f>
        <v>2E-3</v>
      </c>
      <c r="E37" s="118">
        <f>I37+J37</f>
        <v>15.448588304942726</v>
      </c>
      <c r="G37" s="118"/>
      <c r="H37" s="118"/>
      <c r="I37" s="118"/>
      <c r="J37" s="118">
        <f>J10*D37</f>
        <v>15.448588304942726</v>
      </c>
    </row>
    <row r="38" spans="1:10">
      <c r="A38" s="114">
        <v>21</v>
      </c>
      <c r="C38" s="112" t="s">
        <v>138</v>
      </c>
      <c r="E38" s="118"/>
      <c r="G38" s="118"/>
      <c r="H38" s="118"/>
      <c r="I38" s="118"/>
      <c r="J38" s="118"/>
    </row>
    <row r="39" spans="1:10">
      <c r="A39" s="114">
        <v>22</v>
      </c>
      <c r="C39" s="112" t="s">
        <v>68</v>
      </c>
      <c r="E39" s="119"/>
      <c r="G39" s="119"/>
      <c r="H39" s="119"/>
      <c r="I39" s="119"/>
      <c r="J39" s="119"/>
    </row>
    <row r="40" spans="1:10">
      <c r="A40" s="114">
        <v>23</v>
      </c>
      <c r="B40" s="112" t="s">
        <v>67</v>
      </c>
      <c r="E40" s="120">
        <f>SUM(E37:E39)</f>
        <v>15.448588304942726</v>
      </c>
      <c r="G40" s="120">
        <f>SUM(G37:G39)</f>
        <v>0</v>
      </c>
      <c r="H40" s="120">
        <f>SUM(H37:H39)</f>
        <v>0</v>
      </c>
      <c r="I40" s="120">
        <f>SUM(I37:I39)</f>
        <v>0</v>
      </c>
      <c r="J40" s="120">
        <f>SUM(J37:J39)</f>
        <v>15.448588304942726</v>
      </c>
    </row>
    <row r="41" spans="1:10">
      <c r="A41" s="114">
        <v>24</v>
      </c>
      <c r="B41" s="112" t="s">
        <v>66</v>
      </c>
      <c r="E41" s="120">
        <f>E24+E30+E32+E33+E34+E40</f>
        <v>1189.1183600733686</v>
      </c>
      <c r="G41" s="120">
        <f>G24+G30+G32+G33+G34+G40</f>
        <v>151935</v>
      </c>
      <c r="H41" s="120">
        <f>H24+H30+H32+H33+H34+H40</f>
        <v>152766</v>
      </c>
      <c r="I41" s="120">
        <f>I24+I30+I32+I33+I34+I40</f>
        <v>831</v>
      </c>
      <c r="J41" s="120">
        <f>J24+J30+J32+J33+J34+J40</f>
        <v>358.11836007336882</v>
      </c>
    </row>
    <row r="42" spans="1:10">
      <c r="A42" s="114"/>
      <c r="E42" s="118"/>
      <c r="G42" s="118"/>
      <c r="H42" s="118"/>
      <c r="I42" s="118"/>
      <c r="J42" s="118"/>
    </row>
    <row r="43" spans="1:10">
      <c r="A43" s="114">
        <v>25</v>
      </c>
      <c r="B43" s="112" t="s">
        <v>65</v>
      </c>
      <c r="E43" s="118">
        <f>E15-E41</f>
        <v>4060.5569254690708</v>
      </c>
      <c r="G43" s="118">
        <f>G15-G41</f>
        <v>-103792</v>
      </c>
      <c r="H43" s="118">
        <f>H15-H41</f>
        <v>-107112</v>
      </c>
      <c r="I43" s="118">
        <f>I15-I41</f>
        <v>-3320</v>
      </c>
      <c r="J43" s="118">
        <f>J15-J41</f>
        <v>7380.5569254690708</v>
      </c>
    </row>
    <row r="44" spans="1:10">
      <c r="A44" s="114"/>
      <c r="E44" s="118"/>
      <c r="G44" s="118"/>
      <c r="H44" s="118"/>
      <c r="I44" s="118"/>
      <c r="J44" s="118"/>
    </row>
    <row r="45" spans="1:10">
      <c r="A45" s="114"/>
      <c r="B45" s="112" t="s">
        <v>64</v>
      </c>
      <c r="E45" s="118"/>
      <c r="G45" s="118"/>
      <c r="H45" s="118"/>
      <c r="I45" s="118"/>
      <c r="J45" s="118"/>
    </row>
    <row r="46" spans="1:10">
      <c r="A46" s="114">
        <v>26</v>
      </c>
      <c r="B46" s="112" t="s">
        <v>139</v>
      </c>
      <c r="E46" s="118">
        <f>ROUND(0.35*E43,0)</f>
        <v>1421</v>
      </c>
      <c r="G46" s="118">
        <f>ROUND(0.35*G43,0)</f>
        <v>-36327</v>
      </c>
      <c r="H46" s="118">
        <f>ROUND(0.35*H43,0)</f>
        <v>-37489</v>
      </c>
      <c r="I46" s="118">
        <f>ROUND(0.35*I43,0)</f>
        <v>-1162</v>
      </c>
      <c r="J46" s="118">
        <f>ROUND(0.35*J43,0)</f>
        <v>2583</v>
      </c>
    </row>
    <row r="47" spans="1:10">
      <c r="A47" s="114">
        <v>27</v>
      </c>
      <c r="B47" s="112" t="s">
        <v>140</v>
      </c>
      <c r="E47" s="118"/>
      <c r="G47" s="118"/>
      <c r="H47" s="118"/>
      <c r="I47" s="118"/>
      <c r="J47" s="118"/>
    </row>
    <row r="48" spans="1:10">
      <c r="A48" s="114">
        <v>28</v>
      </c>
      <c r="B48" s="112" t="s">
        <v>63</v>
      </c>
      <c r="E48" s="118"/>
      <c r="G48" s="118"/>
      <c r="H48" s="118"/>
      <c r="I48" s="118"/>
      <c r="J48" s="118"/>
    </row>
    <row r="49" spans="1:10">
      <c r="A49" s="114">
        <v>29</v>
      </c>
      <c r="B49" s="112" t="s">
        <v>62</v>
      </c>
      <c r="E49" s="119"/>
      <c r="G49" s="119"/>
      <c r="H49" s="119"/>
      <c r="I49" s="119"/>
      <c r="J49" s="119"/>
    </row>
    <row r="50" spans="1:10">
      <c r="A50" s="114"/>
      <c r="E50" s="118"/>
      <c r="G50" s="118"/>
      <c r="H50" s="118"/>
      <c r="I50" s="118"/>
      <c r="J50" s="118"/>
    </row>
    <row r="51" spans="1:10">
      <c r="A51" s="114">
        <v>30</v>
      </c>
      <c r="B51" s="112" t="s">
        <v>61</v>
      </c>
      <c r="E51" s="118">
        <f>E43-E46-E47-E48-E49</f>
        <v>2639.5569254690708</v>
      </c>
      <c r="G51" s="118">
        <f>G43-G46-G47-G48-G49</f>
        <v>-67465</v>
      </c>
      <c r="H51" s="118">
        <f>H43-H46-H47-H48-H49</f>
        <v>-69623</v>
      </c>
      <c r="I51" s="118">
        <f>I43-I46-I47-I48-I49</f>
        <v>-2158</v>
      </c>
      <c r="J51" s="118">
        <f>J43-J46-J47-J48-J49</f>
        <v>4797.5569254690708</v>
      </c>
    </row>
    <row r="52" spans="1:10">
      <c r="A52" s="114"/>
    </row>
    <row r="53" spans="1:10">
      <c r="B53" s="112" t="s">
        <v>716</v>
      </c>
    </row>
  </sheetData>
  <sheetProtection selectLockedCells="1"/>
  <mergeCells count="2">
    <mergeCell ref="A1:F1"/>
    <mergeCell ref="A2:F2"/>
  </mergeCells>
  <phoneticPr fontId="56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40625" defaultRowHeight="12.75"/>
  <cols>
    <col min="1" max="3" width="9.140625" style="502"/>
    <col min="4" max="4" width="10.28515625" style="502" bestFit="1" customWidth="1"/>
    <col min="5" max="6" width="9.140625" style="502"/>
    <col min="7" max="7" width="12.28515625" style="502" customWidth="1"/>
    <col min="8" max="8" width="7.85546875" style="502" customWidth="1"/>
    <col min="9" max="12" width="9.140625" style="502"/>
    <col min="13" max="13" width="11" style="502" customWidth="1"/>
    <col min="14" max="16384" width="9.140625" style="502"/>
  </cols>
  <sheetData>
    <row r="1" spans="1:14" ht="15.75">
      <c r="A1" s="578" t="s">
        <v>594</v>
      </c>
    </row>
    <row r="2" spans="1:14">
      <c r="A2" s="563" t="s">
        <v>582</v>
      </c>
    </row>
    <row r="3" spans="1:14" ht="13.5" thickBot="1">
      <c r="D3" s="567" t="s">
        <v>583</v>
      </c>
      <c r="E3" s="567"/>
      <c r="F3" s="567" t="s">
        <v>584</v>
      </c>
      <c r="G3" s="567" t="s">
        <v>589</v>
      </c>
    </row>
    <row r="4" spans="1:14">
      <c r="A4" s="579" t="s">
        <v>506</v>
      </c>
      <c r="B4" s="580"/>
      <c r="C4" s="580"/>
      <c r="D4" s="581" t="e">
        <f>'09.2015 CB Power Supply'!#REF!</f>
        <v>#REF!</v>
      </c>
      <c r="E4" s="581"/>
      <c r="F4" s="581">
        <f>'PF Power Supply 09.2015 load'!F43</f>
        <v>0</v>
      </c>
      <c r="G4" s="581" t="e">
        <f>F4-D4</f>
        <v>#REF!</v>
      </c>
      <c r="H4" s="582" t="s">
        <v>585</v>
      </c>
      <c r="I4" s="583"/>
      <c r="J4" s="583"/>
      <c r="K4" s="583"/>
      <c r="L4" s="583"/>
      <c r="M4" s="583"/>
      <c r="N4" s="583"/>
    </row>
    <row r="5" spans="1:14" ht="13.5" thickBot="1">
      <c r="A5" s="584" t="s">
        <v>507</v>
      </c>
      <c r="B5" s="585"/>
      <c r="C5" s="585"/>
      <c r="D5" s="586" t="e">
        <f>'09.2015 CB Power Supply'!#REF!</f>
        <v>#REF!</v>
      </c>
      <c r="E5" s="586"/>
      <c r="F5" s="586">
        <f>'PF Power Supply 09.2015 load'!F44</f>
        <v>0</v>
      </c>
      <c r="G5" s="586" t="e">
        <f>F5-D5</f>
        <v>#REF!</v>
      </c>
      <c r="H5" s="587" t="s">
        <v>585</v>
      </c>
      <c r="I5" s="583"/>
      <c r="J5" s="583"/>
      <c r="K5" s="583"/>
      <c r="L5" s="583"/>
      <c r="M5" s="583"/>
      <c r="N5" s="583"/>
    </row>
    <row r="6" spans="1:14">
      <c r="A6" s="550"/>
      <c r="B6" s="550"/>
      <c r="C6" s="550"/>
      <c r="D6" s="58" t="e">
        <f>SUM(D4:D5)</f>
        <v>#REF!</v>
      </c>
      <c r="E6" s="550"/>
      <c r="F6" s="58">
        <f>SUM(F4:F5)</f>
        <v>0</v>
      </c>
      <c r="G6" s="566" t="e">
        <f>F6-D6</f>
        <v>#REF!</v>
      </c>
    </row>
    <row r="7" spans="1:14">
      <c r="H7" s="565"/>
    </row>
    <row r="8" spans="1:14">
      <c r="C8" s="564" t="s">
        <v>586</v>
      </c>
      <c r="D8" s="568" t="e">
        <f>100%+'Cost Trends'!#REF!</f>
        <v>#REF!</v>
      </c>
      <c r="H8" s="565"/>
    </row>
    <row r="9" spans="1:14">
      <c r="H9" s="588" t="s">
        <v>588</v>
      </c>
      <c r="I9" s="589"/>
      <c r="J9" s="589"/>
      <c r="K9" s="589"/>
      <c r="L9" s="589"/>
      <c r="M9" s="589"/>
    </row>
    <row r="10" spans="1:14">
      <c r="C10" s="564" t="s">
        <v>587</v>
      </c>
      <c r="D10" s="569" t="e">
        <f>D6*D8</f>
        <v>#REF!</v>
      </c>
      <c r="F10" s="570">
        <f>F6</f>
        <v>0</v>
      </c>
      <c r="H10" s="590" t="e">
        <f>F10-D10</f>
        <v>#REF!</v>
      </c>
      <c r="I10" s="589"/>
      <c r="J10" s="591"/>
      <c r="K10" s="589"/>
      <c r="L10" s="589"/>
      <c r="M10" s="589"/>
    </row>
    <row r="11" spans="1:14">
      <c r="H11" s="565"/>
    </row>
    <row r="12" spans="1:14">
      <c r="H12" s="565"/>
    </row>
    <row r="13" spans="1:14">
      <c r="H13" s="565"/>
    </row>
    <row r="14" spans="1:14">
      <c r="H14" s="565"/>
    </row>
  </sheetData>
  <pageMargins left="0.7" right="0.7" top="0.75" bottom="0.75" header="0.3" footer="0.3"/>
  <pageSetup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5"/>
  <sheetViews>
    <sheetView zoomScaleNormal="100" workbookViewId="0">
      <selection activeCell="H5" sqref="H5"/>
    </sheetView>
  </sheetViews>
  <sheetFormatPr defaultColWidth="9.140625" defaultRowHeight="12.75"/>
  <cols>
    <col min="1" max="1" width="22.140625" style="13" customWidth="1"/>
    <col min="2" max="2" width="9.140625" style="13"/>
    <col min="3" max="3" width="11.28515625" style="13" customWidth="1"/>
    <col min="4" max="4" width="9.85546875" style="13" customWidth="1"/>
    <col min="5" max="5" width="8" style="13" customWidth="1"/>
    <col min="6" max="6" width="12.140625" style="13" customWidth="1"/>
    <col min="7" max="7" width="3.7109375" style="13" customWidth="1"/>
    <col min="8" max="8" width="8" style="13" customWidth="1"/>
    <col min="9" max="16384" width="9.140625" style="13"/>
  </cols>
  <sheetData>
    <row r="1" spans="1:11">
      <c r="A1" s="53" t="s">
        <v>6</v>
      </c>
      <c r="B1" s="53"/>
      <c r="C1" s="53"/>
      <c r="D1" s="53"/>
      <c r="E1" s="53"/>
      <c r="F1" s="53"/>
      <c r="G1" s="53"/>
      <c r="H1" s="53"/>
    </row>
    <row r="2" spans="1:11">
      <c r="A2" s="53" t="s">
        <v>125</v>
      </c>
      <c r="B2" s="53"/>
      <c r="C2" s="53"/>
      <c r="D2" s="53"/>
      <c r="E2" s="53"/>
      <c r="F2" s="53"/>
      <c r="G2" s="53"/>
      <c r="H2" s="53"/>
    </row>
    <row r="3" spans="1:11">
      <c r="A3" s="54" t="s">
        <v>641</v>
      </c>
      <c r="B3" s="53"/>
      <c r="C3" s="53"/>
      <c r="D3" s="53"/>
      <c r="E3" s="53"/>
      <c r="F3" s="53"/>
      <c r="G3" s="53"/>
      <c r="H3" s="53"/>
    </row>
    <row r="4" spans="1:11">
      <c r="G4" s="70"/>
    </row>
    <row r="5" spans="1:11">
      <c r="C5" s="677"/>
      <c r="D5" s="678" t="s">
        <v>640</v>
      </c>
      <c r="E5" s="677"/>
      <c r="G5" s="70"/>
      <c r="H5" s="111"/>
    </row>
    <row r="6" spans="1:11">
      <c r="D6" s="55" t="s">
        <v>88</v>
      </c>
      <c r="E6" s="55"/>
      <c r="F6" s="55" t="s">
        <v>8</v>
      </c>
      <c r="G6" s="70"/>
    </row>
    <row r="7" spans="1:11">
      <c r="D7" s="55" t="s">
        <v>87</v>
      </c>
      <c r="E7" s="55"/>
      <c r="F7" s="55" t="s">
        <v>5</v>
      </c>
      <c r="G7" s="70"/>
    </row>
    <row r="8" spans="1:11">
      <c r="D8" s="56" t="s">
        <v>97</v>
      </c>
      <c r="E8" s="56"/>
      <c r="F8" s="56" t="s">
        <v>126</v>
      </c>
      <c r="G8" s="71"/>
    </row>
    <row r="9" spans="1:11">
      <c r="A9" s="13" t="s">
        <v>9</v>
      </c>
      <c r="E9" s="1"/>
      <c r="F9" s="574">
        <v>0.64710000000000001</v>
      </c>
      <c r="G9" s="72"/>
      <c r="H9" s="183"/>
      <c r="K9" s="183"/>
    </row>
    <row r="10" spans="1:11">
      <c r="G10" s="70"/>
    </row>
    <row r="11" spans="1:11">
      <c r="A11" s="13" t="s">
        <v>10</v>
      </c>
      <c r="D11" s="57">
        <v>57504</v>
      </c>
      <c r="E11" s="57"/>
      <c r="F11" s="57">
        <f>F$9*D11</f>
        <v>37210.838400000001</v>
      </c>
      <c r="G11" s="63"/>
      <c r="H11" s="57"/>
    </row>
    <row r="12" spans="1:11">
      <c r="A12" s="13" t="s">
        <v>11</v>
      </c>
      <c r="D12" s="58">
        <v>466</v>
      </c>
      <c r="E12" s="58"/>
      <c r="F12" s="58">
        <f>F$9*D12</f>
        <v>301.54860000000002</v>
      </c>
      <c r="G12" s="60"/>
      <c r="H12" s="57"/>
    </row>
    <row r="13" spans="1:11">
      <c r="A13" s="13" t="s">
        <v>12</v>
      </c>
      <c r="D13" s="58">
        <v>0</v>
      </c>
      <c r="E13" s="58"/>
      <c r="F13" s="58">
        <f>F$9*D13</f>
        <v>0</v>
      </c>
      <c r="G13" s="60"/>
      <c r="H13" s="57"/>
    </row>
    <row r="14" spans="1:11" s="336" customFormat="1">
      <c r="A14" s="481" t="s">
        <v>391</v>
      </c>
      <c r="B14" s="481"/>
      <c r="C14" s="481" t="s">
        <v>97</v>
      </c>
      <c r="D14" s="505">
        <f>16428-D15-D16</f>
        <v>16428</v>
      </c>
      <c r="E14" s="58"/>
      <c r="F14" s="58">
        <f>F$9*D14</f>
        <v>10630.558800000001</v>
      </c>
      <c r="G14" s="60"/>
      <c r="H14" s="534"/>
    </row>
    <row r="15" spans="1:11" s="481" customFormat="1">
      <c r="A15" s="481" t="s">
        <v>391</v>
      </c>
      <c r="C15" s="481" t="s">
        <v>491</v>
      </c>
      <c r="D15" s="505">
        <v>0</v>
      </c>
      <c r="E15" s="58"/>
      <c r="F15" s="60">
        <f>D15</f>
        <v>0</v>
      </c>
      <c r="G15" s="60"/>
      <c r="H15" s="535"/>
    </row>
    <row r="16" spans="1:11" s="481" customFormat="1">
      <c r="A16" s="481" t="s">
        <v>391</v>
      </c>
      <c r="C16" s="481" t="s">
        <v>492</v>
      </c>
      <c r="D16" s="505">
        <v>0</v>
      </c>
      <c r="E16" s="58"/>
      <c r="F16" s="60">
        <v>0</v>
      </c>
      <c r="G16" s="60"/>
      <c r="H16" s="535"/>
    </row>
    <row r="17" spans="1:8">
      <c r="A17" s="13" t="s">
        <v>13</v>
      </c>
      <c r="D17" s="58">
        <v>0</v>
      </c>
      <c r="E17" s="58"/>
      <c r="F17" s="58">
        <f>F$9*D17</f>
        <v>0</v>
      </c>
      <c r="G17" s="60"/>
      <c r="H17" s="57"/>
    </row>
    <row r="18" spans="1:8">
      <c r="A18" s="13" t="s">
        <v>127</v>
      </c>
      <c r="D18" s="59">
        <v>0</v>
      </c>
      <c r="E18" s="60"/>
      <c r="F18" s="59">
        <f>D18</f>
        <v>0</v>
      </c>
      <c r="G18" s="60"/>
      <c r="H18" s="57"/>
    </row>
    <row r="19" spans="1:8">
      <c r="A19" s="13" t="s">
        <v>14</v>
      </c>
      <c r="D19" s="58">
        <f>SUM(D11:D18)</f>
        <v>74398</v>
      </c>
      <c r="E19" s="60"/>
      <c r="F19" s="58">
        <f>SUM(F11:F18)</f>
        <v>48142.945800000001</v>
      </c>
      <c r="G19" s="60"/>
      <c r="H19" s="57"/>
    </row>
    <row r="20" spans="1:8">
      <c r="D20" s="58"/>
      <c r="E20" s="60"/>
      <c r="F20" s="58"/>
      <c r="G20" s="60"/>
      <c r="H20" s="57"/>
    </row>
    <row r="21" spans="1:8">
      <c r="D21" s="58"/>
      <c r="E21" s="60"/>
      <c r="F21" s="58"/>
      <c r="G21" s="60"/>
      <c r="H21" s="57"/>
    </row>
    <row r="22" spans="1:8">
      <c r="A22" s="13" t="s">
        <v>15</v>
      </c>
      <c r="D22" s="58">
        <v>29225</v>
      </c>
      <c r="E22" s="60"/>
      <c r="F22" s="58">
        <f t="shared" ref="F22:F30" si="0">F$9*D22</f>
        <v>18911.497500000001</v>
      </c>
      <c r="G22" s="60"/>
      <c r="H22" s="57"/>
    </row>
    <row r="23" spans="1:8">
      <c r="A23" s="13" t="s">
        <v>16</v>
      </c>
      <c r="D23" s="58">
        <v>0</v>
      </c>
      <c r="E23" s="60"/>
      <c r="F23" s="58">
        <f t="shared" si="0"/>
        <v>0</v>
      </c>
      <c r="G23" s="60"/>
      <c r="H23" s="57"/>
    </row>
    <row r="24" spans="1:8">
      <c r="A24" s="13" t="s">
        <v>17</v>
      </c>
      <c r="D24" s="58">
        <v>76583</v>
      </c>
      <c r="E24" s="60"/>
      <c r="F24" s="58">
        <f t="shared" si="0"/>
        <v>49556.859300000004</v>
      </c>
      <c r="G24" s="60"/>
      <c r="H24" s="57"/>
    </row>
    <row r="25" spans="1:8">
      <c r="A25" s="13" t="s">
        <v>18</v>
      </c>
      <c r="D25" s="58">
        <v>1029</v>
      </c>
      <c r="E25" s="60"/>
      <c r="F25" s="58">
        <f t="shared" si="0"/>
        <v>665.86590000000001</v>
      </c>
      <c r="G25" s="60"/>
      <c r="H25" s="57"/>
    </row>
    <row r="26" spans="1:8">
      <c r="A26" s="13" t="s">
        <v>19</v>
      </c>
      <c r="D26" s="58">
        <v>109783</v>
      </c>
      <c r="E26" s="60"/>
      <c r="F26" s="58">
        <f t="shared" si="0"/>
        <v>71040.579299999998</v>
      </c>
      <c r="G26" s="60"/>
      <c r="H26" s="57"/>
    </row>
    <row r="27" spans="1:8">
      <c r="A27" s="13" t="s">
        <v>20</v>
      </c>
      <c r="D27" s="58">
        <v>0</v>
      </c>
      <c r="E27" s="60"/>
      <c r="F27" s="250">
        <v>0</v>
      </c>
      <c r="G27" s="60"/>
    </row>
    <row r="28" spans="1:8">
      <c r="A28" s="13" t="s">
        <v>21</v>
      </c>
      <c r="D28" s="58">
        <v>0</v>
      </c>
      <c r="E28" s="60"/>
      <c r="F28" s="58">
        <f t="shared" si="0"/>
        <v>0</v>
      </c>
      <c r="G28" s="60"/>
      <c r="H28" s="57"/>
    </row>
    <row r="29" spans="1:8">
      <c r="A29" s="13" t="s">
        <v>22</v>
      </c>
      <c r="D29" s="58">
        <v>0</v>
      </c>
      <c r="E29" s="60"/>
      <c r="F29" s="58">
        <f t="shared" si="0"/>
        <v>0</v>
      </c>
      <c r="G29" s="60"/>
      <c r="H29" s="57"/>
    </row>
    <row r="30" spans="1:8">
      <c r="A30" s="13" t="s">
        <v>23</v>
      </c>
      <c r="D30" s="58">
        <v>407</v>
      </c>
      <c r="E30" s="60"/>
      <c r="F30" s="58">
        <f t="shared" si="0"/>
        <v>263.36970000000002</v>
      </c>
      <c r="G30" s="60"/>
      <c r="H30" s="57"/>
    </row>
    <row r="31" spans="1:8">
      <c r="A31" s="571" t="s">
        <v>593</v>
      </c>
      <c r="D31" s="58">
        <v>0</v>
      </c>
      <c r="E31" s="60"/>
      <c r="F31" s="250">
        <v>0</v>
      </c>
      <c r="G31" s="60"/>
      <c r="H31" s="676"/>
    </row>
    <row r="32" spans="1:8">
      <c r="A32" s="13" t="s">
        <v>24</v>
      </c>
      <c r="D32" s="58">
        <v>17766</v>
      </c>
      <c r="E32" s="60"/>
      <c r="F32" s="58">
        <f>F$9*D32</f>
        <v>11496.3786</v>
      </c>
      <c r="G32" s="60"/>
      <c r="H32" s="57"/>
    </row>
    <row r="33" spans="1:8">
      <c r="A33" s="13" t="s">
        <v>25</v>
      </c>
      <c r="D33" s="61">
        <f>SUM(D22:D32)</f>
        <v>234793</v>
      </c>
      <c r="E33" s="60"/>
      <c r="F33" s="61">
        <f>SUM(F22:F32)</f>
        <v>151934.55030000003</v>
      </c>
      <c r="G33" s="60"/>
      <c r="H33" s="57"/>
    </row>
    <row r="34" spans="1:8">
      <c r="G34" s="70"/>
      <c r="H34" s="57"/>
    </row>
    <row r="35" spans="1:8">
      <c r="A35" s="13" t="s">
        <v>26</v>
      </c>
      <c r="D35" s="58">
        <f>D19-D33</f>
        <v>-160395</v>
      </c>
      <c r="E35" s="58"/>
      <c r="F35" s="58">
        <f>F19-F33</f>
        <v>-103791.60450000003</v>
      </c>
      <c r="G35" s="60"/>
      <c r="H35" s="57"/>
    </row>
    <row r="36" spans="1:8">
      <c r="E36" s="58"/>
      <c r="F36" s="58"/>
      <c r="G36" s="58"/>
    </row>
    <row r="37" spans="1:8">
      <c r="A37" s="13" t="s">
        <v>27</v>
      </c>
      <c r="C37" s="62">
        <v>0.35</v>
      </c>
      <c r="E37" s="63"/>
      <c r="F37" s="59">
        <f>C37*F35</f>
        <v>-36327.061575000007</v>
      </c>
      <c r="G37" s="57"/>
    </row>
    <row r="38" spans="1:8">
      <c r="E38" s="63"/>
      <c r="F38" s="57"/>
      <c r="G38" s="57"/>
    </row>
    <row r="39" spans="1:8">
      <c r="A39" s="13" t="s">
        <v>28</v>
      </c>
      <c r="E39" s="58"/>
      <c r="F39" s="57">
        <f>F35-F37-1</f>
        <v>-67465.542925000016</v>
      </c>
      <c r="G39" s="58"/>
    </row>
    <row r="40" spans="1:8">
      <c r="E40" s="58"/>
      <c r="F40" s="58"/>
      <c r="G40" s="58"/>
    </row>
    <row r="41" spans="1:8">
      <c r="A41" s="73"/>
    </row>
    <row r="42" spans="1:8">
      <c r="A42" s="73"/>
    </row>
    <row r="43" spans="1:8" s="16" customFormat="1">
      <c r="D43" s="250"/>
      <c r="E43" s="339"/>
      <c r="F43" s="250"/>
      <c r="G43" s="339"/>
      <c r="H43" s="676"/>
    </row>
    <row r="44" spans="1:8" s="16" customFormat="1">
      <c r="D44" s="250"/>
      <c r="E44" s="339"/>
      <c r="F44" s="250"/>
      <c r="G44" s="339"/>
      <c r="H44" s="676"/>
    </row>
    <row r="45" spans="1:8" s="16" customFormat="1"/>
  </sheetData>
  <phoneticPr fontId="54" type="noConversion"/>
  <pageMargins left="1.05" right="0.34" top="0.75" bottom="0.77" header="0.5" footer="0.52"/>
  <pageSetup orientation="portrait" r:id="rId1"/>
  <headerFooter alignWithMargins="0">
    <oddFooter>&amp;LStaff_DR_059
Staff_DR_130-Attachment 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2"/>
  <sheetViews>
    <sheetView zoomScaleNormal="100" workbookViewId="0">
      <selection activeCell="N19" sqref="N19"/>
    </sheetView>
  </sheetViews>
  <sheetFormatPr defaultColWidth="9.140625" defaultRowHeight="12.75"/>
  <cols>
    <col min="1" max="1" width="22.140625" style="452" customWidth="1"/>
    <col min="2" max="2" width="10.42578125" style="452" customWidth="1"/>
    <col min="3" max="3" width="10.28515625" style="452" customWidth="1"/>
    <col min="4" max="4" width="9.85546875" style="452" customWidth="1"/>
    <col min="5" max="5" width="8" style="452" customWidth="1"/>
    <col min="6" max="6" width="12.140625" style="452" customWidth="1"/>
    <col min="7" max="7" width="3.7109375" style="452" customWidth="1"/>
    <col min="8" max="8" width="4.85546875" style="452" customWidth="1"/>
    <col min="9" max="16384" width="9.140625" style="452"/>
  </cols>
  <sheetData>
    <row r="1" spans="1:8">
      <c r="A1" s="53" t="s">
        <v>6</v>
      </c>
      <c r="B1" s="53"/>
      <c r="C1" s="53"/>
      <c r="D1" s="53"/>
      <c r="E1" s="53"/>
      <c r="F1" s="53"/>
      <c r="G1" s="53"/>
      <c r="H1" s="53"/>
    </row>
    <row r="2" spans="1:8">
      <c r="A2" s="53" t="s">
        <v>125</v>
      </c>
      <c r="B2" s="53"/>
      <c r="C2" s="53"/>
      <c r="D2" s="53"/>
      <c r="E2" s="53"/>
      <c r="F2" s="53"/>
      <c r="G2" s="53"/>
      <c r="H2" s="53"/>
    </row>
    <row r="3" spans="1:8">
      <c r="A3" s="54" t="s">
        <v>712</v>
      </c>
      <c r="B3" s="53"/>
      <c r="C3" s="53"/>
      <c r="D3" s="53"/>
      <c r="E3" s="53"/>
      <c r="F3" s="53"/>
      <c r="G3" s="53"/>
      <c r="H3" s="53"/>
    </row>
    <row r="4" spans="1:8">
      <c r="G4" s="70"/>
    </row>
    <row r="5" spans="1:8">
      <c r="D5" s="507" t="s">
        <v>578</v>
      </c>
      <c r="G5" s="70"/>
      <c r="H5" s="533"/>
    </row>
    <row r="6" spans="1:8">
      <c r="D6" s="248" t="s">
        <v>88</v>
      </c>
      <c r="E6" s="454"/>
      <c r="F6" s="454" t="s">
        <v>8</v>
      </c>
      <c r="G6" s="70"/>
      <c r="H6" s="885"/>
    </row>
    <row r="7" spans="1:8">
      <c r="D7" s="248" t="s">
        <v>87</v>
      </c>
      <c r="E7" s="454"/>
      <c r="F7" s="454" t="s">
        <v>5</v>
      </c>
      <c r="G7" s="70"/>
    </row>
    <row r="8" spans="1:8">
      <c r="D8" s="536" t="s">
        <v>97</v>
      </c>
      <c r="E8" s="56"/>
      <c r="F8" s="56" t="s">
        <v>126</v>
      </c>
      <c r="G8" s="71"/>
    </row>
    <row r="9" spans="1:8">
      <c r="A9" s="452" t="s">
        <v>9</v>
      </c>
      <c r="D9" s="16"/>
      <c r="E9" s="1"/>
      <c r="F9" s="574">
        <v>0.64710000000000001</v>
      </c>
      <c r="G9" s="72"/>
    </row>
    <row r="10" spans="1:8">
      <c r="D10" s="16"/>
      <c r="G10" s="70"/>
    </row>
    <row r="11" spans="1:8">
      <c r="A11" s="452" t="s">
        <v>10</v>
      </c>
      <c r="D11" s="577">
        <v>53658</v>
      </c>
      <c r="E11" s="57"/>
      <c r="F11" s="57">
        <f>F$9*D11</f>
        <v>34722.091800000002</v>
      </c>
      <c r="G11" s="63"/>
      <c r="H11" s="57"/>
    </row>
    <row r="12" spans="1:8">
      <c r="A12" s="452" t="s">
        <v>11</v>
      </c>
      <c r="D12" s="58">
        <v>466</v>
      </c>
      <c r="E12" s="58"/>
      <c r="F12" s="58">
        <f>F$9*D12</f>
        <v>301.54860000000002</v>
      </c>
      <c r="G12" s="60"/>
      <c r="H12" s="57"/>
    </row>
    <row r="13" spans="1:8">
      <c r="A13" s="452" t="s">
        <v>12</v>
      </c>
      <c r="D13" s="58">
        <v>0</v>
      </c>
      <c r="E13" s="58"/>
      <c r="F13" s="58">
        <f>F$9*D13</f>
        <v>0</v>
      </c>
      <c r="G13" s="60"/>
      <c r="H13" s="57"/>
    </row>
    <row r="14" spans="1:8">
      <c r="A14" s="481" t="s">
        <v>391</v>
      </c>
      <c r="B14" s="481"/>
      <c r="C14" s="481" t="s">
        <v>97</v>
      </c>
      <c r="D14" s="505">
        <f>16428-D15-D16</f>
        <v>16428</v>
      </c>
      <c r="E14" s="58"/>
      <c r="F14" s="58">
        <f>F$9*D14</f>
        <v>10630.558800000001</v>
      </c>
      <c r="G14" s="60"/>
      <c r="H14" s="57"/>
    </row>
    <row r="15" spans="1:8" s="481" customFormat="1">
      <c r="A15" s="481" t="s">
        <v>391</v>
      </c>
      <c r="C15" s="481" t="s">
        <v>491</v>
      </c>
      <c r="D15" s="505">
        <v>0</v>
      </c>
      <c r="E15" s="58"/>
      <c r="F15" s="60">
        <f>D15</f>
        <v>0</v>
      </c>
      <c r="G15" s="60"/>
      <c r="H15" s="57"/>
    </row>
    <row r="16" spans="1:8" s="481" customFormat="1">
      <c r="A16" s="481" t="s">
        <v>391</v>
      </c>
      <c r="C16" s="481" t="s">
        <v>492</v>
      </c>
      <c r="D16" s="505">
        <v>0</v>
      </c>
      <c r="E16" s="58"/>
      <c r="F16" s="60">
        <v>0</v>
      </c>
      <c r="G16" s="60"/>
      <c r="H16" s="57"/>
    </row>
    <row r="17" spans="1:8">
      <c r="A17" s="452" t="s">
        <v>13</v>
      </c>
      <c r="D17" s="250">
        <v>0</v>
      </c>
      <c r="E17" s="58"/>
      <c r="F17" s="58">
        <f>F$9*D17</f>
        <v>0</v>
      </c>
      <c r="G17" s="60"/>
      <c r="H17" s="57"/>
    </row>
    <row r="18" spans="1:8">
      <c r="A18" s="452" t="s">
        <v>127</v>
      </c>
      <c r="D18" s="251">
        <v>0</v>
      </c>
      <c r="E18" s="60"/>
      <c r="F18" s="59">
        <f>D18</f>
        <v>0</v>
      </c>
      <c r="G18" s="60"/>
      <c r="H18" s="57"/>
    </row>
    <row r="19" spans="1:8">
      <c r="A19" s="452" t="s">
        <v>14</v>
      </c>
      <c r="D19" s="250">
        <f>SUM(D11:D18)</f>
        <v>70552</v>
      </c>
      <c r="E19" s="60"/>
      <c r="F19" s="58">
        <f>SUM(F11:F18)</f>
        <v>45654.199200000003</v>
      </c>
      <c r="G19" s="60"/>
      <c r="H19" s="57"/>
    </row>
    <row r="20" spans="1:8">
      <c r="D20" s="250"/>
      <c r="E20" s="60"/>
      <c r="F20" s="58"/>
      <c r="G20" s="60"/>
      <c r="H20" s="57"/>
    </row>
    <row r="21" spans="1:8">
      <c r="D21" s="250"/>
      <c r="E21" s="60"/>
      <c r="F21" s="58"/>
      <c r="G21" s="60"/>
      <c r="H21" s="249"/>
    </row>
    <row r="22" spans="1:8">
      <c r="A22" s="452" t="s">
        <v>15</v>
      </c>
      <c r="D22" s="58">
        <v>29225</v>
      </c>
      <c r="E22" s="60"/>
      <c r="F22" s="58">
        <f>F$9*D22</f>
        <v>18911.497500000001</v>
      </c>
      <c r="G22" s="60"/>
      <c r="H22" s="249"/>
    </row>
    <row r="23" spans="1:8">
      <c r="A23" s="452" t="s">
        <v>16</v>
      </c>
      <c r="D23" s="58">
        <v>0</v>
      </c>
      <c r="E23" s="60"/>
      <c r="F23" s="58">
        <f t="shared" ref="F23:F30" si="0">F$9*D23</f>
        <v>0</v>
      </c>
      <c r="G23" s="60"/>
      <c r="H23" s="249"/>
    </row>
    <row r="24" spans="1:8">
      <c r="A24" s="452" t="s">
        <v>17</v>
      </c>
      <c r="D24" s="58">
        <v>76583</v>
      </c>
      <c r="E24" s="60"/>
      <c r="F24" s="58">
        <f t="shared" si="0"/>
        <v>49556.859300000004</v>
      </c>
      <c r="G24" s="60"/>
      <c r="H24" s="249"/>
    </row>
    <row r="25" spans="1:8">
      <c r="A25" s="452" t="s">
        <v>18</v>
      </c>
      <c r="D25" s="58">
        <v>1029</v>
      </c>
      <c r="E25" s="60"/>
      <c r="F25" s="58">
        <f t="shared" si="0"/>
        <v>665.86590000000001</v>
      </c>
      <c r="G25" s="60"/>
      <c r="H25" s="249"/>
    </row>
    <row r="26" spans="1:8">
      <c r="A26" s="452" t="s">
        <v>19</v>
      </c>
      <c r="D26" s="575">
        <v>111068</v>
      </c>
      <c r="E26" s="60"/>
      <c r="F26" s="58">
        <f>F$9*D26</f>
        <v>71872.102800000008</v>
      </c>
      <c r="G26" s="60"/>
      <c r="H26" s="249"/>
    </row>
    <row r="27" spans="1:8">
      <c r="A27" s="452" t="s">
        <v>20</v>
      </c>
      <c r="D27" s="58">
        <v>0</v>
      </c>
      <c r="E27" s="60"/>
      <c r="F27" s="250">
        <v>0</v>
      </c>
      <c r="G27" s="60"/>
      <c r="H27" s="16"/>
    </row>
    <row r="28" spans="1:8">
      <c r="A28" s="452" t="s">
        <v>21</v>
      </c>
      <c r="D28" s="58">
        <v>0</v>
      </c>
      <c r="E28" s="60"/>
      <c r="F28" s="58">
        <f t="shared" si="0"/>
        <v>0</v>
      </c>
      <c r="G28" s="60"/>
      <c r="H28" s="249"/>
    </row>
    <row r="29" spans="1:8">
      <c r="A29" s="452" t="s">
        <v>22</v>
      </c>
      <c r="D29" s="58">
        <v>0</v>
      </c>
      <c r="E29" s="60"/>
      <c r="F29" s="58">
        <f t="shared" si="0"/>
        <v>0</v>
      </c>
      <c r="G29" s="60"/>
      <c r="H29" s="249"/>
    </row>
    <row r="30" spans="1:8">
      <c r="A30" s="452" t="s">
        <v>23</v>
      </c>
      <c r="D30" s="58">
        <v>407</v>
      </c>
      <c r="E30" s="60"/>
      <c r="F30" s="58">
        <f t="shared" si="0"/>
        <v>263.36970000000002</v>
      </c>
      <c r="G30" s="60"/>
      <c r="H30" s="249"/>
    </row>
    <row r="31" spans="1:8">
      <c r="A31" s="571" t="s">
        <v>592</v>
      </c>
      <c r="D31" s="58">
        <v>0</v>
      </c>
      <c r="E31" s="60"/>
      <c r="F31" s="250">
        <v>0</v>
      </c>
      <c r="G31" s="60"/>
      <c r="H31" s="676"/>
    </row>
    <row r="32" spans="1:8">
      <c r="A32" s="452" t="s">
        <v>24</v>
      </c>
      <c r="D32" s="58">
        <v>17766</v>
      </c>
      <c r="E32" s="60"/>
      <c r="F32" s="58">
        <f>F$9*D32</f>
        <v>11496.3786</v>
      </c>
      <c r="G32" s="60"/>
      <c r="H32" s="249"/>
    </row>
    <row r="33" spans="1:8">
      <c r="A33" s="452" t="s">
        <v>25</v>
      </c>
      <c r="D33" s="252">
        <f>SUM(D22:D32)</f>
        <v>236078</v>
      </c>
      <c r="E33" s="60"/>
      <c r="F33" s="61">
        <f>SUM(F22:F32)</f>
        <v>152766.07380000004</v>
      </c>
      <c r="G33" s="60"/>
      <c r="H33" s="249"/>
    </row>
    <row r="34" spans="1:8">
      <c r="D34" s="16"/>
      <c r="G34" s="70"/>
      <c r="H34" s="249"/>
    </row>
    <row r="35" spans="1:8">
      <c r="A35" s="452" t="s">
        <v>26</v>
      </c>
      <c r="D35" s="250">
        <f>D19-D33</f>
        <v>-165526</v>
      </c>
      <c r="E35" s="58"/>
      <c r="F35" s="58">
        <f>F19-F33</f>
        <v>-107111.87460000004</v>
      </c>
      <c r="G35" s="60"/>
      <c r="H35" s="249"/>
    </row>
    <row r="36" spans="1:8">
      <c r="D36" s="16"/>
      <c r="E36" s="58"/>
      <c r="F36" s="58"/>
      <c r="G36" s="58"/>
      <c r="H36" s="16"/>
    </row>
    <row r="37" spans="1:8">
      <c r="A37" s="452" t="s">
        <v>27</v>
      </c>
      <c r="C37" s="62">
        <v>0.35</v>
      </c>
      <c r="D37" s="16"/>
      <c r="E37" s="63"/>
      <c r="F37" s="59">
        <f>C37*F35</f>
        <v>-37489.156110000011</v>
      </c>
      <c r="G37" s="57"/>
      <c r="H37" s="16"/>
    </row>
    <row r="38" spans="1:8">
      <c r="D38" s="16"/>
      <c r="E38" s="63"/>
      <c r="F38" s="57"/>
      <c r="G38" s="57"/>
      <c r="H38" s="16"/>
    </row>
    <row r="39" spans="1:8">
      <c r="A39" s="452" t="s">
        <v>28</v>
      </c>
      <c r="D39" s="16"/>
      <c r="E39" s="58"/>
      <c r="F39" s="57">
        <f>F35-F37</f>
        <v>-69622.718490000028</v>
      </c>
      <c r="G39" s="58"/>
      <c r="H39" s="16"/>
    </row>
    <row r="40" spans="1:8">
      <c r="D40" s="16"/>
      <c r="E40" s="58"/>
      <c r="F40" s="58"/>
      <c r="G40" s="58"/>
      <c r="H40" s="16"/>
    </row>
    <row r="41" spans="1:8">
      <c r="A41" s="73"/>
      <c r="D41" s="16"/>
      <c r="H41" s="16"/>
    </row>
    <row r="42" spans="1:8">
      <c r="H42" s="16"/>
    </row>
  </sheetData>
  <pageMargins left="1.05" right="0.34" top="0.75" bottom="0.77" header="0.5" footer="0.52"/>
  <pageSetup orientation="portrait" r:id="rId1"/>
  <headerFooter alignWithMargins="0">
    <oddFooter>&amp;C&amp;F /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7"/>
  <sheetViews>
    <sheetView tabSelected="1" view="pageBreakPreview" zoomScale="130" zoomScaleNormal="100" zoomScaleSheetLayoutView="130" workbookViewId="0">
      <selection activeCell="L10" sqref="L10"/>
    </sheetView>
  </sheetViews>
  <sheetFormatPr defaultRowHeight="12.75"/>
  <cols>
    <col min="1" max="1" width="7" customWidth="1"/>
    <col min="2" max="2" width="2.140625" customWidth="1"/>
    <col min="3" max="3" width="38.140625" customWidth="1"/>
    <col min="4" max="4" width="2.140625" customWidth="1"/>
    <col min="5" max="5" width="0.140625" hidden="1" customWidth="1"/>
    <col min="6" max="6" width="10.5703125" customWidth="1"/>
    <col min="7" max="7" width="13" customWidth="1"/>
    <col min="8" max="8" width="15.5703125" customWidth="1"/>
    <col min="9" max="9" width="6" style="405" customWidth="1"/>
    <col min="10" max="10" width="10.28515625" style="405" bestFit="1" customWidth="1"/>
    <col min="11" max="11" width="9.28515625" bestFit="1" customWidth="1"/>
  </cols>
  <sheetData>
    <row r="1" spans="1:25" s="407" customFormat="1" ht="14.25">
      <c r="A1" s="896"/>
      <c r="B1" s="896"/>
      <c r="C1" s="896"/>
      <c r="D1" s="896"/>
      <c r="E1" s="896"/>
      <c r="F1" s="896"/>
      <c r="G1" s="896"/>
      <c r="H1" s="896"/>
      <c r="I1" s="619"/>
      <c r="J1" s="626"/>
    </row>
    <row r="2" spans="1:25" s="407" customFormat="1" ht="14.25">
      <c r="A2" s="897" t="s">
        <v>737</v>
      </c>
      <c r="B2" s="897"/>
      <c r="C2" s="897"/>
      <c r="D2" s="897"/>
      <c r="E2" s="897"/>
      <c r="F2" s="897"/>
      <c r="G2" s="897"/>
      <c r="H2" s="897"/>
      <c r="I2" s="620"/>
      <c r="J2" s="626"/>
    </row>
    <row r="3" spans="1:25" s="407" customFormat="1" ht="14.25">
      <c r="A3" s="897" t="s">
        <v>630</v>
      </c>
      <c r="B3" s="897"/>
      <c r="C3" s="897"/>
      <c r="D3" s="897"/>
      <c r="E3" s="897"/>
      <c r="F3" s="897"/>
      <c r="G3" s="897"/>
      <c r="H3" s="897"/>
      <c r="I3" s="620"/>
      <c r="J3" s="626"/>
    </row>
    <row r="4" spans="1:25" s="407" customFormat="1" ht="14.25">
      <c r="A4" s="897" t="s">
        <v>461</v>
      </c>
      <c r="B4" s="897"/>
      <c r="C4" s="897"/>
      <c r="D4" s="897"/>
      <c r="E4" s="897"/>
      <c r="F4" s="897"/>
      <c r="G4" s="897"/>
      <c r="H4" s="897"/>
      <c r="I4" s="620"/>
      <c r="J4" s="626"/>
    </row>
    <row r="5" spans="1:25" s="407" customFormat="1" ht="14.25">
      <c r="A5" s="897" t="s">
        <v>633</v>
      </c>
      <c r="B5" s="897"/>
      <c r="C5" s="897"/>
      <c r="D5" s="897"/>
      <c r="E5" s="897"/>
      <c r="F5" s="897"/>
      <c r="G5" s="897"/>
      <c r="H5" s="897"/>
      <c r="I5" s="620"/>
      <c r="J5" s="626"/>
    </row>
    <row r="6" spans="1:25" s="407" customFormat="1" ht="14.25">
      <c r="A6" s="896" t="s">
        <v>463</v>
      </c>
      <c r="B6" s="896"/>
      <c r="C6" s="896"/>
      <c r="D6" s="896"/>
      <c r="E6" s="896"/>
      <c r="F6" s="896"/>
      <c r="G6" s="896"/>
      <c r="H6" s="896"/>
      <c r="I6" s="620"/>
      <c r="J6" s="626"/>
    </row>
    <row r="7" spans="1:25">
      <c r="A7" s="406"/>
      <c r="B7" s="406"/>
      <c r="C7" s="406"/>
      <c r="D7" s="406"/>
      <c r="E7" s="406"/>
      <c r="F7" s="406"/>
      <c r="G7" s="406"/>
      <c r="H7" s="406"/>
    </row>
    <row r="8" spans="1:25">
      <c r="A8" s="389"/>
      <c r="B8" s="389"/>
      <c r="C8" s="389"/>
      <c r="D8" s="389"/>
      <c r="E8" s="389"/>
      <c r="F8" s="406" t="s">
        <v>464</v>
      </c>
      <c r="G8" s="406" t="s">
        <v>465</v>
      </c>
      <c r="H8" s="406" t="s">
        <v>466</v>
      </c>
      <c r="I8" s="621"/>
    </row>
    <row r="9" spans="1:25" ht="13.15" customHeight="1">
      <c r="A9" s="900" t="s">
        <v>472</v>
      </c>
      <c r="B9" s="902"/>
      <c r="C9" s="907" t="s">
        <v>397</v>
      </c>
      <c r="D9" s="898"/>
      <c r="E9" s="348"/>
      <c r="F9" s="900" t="s">
        <v>611</v>
      </c>
      <c r="G9" s="900" t="s">
        <v>115</v>
      </c>
      <c r="H9" s="900" t="s">
        <v>612</v>
      </c>
      <c r="I9" s="905"/>
    </row>
    <row r="10" spans="1:25" ht="24.75" customHeight="1">
      <c r="A10" s="901"/>
      <c r="B10" s="899"/>
      <c r="C10" s="901"/>
      <c r="D10" s="899"/>
      <c r="E10" s="351"/>
      <c r="F10" s="901"/>
      <c r="G10" s="901"/>
      <c r="H10" s="904"/>
      <c r="I10" s="906"/>
    </row>
    <row r="11" spans="1:25">
      <c r="A11" s="346"/>
      <c r="B11" s="346"/>
      <c r="C11" s="346"/>
      <c r="D11" s="346"/>
      <c r="E11" s="346"/>
      <c r="F11" s="346"/>
      <c r="G11" s="346"/>
      <c r="H11" s="346"/>
      <c r="I11" s="622"/>
    </row>
    <row r="12" spans="1:25">
      <c r="A12" s="353">
        <v>1</v>
      </c>
      <c r="B12" s="346"/>
      <c r="C12" s="346" t="s">
        <v>629</v>
      </c>
      <c r="D12" s="346"/>
      <c r="E12" s="346"/>
      <c r="F12" s="390">
        <f>'Attrition 09.2015 to 2017'!V79</f>
        <v>1498535.8259268887</v>
      </c>
      <c r="G12" s="400">
        <f>'Attrition 09.2015 to 2017'!V90</f>
        <v>1.0156316663816041</v>
      </c>
      <c r="H12" s="392">
        <f>F12/G12</f>
        <v>1475471.7438712104</v>
      </c>
      <c r="I12" s="622"/>
    </row>
    <row r="13" spans="1:25">
      <c r="A13" s="353"/>
      <c r="B13" s="346"/>
      <c r="C13" s="346"/>
      <c r="D13" s="346"/>
      <c r="E13" s="346"/>
      <c r="F13" s="390"/>
      <c r="G13" s="390"/>
      <c r="H13" s="390"/>
      <c r="I13" s="622"/>
    </row>
    <row r="14" spans="1:25">
      <c r="A14" s="353">
        <v>2</v>
      </c>
      <c r="B14" s="346"/>
      <c r="C14" s="346" t="s">
        <v>276</v>
      </c>
      <c r="D14" s="346"/>
      <c r="E14" s="346"/>
      <c r="F14" s="397"/>
      <c r="G14" s="391"/>
      <c r="H14" s="628">
        <f>ROR!F15</f>
        <v>7.6399999999999996E-2</v>
      </c>
      <c r="I14" s="622"/>
    </row>
    <row r="15" spans="1:25">
      <c r="A15" s="353"/>
      <c r="B15" s="346"/>
      <c r="C15" s="346"/>
      <c r="D15" s="346"/>
      <c r="E15" s="346"/>
      <c r="F15" s="391"/>
      <c r="G15" s="391"/>
      <c r="H15" s="391"/>
      <c r="I15" s="622"/>
    </row>
    <row r="16" spans="1:25">
      <c r="A16" s="353">
        <v>3</v>
      </c>
      <c r="B16" s="346"/>
      <c r="C16" s="402" t="s">
        <v>462</v>
      </c>
      <c r="D16" s="402"/>
      <c r="E16" s="402"/>
      <c r="F16" s="610"/>
      <c r="G16" s="394"/>
      <c r="H16" s="610">
        <f>ROUND(H12*H14,0)</f>
        <v>112726</v>
      </c>
      <c r="I16" s="612"/>
      <c r="Y16">
        <v>27986</v>
      </c>
    </row>
    <row r="17" spans="1:25">
      <c r="A17" s="353"/>
      <c r="B17" s="346"/>
      <c r="C17" s="346"/>
      <c r="D17" s="346"/>
      <c r="E17" s="346"/>
      <c r="F17" s="390"/>
      <c r="G17" s="390"/>
      <c r="H17" s="390"/>
      <c r="I17" s="612"/>
      <c r="Y17">
        <v>4831</v>
      </c>
    </row>
    <row r="18" spans="1:25">
      <c r="A18" s="353">
        <v>4</v>
      </c>
      <c r="B18" s="346"/>
      <c r="C18" s="346" t="s">
        <v>713</v>
      </c>
      <c r="D18" s="346"/>
      <c r="E18" s="346"/>
      <c r="F18" s="393">
        <f>'Attrition 09.2015 to 2017'!V54</f>
        <v>90207.429030980216</v>
      </c>
      <c r="G18" s="401">
        <f>G12</f>
        <v>1.0156316663816041</v>
      </c>
      <c r="H18" s="393">
        <f>F18/G18</f>
        <v>88819.039438148538</v>
      </c>
      <c r="I18" s="612"/>
    </row>
    <row r="19" spans="1:25" s="473" customFormat="1">
      <c r="A19" s="353"/>
      <c r="B19" s="346"/>
      <c r="C19" s="346"/>
      <c r="D19" s="346"/>
      <c r="E19" s="346"/>
      <c r="F19" s="394"/>
      <c r="G19" s="401"/>
      <c r="H19" s="394"/>
      <c r="I19" s="612"/>
      <c r="J19" s="405"/>
    </row>
    <row r="20" spans="1:25" s="473" customFormat="1">
      <c r="A20" s="353">
        <v>5</v>
      </c>
      <c r="B20" s="346"/>
      <c r="C20" s="402" t="s">
        <v>714</v>
      </c>
      <c r="D20" s="405"/>
      <c r="E20" s="405"/>
      <c r="F20" s="405"/>
      <c r="G20" s="405"/>
      <c r="H20" s="629">
        <f>H18/H12</f>
        <v>6.0197045322679721E-2</v>
      </c>
      <c r="I20" s="612"/>
      <c r="J20" s="405"/>
    </row>
    <row r="21" spans="1:25">
      <c r="A21" s="353"/>
      <c r="B21" s="346"/>
      <c r="C21" s="346"/>
      <c r="D21" s="346"/>
      <c r="E21" s="346"/>
      <c r="F21" s="346"/>
      <c r="G21" s="346"/>
      <c r="H21" s="346"/>
      <c r="I21" s="612"/>
    </row>
    <row r="22" spans="1:25">
      <c r="A22" s="353">
        <v>6</v>
      </c>
      <c r="B22" s="346"/>
      <c r="C22" s="346" t="s">
        <v>631</v>
      </c>
      <c r="D22" s="346"/>
      <c r="E22" s="346"/>
      <c r="F22" s="390"/>
      <c r="G22" s="390"/>
      <c r="H22" s="390">
        <f>H16-H18</f>
        <v>23906.960561851462</v>
      </c>
      <c r="I22" s="623"/>
    </row>
    <row r="23" spans="1:25">
      <c r="A23" s="353"/>
      <c r="B23" s="346"/>
      <c r="C23" s="346"/>
      <c r="D23" s="346"/>
      <c r="E23" s="346"/>
      <c r="F23" s="346"/>
      <c r="G23" s="346"/>
      <c r="H23" s="346"/>
      <c r="I23" s="612"/>
      <c r="T23" s="182"/>
    </row>
    <row r="24" spans="1:25">
      <c r="A24" s="353">
        <v>7</v>
      </c>
      <c r="B24" s="346"/>
      <c r="C24" s="346" t="s">
        <v>610</v>
      </c>
      <c r="D24" s="402"/>
      <c r="E24" s="346"/>
      <c r="F24" s="395"/>
      <c r="G24" s="346"/>
      <c r="H24" s="395">
        <f>ROR!L24</f>
        <v>0.61986399999999997</v>
      </c>
      <c r="I24" s="612"/>
    </row>
    <row r="25" spans="1:25" ht="13.5" thickBot="1">
      <c r="A25" s="353"/>
      <c r="B25" s="346"/>
      <c r="C25" s="346"/>
      <c r="D25" s="402"/>
      <c r="E25" s="346"/>
      <c r="F25" s="402"/>
      <c r="G25" s="346"/>
      <c r="H25" s="346"/>
      <c r="I25" s="624"/>
      <c r="K25" s="482"/>
      <c r="L25" s="483"/>
      <c r="M25" s="405"/>
    </row>
    <row r="26" spans="1:25" ht="13.5" thickBot="1">
      <c r="A26" s="353">
        <v>8</v>
      </c>
      <c r="B26" s="346"/>
      <c r="C26" s="402" t="s">
        <v>628</v>
      </c>
      <c r="D26" s="402"/>
      <c r="E26" s="603"/>
      <c r="F26" s="182"/>
      <c r="G26" s="779"/>
      <c r="H26" s="630">
        <f>ROUND(H22/H24,0)</f>
        <v>38568</v>
      </c>
      <c r="L26" s="484"/>
      <c r="M26" s="405"/>
    </row>
    <row r="27" spans="1:25">
      <c r="A27" s="353"/>
      <c r="B27" s="346"/>
      <c r="C27" s="402"/>
      <c r="D27" s="402"/>
      <c r="E27" s="346"/>
      <c r="F27" s="403"/>
      <c r="G27" s="782"/>
      <c r="H27" s="403"/>
      <c r="I27" s="625"/>
      <c r="K27" s="405"/>
      <c r="L27" s="405"/>
      <c r="M27" s="405"/>
    </row>
    <row r="28" spans="1:25">
      <c r="A28" s="353">
        <v>9</v>
      </c>
      <c r="B28" s="396"/>
      <c r="C28" s="402" t="s">
        <v>715</v>
      </c>
      <c r="D28" s="402"/>
      <c r="E28" s="346"/>
      <c r="F28" s="394"/>
      <c r="G28" s="394"/>
      <c r="H28" s="394">
        <f>'Attrition 09.2015 to 2017'!P7+'Attrition 09.2015 to 2017'!P8</f>
        <v>495064</v>
      </c>
      <c r="I28" s="627"/>
      <c r="K28" s="405"/>
      <c r="L28" s="405"/>
      <c r="M28" s="405"/>
    </row>
    <row r="29" spans="1:25">
      <c r="A29" s="398"/>
      <c r="B29" s="396"/>
      <c r="C29" s="402"/>
      <c r="D29" s="402"/>
      <c r="E29" s="346"/>
      <c r="F29" s="402"/>
      <c r="G29" s="402"/>
      <c r="H29" s="346"/>
      <c r="I29" s="612"/>
      <c r="K29" s="405"/>
      <c r="L29" s="405"/>
      <c r="M29" s="405"/>
    </row>
    <row r="30" spans="1:25" s="473" customFormat="1">
      <c r="A30" s="353">
        <v>10</v>
      </c>
      <c r="C30" s="402" t="s">
        <v>632</v>
      </c>
      <c r="D30" s="405"/>
      <c r="E30" s="598"/>
      <c r="F30" s="405"/>
      <c r="G30" s="405"/>
      <c r="H30" s="783">
        <f>H28+H26</f>
        <v>533632</v>
      </c>
      <c r="I30" s="623"/>
      <c r="J30" s="405"/>
    </row>
    <row r="31" spans="1:25" ht="13.5" thickBot="1">
      <c r="A31" s="473"/>
      <c r="B31" s="398"/>
      <c r="C31" s="399"/>
      <c r="D31" s="399"/>
      <c r="E31" s="398"/>
      <c r="F31" s="399"/>
      <c r="G31" s="399"/>
      <c r="H31" s="398"/>
      <c r="I31" s="612"/>
      <c r="K31" s="405"/>
      <c r="L31" s="405"/>
      <c r="M31" s="405"/>
    </row>
    <row r="32" spans="1:25" s="473" customFormat="1" ht="13.5" thickBot="1">
      <c r="A32" s="353">
        <v>11</v>
      </c>
      <c r="C32" s="609" t="s">
        <v>720</v>
      </c>
      <c r="D32" s="402"/>
      <c r="E32" s="346"/>
      <c r="F32" s="404"/>
      <c r="G32" s="397"/>
      <c r="H32" s="631">
        <f>H26/H28</f>
        <v>7.7905078939288663E-2</v>
      </c>
      <c r="I32" s="623"/>
      <c r="J32" s="405"/>
      <c r="K32" s="405"/>
      <c r="L32" s="405"/>
      <c r="M32" s="405"/>
    </row>
    <row r="33" spans="1:9">
      <c r="A33" s="353"/>
      <c r="C33" s="405"/>
      <c r="D33" s="405"/>
      <c r="F33" s="405"/>
      <c r="I33" s="623"/>
    </row>
    <row r="34" spans="1:9" s="607" customFormat="1">
      <c r="A34" s="611"/>
      <c r="C34" s="609"/>
      <c r="H34" s="610"/>
      <c r="I34" s="612"/>
    </row>
    <row r="35" spans="1:9" s="607" customFormat="1">
      <c r="A35" s="611"/>
      <c r="C35" s="609"/>
      <c r="H35" s="610"/>
      <c r="I35" s="612"/>
    </row>
    <row r="36" spans="1:9" s="607" customFormat="1">
      <c r="A36" s="611"/>
      <c r="C36" s="613"/>
      <c r="H36" s="614"/>
      <c r="I36" s="612"/>
    </row>
    <row r="37" spans="1:9" s="607" customFormat="1" ht="6" customHeight="1">
      <c r="B37" s="615"/>
      <c r="C37" s="903"/>
      <c r="D37" s="903"/>
      <c r="E37" s="903"/>
      <c r="F37" s="903"/>
      <c r="G37" s="903"/>
      <c r="H37" s="903"/>
      <c r="I37" s="903"/>
    </row>
    <row r="46" spans="1:9">
      <c r="A46" s="344"/>
      <c r="B46" s="344"/>
      <c r="C46" s="344"/>
      <c r="D46" s="344"/>
      <c r="E46" s="344"/>
      <c r="F46" s="344"/>
      <c r="G46" s="344"/>
      <c r="H46" s="344"/>
    </row>
    <row r="51" spans="20:20">
      <c r="T51" s="473"/>
    </row>
    <row r="97" spans="20:20">
      <c r="T97" s="595"/>
    </row>
    <row r="107" spans="20:20">
      <c r="T107" s="595"/>
    </row>
    <row r="153" spans="20:20">
      <c r="T153" s="595"/>
    </row>
    <row r="167" spans="20:20">
      <c r="T167" s="595"/>
    </row>
    <row r="187" spans="13:20">
      <c r="M187" s="595"/>
      <c r="N187" s="595"/>
      <c r="O187" s="595"/>
      <c r="P187" s="595"/>
      <c r="Q187" s="595"/>
      <c r="R187" s="595"/>
      <c r="S187" s="595"/>
      <c r="T187" s="595"/>
    </row>
  </sheetData>
  <mergeCells count="15">
    <mergeCell ref="C37:I37"/>
    <mergeCell ref="H9:H10"/>
    <mergeCell ref="I9:I10"/>
    <mergeCell ref="F9:F10"/>
    <mergeCell ref="G9:G10"/>
    <mergeCell ref="C9:C10"/>
    <mergeCell ref="A1:H1"/>
    <mergeCell ref="A2:H2"/>
    <mergeCell ref="A4:H4"/>
    <mergeCell ref="A5:H5"/>
    <mergeCell ref="D9:D10"/>
    <mergeCell ref="A3:H3"/>
    <mergeCell ref="A6:H6"/>
    <mergeCell ref="A9:A10"/>
    <mergeCell ref="B9:B10"/>
  </mergeCells>
  <printOptions horizontalCentered="1"/>
  <pageMargins left="0.7" right="0.7" top="0.75" bottom="0.75" header="0.3" footer="0.3"/>
  <pageSetup orientation="landscape" r:id="rId1"/>
  <headerFooter scaleWithDoc="0">
    <oddHeader>&amp;RExhibit No. __(EMA-2)</oddHeader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T112"/>
  <sheetViews>
    <sheetView topLeftCell="A16" workbookViewId="0">
      <selection activeCell="T11" sqref="T11"/>
    </sheetView>
  </sheetViews>
  <sheetFormatPr defaultRowHeight="12.75"/>
  <cols>
    <col min="1" max="1" width="4.85546875" customWidth="1"/>
    <col min="2" max="2" width="4.7109375" customWidth="1"/>
    <col min="3" max="3" width="23" customWidth="1"/>
    <col min="4" max="4" width="4.5703125" customWidth="1"/>
    <col min="5" max="5" width="9.42578125" customWidth="1"/>
    <col min="6" max="14" width="9.7109375" bestFit="1" customWidth="1"/>
    <col min="15" max="15" width="10.7109375" bestFit="1" customWidth="1"/>
    <col min="16" max="16" width="10.5703125" customWidth="1"/>
    <col min="17" max="17" width="9.85546875" bestFit="1" customWidth="1"/>
    <col min="18" max="18" width="9.140625" customWidth="1"/>
    <col min="19" max="19" width="9.140625" style="473" customWidth="1"/>
    <col min="20" max="20" width="9.140625" style="182" customWidth="1"/>
  </cols>
  <sheetData>
    <row r="2" spans="1:20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0">
      <c r="A3" s="112" t="s">
        <v>133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20">
      <c r="A4" s="112" t="s">
        <v>480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T4" s="444"/>
    </row>
    <row r="5" spans="1:20">
      <c r="A5" s="112" t="s">
        <v>92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20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S6" s="111"/>
      <c r="T6" s="111" t="s">
        <v>539</v>
      </c>
    </row>
    <row r="7" spans="1:20">
      <c r="A7" s="112"/>
      <c r="B7" s="112"/>
      <c r="C7" s="112"/>
      <c r="D7" s="112"/>
      <c r="E7" s="121">
        <v>2000</v>
      </c>
      <c r="F7" s="121">
        <v>2001</v>
      </c>
      <c r="G7" s="121">
        <v>2002</v>
      </c>
      <c r="H7" s="121">
        <v>2003</v>
      </c>
      <c r="I7" s="121">
        <v>2004</v>
      </c>
      <c r="J7" s="121">
        <v>2005</v>
      </c>
      <c r="K7" s="121">
        <v>2006</v>
      </c>
      <c r="L7" s="121">
        <v>2007</v>
      </c>
      <c r="M7" s="121">
        <v>2008</v>
      </c>
      <c r="N7" s="121">
        <v>2009</v>
      </c>
      <c r="O7" s="121">
        <v>2010</v>
      </c>
      <c r="P7" s="121">
        <v>2011</v>
      </c>
      <c r="Q7" s="121">
        <v>2012</v>
      </c>
      <c r="R7" s="121">
        <v>2013</v>
      </c>
      <c r="S7" s="447">
        <v>2014</v>
      </c>
      <c r="T7" s="447">
        <v>9.2014999999999993</v>
      </c>
    </row>
    <row r="10" spans="1:20">
      <c r="S10" s="182"/>
    </row>
    <row r="11" spans="1:20">
      <c r="A11" s="10" t="s">
        <v>298</v>
      </c>
      <c r="E11" s="254">
        <f>'CBR Hist'!F24</f>
        <v>-3114</v>
      </c>
      <c r="F11" s="254">
        <f>'CBR Hist'!G24</f>
        <v>9152</v>
      </c>
      <c r="G11" s="254">
        <f>'CBR Hist'!H24</f>
        <v>13808</v>
      </c>
      <c r="H11" s="254">
        <f>'CBR Hist'!I24</f>
        <v>14915</v>
      </c>
      <c r="I11" s="254">
        <f>'CBR Hist'!J24</f>
        <v>22879</v>
      </c>
      <c r="J11" s="254">
        <f>'CBR Hist'!K24</f>
        <v>13812</v>
      </c>
      <c r="K11" s="254">
        <f>'CBR Hist'!L24</f>
        <v>25745</v>
      </c>
      <c r="L11" s="254">
        <f>'CBR Hist'!M24</f>
        <v>21795</v>
      </c>
      <c r="M11" s="254">
        <f>'CBR Hist'!N24</f>
        <v>22000</v>
      </c>
      <c r="N11" s="254">
        <f>'CBR Hist'!O24</f>
        <v>22266</v>
      </c>
      <c r="O11" s="254">
        <f>'CBR Hist'!P24</f>
        <v>22129</v>
      </c>
      <c r="P11" s="254">
        <f>'CBR Hist'!Q24</f>
        <v>25158</v>
      </c>
      <c r="Q11" s="254">
        <f>'CBR Hist'!R24+Q19</f>
        <v>25680</v>
      </c>
      <c r="R11" s="254">
        <f>'CBR Hist'!S24</f>
        <v>23284</v>
      </c>
      <c r="S11" s="537">
        <f>'CBR Hist'!T24</f>
        <v>23715</v>
      </c>
      <c r="T11" s="537">
        <f>'CBR Hist'!U24</f>
        <v>24379</v>
      </c>
    </row>
    <row r="12" spans="1:20">
      <c r="A12" s="10" t="s">
        <v>299</v>
      </c>
      <c r="P12" s="254">
        <f>'CBR Hist'!Q25</f>
        <v>403</v>
      </c>
      <c r="Q12" s="254">
        <f>'CBR Hist'!R25-Q19</f>
        <v>-7744</v>
      </c>
      <c r="R12" s="254">
        <f>'CBR Hist'!S25</f>
        <v>8629</v>
      </c>
      <c r="S12" s="537">
        <f>'CBR Hist'!T25</f>
        <v>8101</v>
      </c>
      <c r="T12" s="537">
        <f>'CBR Hist'!U25</f>
        <v>6584</v>
      </c>
    </row>
    <row r="13" spans="1:20">
      <c r="A13" s="10"/>
      <c r="S13" s="182"/>
    </row>
    <row r="14" spans="1:20">
      <c r="A14" s="10"/>
      <c r="B14" s="10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S14" s="182"/>
    </row>
    <row r="15" spans="1:20">
      <c r="A15" s="10"/>
      <c r="B15" s="10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S15" s="182"/>
    </row>
    <row r="16" spans="1:20">
      <c r="A16" s="10" t="s">
        <v>300</v>
      </c>
      <c r="E16" s="255">
        <f>10346-213</f>
        <v>10133</v>
      </c>
      <c r="F16" s="255">
        <f>10784-205</f>
        <v>10579</v>
      </c>
      <c r="G16" s="255">
        <f>12359+3035-228</f>
        <v>15166</v>
      </c>
      <c r="H16" s="255">
        <f>14152+1470-219</f>
        <v>15403</v>
      </c>
      <c r="I16" s="255">
        <f>15379+1705-113-221</f>
        <v>16750</v>
      </c>
      <c r="J16" s="255">
        <f>17205-154-219</f>
        <v>16832</v>
      </c>
      <c r="K16" s="255">
        <f>18582-216</f>
        <v>18366</v>
      </c>
      <c r="L16" s="255">
        <f>18487-225</f>
        <v>18262</v>
      </c>
      <c r="M16" s="255">
        <f>17022-195</f>
        <v>16827</v>
      </c>
      <c r="N16" s="255">
        <f>17556-193</f>
        <v>17363</v>
      </c>
      <c r="O16" s="255">
        <f>18188-191</f>
        <v>17997</v>
      </c>
      <c r="P16" s="255">
        <f>18013-191</f>
        <v>17822</v>
      </c>
      <c r="Q16" s="255">
        <f>18237</f>
        <v>18237</v>
      </c>
      <c r="R16" s="255">
        <v>16250</v>
      </c>
      <c r="S16" s="184">
        <v>16426</v>
      </c>
      <c r="T16" s="184">
        <v>16738</v>
      </c>
    </row>
    <row r="17" spans="1:20">
      <c r="A17" s="10" t="s">
        <v>301</v>
      </c>
      <c r="E17" s="255">
        <f>4492</f>
        <v>4492</v>
      </c>
      <c r="F17" s="255">
        <f>4393</f>
        <v>4393</v>
      </c>
      <c r="G17" s="255">
        <f>4780</f>
        <v>4780</v>
      </c>
      <c r="H17" s="255">
        <f>4891</f>
        <v>4891</v>
      </c>
      <c r="I17" s="255">
        <f>5220</f>
        <v>5220</v>
      </c>
      <c r="J17" s="255">
        <v>5531</v>
      </c>
      <c r="K17" s="255">
        <f>5957</f>
        <v>5957</v>
      </c>
      <c r="L17" s="255">
        <f>6352+1</f>
        <v>6353</v>
      </c>
      <c r="M17" s="255">
        <v>5969</v>
      </c>
      <c r="N17" s="255">
        <v>6116</v>
      </c>
      <c r="O17" s="255">
        <v>6354</v>
      </c>
      <c r="P17" s="255">
        <v>6681</v>
      </c>
      <c r="Q17" s="255">
        <v>6976</v>
      </c>
      <c r="R17" s="255">
        <v>6529</v>
      </c>
      <c r="S17" s="184">
        <v>6725</v>
      </c>
      <c r="T17" s="184">
        <v>7045</v>
      </c>
    </row>
    <row r="18" spans="1:20">
      <c r="A18" s="10" t="s">
        <v>302</v>
      </c>
      <c r="E18" s="255">
        <f>9+216</f>
        <v>225</v>
      </c>
      <c r="F18" s="255">
        <f>9+221</f>
        <v>230</v>
      </c>
      <c r="G18" s="255">
        <f>1+210</f>
        <v>211</v>
      </c>
      <c r="H18" s="255">
        <f>17+212</f>
        <v>229</v>
      </c>
      <c r="I18" s="255">
        <f>9+212+8+11+102</f>
        <v>342</v>
      </c>
      <c r="J18" s="255">
        <f>10+221+31+4</f>
        <v>266</v>
      </c>
      <c r="K18" s="255">
        <f>32+222</f>
        <v>254</v>
      </c>
      <c r="L18" s="255">
        <f>44+218</f>
        <v>262</v>
      </c>
      <c r="M18" s="255">
        <f>62+218</f>
        <v>280</v>
      </c>
      <c r="N18" s="255">
        <f>63+427</f>
        <v>490</v>
      </c>
      <c r="O18" s="255">
        <f>595+62</f>
        <v>657</v>
      </c>
      <c r="P18" s="255">
        <f>655</f>
        <v>655</v>
      </c>
      <c r="Q18" s="255">
        <v>659</v>
      </c>
      <c r="R18" s="255">
        <v>652</v>
      </c>
      <c r="S18" s="184">
        <v>710</v>
      </c>
      <c r="T18" s="184">
        <v>742</v>
      </c>
    </row>
    <row r="19" spans="1:20">
      <c r="A19" s="10"/>
      <c r="E19" s="257" t="s">
        <v>324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>
        <v>-192</v>
      </c>
      <c r="R19" s="255">
        <v>-147</v>
      </c>
      <c r="S19" s="184">
        <v>-146</v>
      </c>
      <c r="T19" s="184">
        <v>-146</v>
      </c>
    </row>
    <row r="20" spans="1:20">
      <c r="A20" s="10"/>
      <c r="B20" s="10" t="s">
        <v>322</v>
      </c>
      <c r="E20" s="258">
        <f>SUM(E16:E18)</f>
        <v>14850</v>
      </c>
      <c r="F20" s="258">
        <f t="shared" ref="F20:P20" si="0">SUM(F16:F18)</f>
        <v>15202</v>
      </c>
      <c r="G20" s="258">
        <f t="shared" si="0"/>
        <v>20157</v>
      </c>
      <c r="H20" s="258">
        <f t="shared" si="0"/>
        <v>20523</v>
      </c>
      <c r="I20" s="258">
        <f t="shared" si="0"/>
        <v>22312</v>
      </c>
      <c r="J20" s="258">
        <f t="shared" si="0"/>
        <v>22629</v>
      </c>
      <c r="K20" s="258">
        <f t="shared" si="0"/>
        <v>24577</v>
      </c>
      <c r="L20" s="258">
        <f t="shared" si="0"/>
        <v>24877</v>
      </c>
      <c r="M20" s="258">
        <f t="shared" si="0"/>
        <v>23076</v>
      </c>
      <c r="N20" s="258">
        <f t="shared" si="0"/>
        <v>23969</v>
      </c>
      <c r="O20" s="258">
        <f t="shared" si="0"/>
        <v>25008</v>
      </c>
      <c r="P20" s="258">
        <f t="shared" si="0"/>
        <v>25158</v>
      </c>
      <c r="Q20" s="258">
        <f>SUM(Q16:Q19)</f>
        <v>25680</v>
      </c>
      <c r="R20" s="258">
        <f>SUM(R16:R19)</f>
        <v>23284</v>
      </c>
      <c r="S20" s="538">
        <f>SUM(S16:S19)</f>
        <v>23715</v>
      </c>
      <c r="T20" s="538">
        <f>SUM(T16:T19)</f>
        <v>24379</v>
      </c>
    </row>
    <row r="21" spans="1:20">
      <c r="A21" s="10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S21" s="182"/>
    </row>
    <row r="22" spans="1:20">
      <c r="A22" s="10" t="s">
        <v>303</v>
      </c>
      <c r="D22" s="182"/>
      <c r="E22" s="184">
        <f>2448-2448</f>
        <v>0</v>
      </c>
      <c r="F22" s="184">
        <f>2448-2448</f>
        <v>0</v>
      </c>
      <c r="G22" s="184">
        <f>2481-31</f>
        <v>2450</v>
      </c>
      <c r="H22" s="184">
        <f>2450</f>
        <v>2450</v>
      </c>
      <c r="I22" s="184">
        <f>2450</f>
        <v>2450</v>
      </c>
      <c r="J22" s="184">
        <v>2450</v>
      </c>
      <c r="K22" s="184">
        <v>2450</v>
      </c>
      <c r="L22" s="184">
        <v>2450</v>
      </c>
      <c r="M22" s="184">
        <v>2450</v>
      </c>
      <c r="N22" s="184">
        <v>2450</v>
      </c>
      <c r="O22" s="184">
        <v>2450</v>
      </c>
      <c r="P22" s="184">
        <v>2450</v>
      </c>
      <c r="Q22" s="184">
        <v>2450</v>
      </c>
      <c r="R22" s="417">
        <v>2450</v>
      </c>
      <c r="S22" s="417">
        <v>2450</v>
      </c>
      <c r="T22" s="417">
        <v>2450</v>
      </c>
    </row>
    <row r="23" spans="1:20">
      <c r="A23" s="10" t="s">
        <v>304</v>
      </c>
      <c r="D23" s="182"/>
      <c r="E23" s="184">
        <f>32</f>
        <v>32</v>
      </c>
      <c r="F23" s="184">
        <f>32</f>
        <v>32</v>
      </c>
      <c r="G23" s="184">
        <f>32</f>
        <v>32</v>
      </c>
      <c r="H23" s="184">
        <f>32</f>
        <v>32</v>
      </c>
      <c r="I23" s="184">
        <f>32</f>
        <v>32</v>
      </c>
      <c r="J23" s="184">
        <f>32</f>
        <v>32</v>
      </c>
      <c r="K23" s="184">
        <f>32</f>
        <v>32</v>
      </c>
      <c r="L23" s="184">
        <f>32</f>
        <v>32</v>
      </c>
      <c r="M23" s="184">
        <f>32</f>
        <v>32</v>
      </c>
      <c r="N23" s="184">
        <f>32</f>
        <v>32</v>
      </c>
      <c r="O23" s="184">
        <f>32</f>
        <v>32</v>
      </c>
      <c r="P23" s="184">
        <f>32</f>
        <v>32</v>
      </c>
      <c r="Q23" s="184">
        <f>32</f>
        <v>32</v>
      </c>
      <c r="R23" s="417">
        <v>32</v>
      </c>
      <c r="S23" s="417">
        <v>32</v>
      </c>
      <c r="T23" s="417">
        <v>32</v>
      </c>
    </row>
    <row r="24" spans="1:20">
      <c r="A24" s="10" t="s">
        <v>305</v>
      </c>
      <c r="D24" s="182"/>
      <c r="E24" s="184">
        <f>-15</f>
        <v>-15</v>
      </c>
      <c r="F24" s="184">
        <v>-3</v>
      </c>
      <c r="G24" s="184">
        <v>-3</v>
      </c>
      <c r="H24" s="184">
        <v>-2</v>
      </c>
      <c r="I24" s="184">
        <v>-4</v>
      </c>
      <c r="J24" s="184"/>
      <c r="K24" s="184"/>
      <c r="L24" s="184"/>
      <c r="M24" s="184"/>
      <c r="N24" s="184"/>
      <c r="O24" s="184"/>
      <c r="P24" s="184"/>
      <c r="Q24" s="184"/>
      <c r="R24" s="182"/>
      <c r="S24" s="182"/>
    </row>
    <row r="25" spans="1:20">
      <c r="A25" s="10" t="s">
        <v>306</v>
      </c>
      <c r="D25" s="443" t="s">
        <v>312</v>
      </c>
      <c r="E25" s="184">
        <f>-16644</f>
        <v>-16644</v>
      </c>
      <c r="F25" s="184">
        <f>-16636+16636</f>
        <v>0</v>
      </c>
      <c r="G25" s="184">
        <v>2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2"/>
      <c r="S25" s="182"/>
    </row>
    <row r="26" spans="1:20">
      <c r="A26" s="10" t="s">
        <v>307</v>
      </c>
      <c r="D26" s="182"/>
      <c r="E26" s="184">
        <f>-729-444</f>
        <v>-1173</v>
      </c>
      <c r="F26" s="184">
        <f>-2915-1776</f>
        <v>-4691</v>
      </c>
      <c r="G26" s="184">
        <f>-2915+1139</f>
        <v>-1776</v>
      </c>
      <c r="H26" s="184">
        <v>-1776</v>
      </c>
      <c r="I26" s="184">
        <v>-1776</v>
      </c>
      <c r="J26" s="184">
        <v>-1776</v>
      </c>
      <c r="K26" s="184">
        <v>-1332</v>
      </c>
      <c r="L26" s="184"/>
      <c r="M26" s="184"/>
      <c r="N26" s="184"/>
      <c r="O26" s="184"/>
      <c r="P26" s="184"/>
      <c r="Q26" s="184"/>
      <c r="R26" s="182"/>
      <c r="S26" s="182"/>
    </row>
    <row r="27" spans="1:20">
      <c r="A27" s="10" t="s">
        <v>308</v>
      </c>
      <c r="D27" s="182"/>
      <c r="E27" s="182"/>
      <c r="F27" s="184">
        <f>193-1</f>
        <v>192</v>
      </c>
      <c r="G27" s="184">
        <v>191</v>
      </c>
      <c r="H27" s="184">
        <v>191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2"/>
      <c r="S27" s="182"/>
    </row>
    <row r="28" spans="1:20">
      <c r="A28" s="10" t="s">
        <v>309</v>
      </c>
      <c r="D28" s="443" t="s">
        <v>312</v>
      </c>
      <c r="E28" s="182"/>
      <c r="F28" s="184">
        <v>-1416</v>
      </c>
      <c r="G28" s="184">
        <v>-7512</v>
      </c>
      <c r="H28" s="184">
        <v>-6339</v>
      </c>
      <c r="I28" s="184">
        <f>-7160+7160</f>
        <v>0</v>
      </c>
      <c r="J28" s="184">
        <v>-9388</v>
      </c>
      <c r="K28" s="184">
        <f>-10285+10285</f>
        <v>0</v>
      </c>
      <c r="L28" s="184">
        <v>-5582</v>
      </c>
      <c r="M28" s="184">
        <v>-3576</v>
      </c>
      <c r="N28" s="184">
        <v>-4005</v>
      </c>
      <c r="O28" s="184">
        <v>-6244</v>
      </c>
      <c r="P28" s="184">
        <v>-4794</v>
      </c>
      <c r="Q28" s="184">
        <v>-8505</v>
      </c>
      <c r="R28" s="184">
        <v>0</v>
      </c>
      <c r="S28" s="184">
        <v>0</v>
      </c>
      <c r="T28" s="184">
        <v>0</v>
      </c>
    </row>
    <row r="29" spans="1:20">
      <c r="A29" s="10" t="s">
        <v>310</v>
      </c>
      <c r="D29" s="182"/>
      <c r="E29" s="182"/>
      <c r="F29" s="184"/>
      <c r="G29" s="184">
        <v>431</v>
      </c>
      <c r="H29" s="184"/>
      <c r="I29" s="184"/>
      <c r="J29" s="184"/>
      <c r="K29" s="184">
        <v>153</v>
      </c>
      <c r="L29" s="184">
        <v>153</v>
      </c>
      <c r="M29" s="184">
        <v>153</v>
      </c>
      <c r="N29" s="184">
        <v>153</v>
      </c>
      <c r="O29" s="184">
        <v>153</v>
      </c>
      <c r="P29" s="184">
        <v>153</v>
      </c>
      <c r="Q29" s="184">
        <v>153</v>
      </c>
      <c r="R29" s="184">
        <v>153</v>
      </c>
      <c r="S29" s="184">
        <v>153</v>
      </c>
      <c r="T29" s="184">
        <v>153</v>
      </c>
    </row>
    <row r="30" spans="1:20">
      <c r="A30" s="10" t="s">
        <v>311</v>
      </c>
      <c r="D30" s="182"/>
      <c r="E30" s="184">
        <v>-164</v>
      </c>
      <c r="F30" s="184">
        <v>-164</v>
      </c>
      <c r="G30" s="184">
        <v>-164</v>
      </c>
      <c r="H30" s="184">
        <v>-164</v>
      </c>
      <c r="I30" s="184">
        <v>-135</v>
      </c>
      <c r="J30" s="184">
        <v>-135</v>
      </c>
      <c r="K30" s="184">
        <v>-135</v>
      </c>
      <c r="L30" s="184">
        <v>-135</v>
      </c>
      <c r="M30" s="184">
        <v>-135</v>
      </c>
      <c r="N30" s="184">
        <v>-135</v>
      </c>
      <c r="O30" s="184">
        <v>-134</v>
      </c>
      <c r="P30" s="184">
        <v>-135</v>
      </c>
      <c r="Q30" s="184">
        <v>-135</v>
      </c>
      <c r="R30" s="184">
        <v>-135</v>
      </c>
      <c r="S30" s="184">
        <v>-135</v>
      </c>
      <c r="T30" s="184">
        <v>-135</v>
      </c>
    </row>
    <row r="31" spans="1:20">
      <c r="A31" s="10" t="s">
        <v>313</v>
      </c>
      <c r="D31" s="182"/>
      <c r="E31" s="182"/>
      <c r="F31" s="184"/>
      <c r="G31" s="184"/>
      <c r="H31" s="184"/>
      <c r="I31" s="184"/>
      <c r="J31" s="184"/>
      <c r="K31" s="184"/>
      <c r="L31" s="184"/>
      <c r="M31" s="184"/>
      <c r="N31" s="184">
        <f>-201+32-32+390-387</f>
        <v>-198</v>
      </c>
      <c r="O31" s="184">
        <f>20+133+553+45</f>
        <v>751</v>
      </c>
      <c r="P31" s="184">
        <f>73+142+608+152</f>
        <v>975</v>
      </c>
      <c r="Q31" s="184">
        <f>73+141+30+574+152</f>
        <v>970</v>
      </c>
      <c r="R31" s="182">
        <f>73+141+21+576+152</f>
        <v>963</v>
      </c>
      <c r="S31" s="182">
        <f>73+140+21+572+152</f>
        <v>958</v>
      </c>
      <c r="T31" s="182">
        <f>73+140+21+572+152</f>
        <v>958</v>
      </c>
    </row>
    <row r="32" spans="1:20">
      <c r="A32" s="10" t="s">
        <v>314</v>
      </c>
      <c r="D32" s="182"/>
      <c r="E32" s="182"/>
      <c r="F32" s="184"/>
      <c r="G32" s="184"/>
      <c r="H32" s="184"/>
      <c r="I32" s="184"/>
      <c r="J32" s="184"/>
      <c r="K32" s="184"/>
      <c r="L32" s="184"/>
      <c r="M32" s="184"/>
      <c r="N32" s="184"/>
      <c r="O32" s="184">
        <v>113</v>
      </c>
      <c r="P32" s="184">
        <v>1360</v>
      </c>
      <c r="Q32" s="184">
        <v>1360</v>
      </c>
      <c r="R32" s="184">
        <v>1360</v>
      </c>
      <c r="S32" s="184">
        <v>1360</v>
      </c>
      <c r="T32" s="184">
        <v>1360</v>
      </c>
    </row>
    <row r="33" spans="1:20">
      <c r="A33" s="10" t="s">
        <v>315</v>
      </c>
      <c r="D33" s="444" t="s">
        <v>312</v>
      </c>
      <c r="E33" s="182"/>
      <c r="F33" s="184"/>
      <c r="G33" s="184"/>
      <c r="H33" s="184"/>
      <c r="I33" s="184"/>
      <c r="J33" s="184"/>
      <c r="K33" s="184"/>
      <c r="L33" s="184"/>
      <c r="M33" s="184"/>
      <c r="N33" s="184"/>
      <c r="O33" s="184">
        <f>86-86</f>
        <v>0</v>
      </c>
      <c r="P33" s="184">
        <v>184</v>
      </c>
      <c r="Q33" s="184">
        <v>178</v>
      </c>
      <c r="R33" s="184">
        <v>0</v>
      </c>
      <c r="S33" s="184">
        <v>0</v>
      </c>
      <c r="T33" s="184">
        <v>0</v>
      </c>
    </row>
    <row r="34" spans="1:20">
      <c r="A34" s="10" t="s">
        <v>316</v>
      </c>
      <c r="D34" s="182"/>
      <c r="E34" s="182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>
        <v>516</v>
      </c>
      <c r="Q34" s="184">
        <f>-129-4411</f>
        <v>-4540</v>
      </c>
      <c r="R34" s="184">
        <f>974</f>
        <v>974</v>
      </c>
      <c r="S34" s="184">
        <f>974</f>
        <v>974</v>
      </c>
      <c r="T34" s="184">
        <f>974</f>
        <v>974</v>
      </c>
    </row>
    <row r="35" spans="1:20">
      <c r="A35" s="10" t="s">
        <v>317</v>
      </c>
      <c r="D35" s="182"/>
      <c r="E35" s="182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>
        <v>-338</v>
      </c>
      <c r="Q35" s="184">
        <f>640-889</f>
        <v>-249</v>
      </c>
      <c r="R35" s="184">
        <f>726-206</f>
        <v>520</v>
      </c>
      <c r="S35" s="184">
        <v>67</v>
      </c>
      <c r="T35" s="184">
        <v>17</v>
      </c>
    </row>
    <row r="36" spans="1:20">
      <c r="A36" s="10" t="s">
        <v>319</v>
      </c>
      <c r="D36" s="182"/>
      <c r="E36" s="182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>
        <v>472</v>
      </c>
      <c r="R36" s="184">
        <v>0</v>
      </c>
      <c r="S36" s="184">
        <v>0</v>
      </c>
      <c r="T36" s="184">
        <v>0</v>
      </c>
    </row>
    <row r="37" spans="1:20">
      <c r="A37" s="10" t="s">
        <v>318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>
        <v>165</v>
      </c>
      <c r="R37" s="184">
        <v>165</v>
      </c>
      <c r="S37" s="184">
        <v>165</v>
      </c>
      <c r="T37" s="184">
        <v>41</v>
      </c>
    </row>
    <row r="38" spans="1:20">
      <c r="A38" s="10" t="s">
        <v>477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4">
        <v>2082</v>
      </c>
      <c r="S38" s="184">
        <f>2082</f>
        <v>2082</v>
      </c>
      <c r="T38" s="184">
        <v>521</v>
      </c>
    </row>
    <row r="39" spans="1:20">
      <c r="A39" s="10" t="s">
        <v>478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4">
        <v>70</v>
      </c>
      <c r="S39" s="184">
        <v>0</v>
      </c>
      <c r="T39" s="184">
        <v>0</v>
      </c>
    </row>
    <row r="40" spans="1:20">
      <c r="A40" s="10" t="s">
        <v>320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4">
        <v>-4</v>
      </c>
      <c r="R40" s="184">
        <v>-5</v>
      </c>
      <c r="S40" s="184">
        <v>-5</v>
      </c>
      <c r="T40" s="184">
        <v>-5</v>
      </c>
    </row>
    <row r="41" spans="1:20" s="473" customFormat="1">
      <c r="A41" s="474" t="s">
        <v>642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4"/>
      <c r="R41" s="184"/>
      <c r="S41" s="184"/>
      <c r="T41" s="184">
        <v>218</v>
      </c>
    </row>
    <row r="42" spans="1:20">
      <c r="A42" s="10" t="s">
        <v>321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4">
        <v>-91</v>
      </c>
      <c r="R42" s="184">
        <v>0</v>
      </c>
      <c r="S42" s="184">
        <v>0</v>
      </c>
      <c r="T42" s="184">
        <v>0</v>
      </c>
    </row>
    <row r="43" spans="1:20">
      <c r="B43" s="259" t="s">
        <v>323</v>
      </c>
      <c r="D43" s="182"/>
      <c r="E43" s="445">
        <f>SUM(E22:E42)</f>
        <v>-17964</v>
      </c>
      <c r="F43" s="445">
        <f t="shared" ref="F43:P43" si="1">SUM(F22:F42)</f>
        <v>-6050</v>
      </c>
      <c r="G43" s="445">
        <f t="shared" si="1"/>
        <v>-6349</v>
      </c>
      <c r="H43" s="445">
        <f t="shared" si="1"/>
        <v>-5608</v>
      </c>
      <c r="I43" s="445">
        <f t="shared" si="1"/>
        <v>567</v>
      </c>
      <c r="J43" s="445">
        <f t="shared" si="1"/>
        <v>-8817</v>
      </c>
      <c r="K43" s="445">
        <f t="shared" si="1"/>
        <v>1168</v>
      </c>
      <c r="L43" s="445">
        <f t="shared" si="1"/>
        <v>-3082</v>
      </c>
      <c r="M43" s="445">
        <f t="shared" si="1"/>
        <v>-1076</v>
      </c>
      <c r="N43" s="445">
        <f t="shared" si="1"/>
        <v>-1703</v>
      </c>
      <c r="O43" s="445">
        <f t="shared" si="1"/>
        <v>-2879</v>
      </c>
      <c r="P43" s="445">
        <f t="shared" si="1"/>
        <v>403</v>
      </c>
      <c r="Q43" s="445">
        <f>SUM(Q22:Q42)</f>
        <v>-7744</v>
      </c>
      <c r="R43" s="445">
        <f>SUM(R22:R42)</f>
        <v>8629</v>
      </c>
      <c r="S43" s="445">
        <f>SUM(S22:S42)</f>
        <v>8101</v>
      </c>
      <c r="T43" s="445">
        <f>SUM(T22:T42)</f>
        <v>6584</v>
      </c>
    </row>
    <row r="44" spans="1:20"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</row>
    <row r="45" spans="1:20">
      <c r="B45" s="10" t="s">
        <v>325</v>
      </c>
      <c r="D45" s="182"/>
      <c r="E45" s="446">
        <f t="shared" ref="E45:P45" si="2">E20+E43</f>
        <v>-3114</v>
      </c>
      <c r="F45" s="446">
        <f t="shared" si="2"/>
        <v>9152</v>
      </c>
      <c r="G45" s="446">
        <f t="shared" si="2"/>
        <v>13808</v>
      </c>
      <c r="H45" s="446">
        <f t="shared" si="2"/>
        <v>14915</v>
      </c>
      <c r="I45" s="446">
        <f t="shared" si="2"/>
        <v>22879</v>
      </c>
      <c r="J45" s="446">
        <f t="shared" si="2"/>
        <v>13812</v>
      </c>
      <c r="K45" s="446">
        <f t="shared" si="2"/>
        <v>25745</v>
      </c>
      <c r="L45" s="446">
        <f t="shared" si="2"/>
        <v>21795</v>
      </c>
      <c r="M45" s="446">
        <f t="shared" si="2"/>
        <v>22000</v>
      </c>
      <c r="N45" s="446">
        <f t="shared" si="2"/>
        <v>22266</v>
      </c>
      <c r="O45" s="446">
        <f t="shared" si="2"/>
        <v>22129</v>
      </c>
      <c r="P45" s="446">
        <f t="shared" si="2"/>
        <v>25561</v>
      </c>
      <c r="Q45" s="446">
        <f>Q20+Q43</f>
        <v>17936</v>
      </c>
      <c r="R45" s="446">
        <f>R20+R43</f>
        <v>31913</v>
      </c>
      <c r="S45" s="446">
        <f>S20+S43</f>
        <v>31816</v>
      </c>
      <c r="T45" s="446">
        <f>T20+T43</f>
        <v>30963</v>
      </c>
    </row>
    <row r="46" spans="1:20">
      <c r="D46" s="182"/>
      <c r="E46" s="182" t="str">
        <f t="shared" ref="E46:Q46" si="3">IF(E45=E11+E12,"","check")</f>
        <v/>
      </c>
      <c r="F46" s="182" t="str">
        <f t="shared" si="3"/>
        <v/>
      </c>
      <c r="G46" s="182" t="str">
        <f t="shared" si="3"/>
        <v/>
      </c>
      <c r="H46" s="182" t="str">
        <f t="shared" si="3"/>
        <v/>
      </c>
      <c r="I46" s="182" t="str">
        <f t="shared" si="3"/>
        <v/>
      </c>
      <c r="J46" s="182" t="str">
        <f t="shared" si="3"/>
        <v/>
      </c>
      <c r="K46" s="182" t="str">
        <f t="shared" si="3"/>
        <v/>
      </c>
      <c r="L46" s="182" t="str">
        <f t="shared" si="3"/>
        <v/>
      </c>
      <c r="M46" s="182" t="str">
        <f t="shared" si="3"/>
        <v/>
      </c>
      <c r="N46" s="182" t="str">
        <f t="shared" si="3"/>
        <v/>
      </c>
      <c r="O46" s="182" t="str">
        <f t="shared" si="3"/>
        <v/>
      </c>
      <c r="P46" s="182" t="str">
        <f t="shared" si="3"/>
        <v/>
      </c>
      <c r="Q46" s="182" t="str">
        <f t="shared" si="3"/>
        <v/>
      </c>
      <c r="R46" s="182"/>
      <c r="S46" s="182"/>
      <c r="T46" s="446">
        <f>T45-T11-T12</f>
        <v>0</v>
      </c>
    </row>
    <row r="47" spans="1:20">
      <c r="B47" t="s">
        <v>326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</row>
    <row r="48" spans="1:20">
      <c r="D48" s="182"/>
      <c r="E48" s="446">
        <f>E43-E25</f>
        <v>-1320</v>
      </c>
      <c r="F48" s="446">
        <f>F43-F28</f>
        <v>-4634</v>
      </c>
      <c r="G48" s="446">
        <f t="shared" ref="G48:O48" si="4">G43-G28</f>
        <v>1163</v>
      </c>
      <c r="H48" s="446">
        <f t="shared" si="4"/>
        <v>731</v>
      </c>
      <c r="I48" s="446">
        <f t="shared" si="4"/>
        <v>567</v>
      </c>
      <c r="J48" s="446">
        <f t="shared" si="4"/>
        <v>571</v>
      </c>
      <c r="K48" s="446">
        <f>K43-K28</f>
        <v>1168</v>
      </c>
      <c r="L48" s="446">
        <f t="shared" si="4"/>
        <v>2500</v>
      </c>
      <c r="M48" s="446">
        <f t="shared" si="4"/>
        <v>2500</v>
      </c>
      <c r="N48" s="446">
        <f t="shared" si="4"/>
        <v>2302</v>
      </c>
      <c r="O48" s="446">
        <f t="shared" si="4"/>
        <v>3365</v>
      </c>
      <c r="P48" s="446">
        <f>P43-P28-P33</f>
        <v>5013</v>
      </c>
      <c r="Q48" s="446">
        <f>Q43-Q28-Q33</f>
        <v>583</v>
      </c>
      <c r="R48" s="446">
        <f>R43-R28</f>
        <v>8629</v>
      </c>
      <c r="S48" s="446">
        <f>S43-S28</f>
        <v>8101</v>
      </c>
      <c r="T48" s="446">
        <f>T43-T28</f>
        <v>6584</v>
      </c>
    </row>
    <row r="49" spans="1:20">
      <c r="D49" s="182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182"/>
      <c r="S49" s="182"/>
    </row>
    <row r="50" spans="1:20">
      <c r="D50" s="182"/>
      <c r="E50" s="447">
        <v>2000</v>
      </c>
      <c r="F50" s="447">
        <v>2001</v>
      </c>
      <c r="G50" s="447">
        <v>2002</v>
      </c>
      <c r="H50" s="447">
        <v>2003</v>
      </c>
      <c r="I50" s="447">
        <v>2004</v>
      </c>
      <c r="J50" s="447">
        <v>2005</v>
      </c>
      <c r="K50" s="447">
        <v>2006</v>
      </c>
      <c r="L50" s="447">
        <v>2007</v>
      </c>
      <c r="M50" s="447">
        <v>2008</v>
      </c>
      <c r="N50" s="447">
        <v>2009</v>
      </c>
      <c r="O50" s="447">
        <v>2010</v>
      </c>
      <c r="P50" s="447">
        <v>2011</v>
      </c>
      <c r="Q50" s="447">
        <v>2012</v>
      </c>
      <c r="R50" s="447">
        <v>2013</v>
      </c>
      <c r="S50" s="447">
        <v>2014</v>
      </c>
      <c r="T50" s="447">
        <f>T7</f>
        <v>9.2014999999999993</v>
      </c>
    </row>
    <row r="51" spans="1:20">
      <c r="A51" s="52"/>
      <c r="B51" s="38" t="s">
        <v>60</v>
      </c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>
      <c r="A52" s="52"/>
      <c r="B52" s="38" t="s">
        <v>59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>
      <c r="A53" s="52">
        <v>31</v>
      </c>
      <c r="B53" s="38"/>
      <c r="C53" s="38" t="s">
        <v>58</v>
      </c>
      <c r="D53" s="38"/>
      <c r="E53" s="448">
        <f>'CBR Hist'!F58</f>
        <v>15127</v>
      </c>
      <c r="F53" s="448">
        <f>'CBR Hist'!G58</f>
        <v>16340</v>
      </c>
      <c r="G53" s="448">
        <f>'CBR Hist'!H58</f>
        <v>20910</v>
      </c>
      <c r="H53" s="448">
        <f>'CBR Hist'!I58</f>
        <v>21299</v>
      </c>
      <c r="I53" s="448">
        <f>'CBR Hist'!J58</f>
        <v>21374</v>
      </c>
      <c r="J53" s="448">
        <f>'CBR Hist'!K58</f>
        <v>22459</v>
      </c>
      <c r="K53" s="448">
        <f>'CBR Hist'!L58</f>
        <v>23458</v>
      </c>
      <c r="L53" s="448">
        <f>'CBR Hist'!M58</f>
        <v>20632</v>
      </c>
      <c r="M53" s="448">
        <f>'CBR Hist'!N58</f>
        <v>23321</v>
      </c>
      <c r="N53" s="448">
        <f>'CBR Hist'!O58</f>
        <v>57116</v>
      </c>
      <c r="O53" s="448">
        <f>'CBR Hist'!P58</f>
        <v>81955</v>
      </c>
      <c r="P53" s="448">
        <f>'CBR Hist'!Q58</f>
        <v>84081</v>
      </c>
      <c r="Q53" s="448">
        <f>'CBR Hist'!R58</f>
        <v>85247</v>
      </c>
      <c r="R53" s="448">
        <f>'CBR Hist'!S58</f>
        <v>91466</v>
      </c>
      <c r="S53" s="448">
        <f>'CBR Hist'!T58</f>
        <v>102620</v>
      </c>
      <c r="T53" s="448">
        <f>'CBR Hist'!U58</f>
        <v>132877</v>
      </c>
    </row>
    <row r="54" spans="1:20">
      <c r="A54" s="52">
        <v>32</v>
      </c>
      <c r="B54" s="38"/>
      <c r="C54" s="38" t="s">
        <v>57</v>
      </c>
      <c r="D54" s="38"/>
      <c r="E54" s="147">
        <f>'CBR Hist'!F59</f>
        <v>369323</v>
      </c>
      <c r="F54" s="147">
        <f>'CBR Hist'!G59</f>
        <v>382522</v>
      </c>
      <c r="G54" s="147">
        <f>'CBR Hist'!H59</f>
        <v>598523</v>
      </c>
      <c r="H54" s="147">
        <f>'CBR Hist'!I59</f>
        <v>609668</v>
      </c>
      <c r="I54" s="147">
        <f>'CBR Hist'!J59</f>
        <v>651608</v>
      </c>
      <c r="J54" s="147">
        <f>'CBR Hist'!K59</f>
        <v>669043</v>
      </c>
      <c r="K54" s="147">
        <f>'CBR Hist'!L59</f>
        <v>703455</v>
      </c>
      <c r="L54" s="147">
        <f>'CBR Hist'!M59</f>
        <v>712962</v>
      </c>
      <c r="M54" s="147">
        <f>'CBR Hist'!N59</f>
        <v>724416</v>
      </c>
      <c r="N54" s="147">
        <f>'CBR Hist'!O59</f>
        <v>751055</v>
      </c>
      <c r="O54" s="147">
        <f>'CBR Hist'!P59</f>
        <v>767632</v>
      </c>
      <c r="P54" s="147">
        <f>'CBR Hist'!Q59</f>
        <v>706894</v>
      </c>
      <c r="Q54" s="147">
        <f>'CBR Hist'!R59</f>
        <v>717448</v>
      </c>
      <c r="R54" s="147">
        <f>'CBR Hist'!S59</f>
        <v>738315</v>
      </c>
      <c r="S54" s="147">
        <f>'CBR Hist'!T59</f>
        <v>746101</v>
      </c>
      <c r="T54" s="147">
        <f>'CBR Hist'!U59</f>
        <v>762834</v>
      </c>
    </row>
    <row r="55" spans="1:20">
      <c r="A55" s="52">
        <v>33</v>
      </c>
      <c r="B55" s="38"/>
      <c r="C55" s="38" t="s">
        <v>56</v>
      </c>
      <c r="D55" s="38"/>
      <c r="E55" s="147">
        <f>'CBR Hist'!F60</f>
        <v>181627</v>
      </c>
      <c r="F55" s="147">
        <f>'CBR Hist'!G60</f>
        <v>191517</v>
      </c>
      <c r="G55" s="147">
        <f>'CBR Hist'!H60</f>
        <v>186550</v>
      </c>
      <c r="H55" s="147">
        <f>'CBR Hist'!I60</f>
        <v>196937</v>
      </c>
      <c r="I55" s="147">
        <f>'CBR Hist'!J60</f>
        <v>213539</v>
      </c>
      <c r="J55" s="147">
        <f>'CBR Hist'!K60</f>
        <v>224696</v>
      </c>
      <c r="K55" s="147">
        <f>'CBR Hist'!L60</f>
        <v>244435</v>
      </c>
      <c r="L55" s="147">
        <f>'CBR Hist'!M60</f>
        <v>259532</v>
      </c>
      <c r="M55" s="147">
        <f>'CBR Hist'!N60</f>
        <v>289302</v>
      </c>
      <c r="N55" s="147">
        <f>'CBR Hist'!O60</f>
        <v>301090</v>
      </c>
      <c r="O55" s="147">
        <f>'CBR Hist'!P60</f>
        <v>312505</v>
      </c>
      <c r="P55" s="147">
        <f>'CBR Hist'!Q60</f>
        <v>328012</v>
      </c>
      <c r="Q55" s="147">
        <f>'CBR Hist'!R60</f>
        <v>342382</v>
      </c>
      <c r="R55" s="147">
        <f>'CBR Hist'!S60</f>
        <v>359941</v>
      </c>
      <c r="S55" s="147">
        <f>'CBR Hist'!T60</f>
        <v>371971</v>
      </c>
      <c r="T55" s="147">
        <f>'CBR Hist'!U60</f>
        <v>390240</v>
      </c>
    </row>
    <row r="56" spans="1:20">
      <c r="A56" s="52">
        <v>34</v>
      </c>
      <c r="B56" s="38"/>
      <c r="C56" s="38" t="s">
        <v>55</v>
      </c>
      <c r="D56" s="38"/>
      <c r="E56" s="147">
        <f>'CBR Hist'!F61</f>
        <v>398104</v>
      </c>
      <c r="F56" s="147">
        <f>'CBR Hist'!G61</f>
        <v>416427</v>
      </c>
      <c r="G56" s="147">
        <f>'CBR Hist'!H61</f>
        <v>429742</v>
      </c>
      <c r="H56" s="147">
        <f>'CBR Hist'!I61</f>
        <v>443424</v>
      </c>
      <c r="I56" s="147">
        <f>'CBR Hist'!J61</f>
        <v>459516</v>
      </c>
      <c r="J56" s="147">
        <f>'CBR Hist'!K61</f>
        <v>480638</v>
      </c>
      <c r="K56" s="147">
        <f>'CBR Hist'!L61</f>
        <v>502571</v>
      </c>
      <c r="L56" s="147">
        <f>'CBR Hist'!M61</f>
        <v>528809</v>
      </c>
      <c r="M56" s="147">
        <f>'CBR Hist'!N61</f>
        <v>561016</v>
      </c>
      <c r="N56" s="147">
        <f>'CBR Hist'!O61</f>
        <v>598884</v>
      </c>
      <c r="O56" s="147">
        <f>'CBR Hist'!P61</f>
        <v>638445</v>
      </c>
      <c r="P56" s="147">
        <f>'CBR Hist'!Q61</f>
        <v>696082</v>
      </c>
      <c r="Q56" s="147">
        <f>'CBR Hist'!R61</f>
        <v>743732</v>
      </c>
      <c r="R56" s="147">
        <f>'CBR Hist'!S61</f>
        <v>796640</v>
      </c>
      <c r="S56" s="147">
        <f>'CBR Hist'!T61</f>
        <v>842795</v>
      </c>
      <c r="T56" s="147">
        <f>'CBR Hist'!U61</f>
        <v>880960</v>
      </c>
    </row>
    <row r="57" spans="1:20">
      <c r="A57" s="52">
        <v>35</v>
      </c>
      <c r="B57" s="38"/>
      <c r="C57" s="38" t="s">
        <v>54</v>
      </c>
      <c r="D57" s="38"/>
      <c r="E57" s="147">
        <f>'CBR Hist'!F62</f>
        <v>58402</v>
      </c>
      <c r="F57" s="147">
        <f>'CBR Hist'!G62</f>
        <v>59846</v>
      </c>
      <c r="G57" s="147">
        <f>'CBR Hist'!H62</f>
        <v>59771</v>
      </c>
      <c r="H57" s="147">
        <f>'CBR Hist'!I62</f>
        <v>60444</v>
      </c>
      <c r="I57" s="147">
        <f>'CBR Hist'!J62</f>
        <v>63155</v>
      </c>
      <c r="J57" s="147">
        <f>'CBR Hist'!K62</f>
        <v>65299</v>
      </c>
      <c r="K57" s="147">
        <f>'CBR Hist'!L62</f>
        <v>80110</v>
      </c>
      <c r="L57" s="147">
        <f>'CBR Hist'!M62</f>
        <v>81368</v>
      </c>
      <c r="M57" s="147">
        <f>'CBR Hist'!N62</f>
        <v>91205</v>
      </c>
      <c r="N57" s="147">
        <f>'CBR Hist'!O62</f>
        <v>98727</v>
      </c>
      <c r="O57" s="147">
        <f>'CBR Hist'!P62</f>
        <v>120996</v>
      </c>
      <c r="P57" s="147">
        <f>'CBR Hist'!Q62</f>
        <v>140218</v>
      </c>
      <c r="Q57" s="147">
        <f>'CBR Hist'!R62</f>
        <v>155104</v>
      </c>
      <c r="R57" s="147">
        <f>'CBR Hist'!S62</f>
        <v>179134</v>
      </c>
      <c r="S57" s="147">
        <f>'CBR Hist'!T62</f>
        <v>196867</v>
      </c>
      <c r="T57" s="147">
        <f>'CBR Hist'!U62</f>
        <v>207659</v>
      </c>
    </row>
    <row r="58" spans="1:20">
      <c r="A58" s="52">
        <v>36</v>
      </c>
      <c r="B58" s="38" t="s">
        <v>53</v>
      </c>
      <c r="C58" s="38"/>
      <c r="D58" s="38"/>
      <c r="E58" s="312">
        <f>SUM(E53:E57)</f>
        <v>1022583</v>
      </c>
      <c r="F58" s="312">
        <f t="shared" ref="F58:O58" si="5">SUM(F53:F57)</f>
        <v>1066652</v>
      </c>
      <c r="G58" s="312">
        <f t="shared" si="5"/>
        <v>1295496</v>
      </c>
      <c r="H58" s="312">
        <f t="shared" si="5"/>
        <v>1331772</v>
      </c>
      <c r="I58" s="312">
        <f t="shared" si="5"/>
        <v>1409192</v>
      </c>
      <c r="J58" s="312">
        <f t="shared" si="5"/>
        <v>1462135</v>
      </c>
      <c r="K58" s="312">
        <f t="shared" si="5"/>
        <v>1554029</v>
      </c>
      <c r="L58" s="312">
        <f t="shared" si="5"/>
        <v>1603303</v>
      </c>
      <c r="M58" s="312">
        <f t="shared" si="5"/>
        <v>1689260</v>
      </c>
      <c r="N58" s="312">
        <f t="shared" si="5"/>
        <v>1806872</v>
      </c>
      <c r="O58" s="312">
        <f t="shared" si="5"/>
        <v>1921533</v>
      </c>
      <c r="P58" s="312">
        <f t="shared" ref="P58" si="6">SUM(P53:P57)</f>
        <v>1955287</v>
      </c>
      <c r="Q58" s="312">
        <f t="shared" ref="Q58:R58" si="7">SUM(Q53:Q57)</f>
        <v>2043913</v>
      </c>
      <c r="R58" s="312">
        <f t="shared" si="7"/>
        <v>2165496</v>
      </c>
      <c r="S58" s="312">
        <f t="shared" ref="S58:T58" si="8">SUM(S53:S57)</f>
        <v>2260354</v>
      </c>
      <c r="T58" s="312">
        <f t="shared" si="8"/>
        <v>2374570</v>
      </c>
    </row>
    <row r="59" spans="1:20">
      <c r="A59" s="52"/>
      <c r="B59" s="38" t="s">
        <v>141</v>
      </c>
      <c r="C59" s="38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>
      <c r="A60" s="52">
        <v>37</v>
      </c>
      <c r="B60" s="38"/>
      <c r="C60" s="38" t="s">
        <v>58</v>
      </c>
      <c r="D60" s="38"/>
      <c r="E60" s="149" t="s">
        <v>277</v>
      </c>
      <c r="F60" s="149" t="s">
        <v>277</v>
      </c>
      <c r="G60" s="149" t="s">
        <v>277</v>
      </c>
      <c r="H60" s="149" t="s">
        <v>277</v>
      </c>
      <c r="I60" s="149" t="s">
        <v>277</v>
      </c>
      <c r="J60" s="149" t="s">
        <v>277</v>
      </c>
      <c r="K60" s="149" t="s">
        <v>277</v>
      </c>
      <c r="L60" s="149" t="s">
        <v>277</v>
      </c>
      <c r="M60" s="149" t="s">
        <v>277</v>
      </c>
      <c r="N60" s="149" t="s">
        <v>277</v>
      </c>
      <c r="O60" s="149" t="s">
        <v>277</v>
      </c>
      <c r="P60" s="147">
        <f>'CBR Hist'!Q65</f>
        <v>3744</v>
      </c>
      <c r="Q60" s="147">
        <f>'CBR Hist'!R65</f>
        <v>4369</v>
      </c>
      <c r="R60" s="147">
        <f>'CBR Hist'!S65</f>
        <v>17667</v>
      </c>
      <c r="S60" s="147">
        <f>'CBR Hist'!T65</f>
        <v>20242</v>
      </c>
      <c r="T60" s="147">
        <f>'CBR Hist'!U65</f>
        <v>23450</v>
      </c>
    </row>
    <row r="61" spans="1:20">
      <c r="A61" s="52">
        <v>38</v>
      </c>
      <c r="B61" s="38"/>
      <c r="C61" s="38" t="s">
        <v>57</v>
      </c>
      <c r="D61" s="38"/>
      <c r="E61" s="149" t="s">
        <v>277</v>
      </c>
      <c r="F61" s="149" t="s">
        <v>277</v>
      </c>
      <c r="G61" s="149" t="s">
        <v>277</v>
      </c>
      <c r="H61" s="149" t="s">
        <v>277</v>
      </c>
      <c r="I61" s="149" t="s">
        <v>277</v>
      </c>
      <c r="J61" s="149" t="s">
        <v>277</v>
      </c>
      <c r="K61" s="149" t="s">
        <v>277</v>
      </c>
      <c r="L61" s="149" t="s">
        <v>277</v>
      </c>
      <c r="M61" s="149" t="s">
        <v>277</v>
      </c>
      <c r="N61" s="149" t="s">
        <v>277</v>
      </c>
      <c r="O61" s="149" t="s">
        <v>277</v>
      </c>
      <c r="P61" s="147">
        <f>'CBR Hist'!Q66</f>
        <v>286300</v>
      </c>
      <c r="Q61" s="147">
        <f>'CBR Hist'!R66</f>
        <v>300170</v>
      </c>
      <c r="R61" s="147">
        <f>'CBR Hist'!S66</f>
        <v>314599</v>
      </c>
      <c r="S61" s="147">
        <f>'CBR Hist'!T66</f>
        <v>325531</v>
      </c>
      <c r="T61" s="147">
        <f>'CBR Hist'!U66</f>
        <v>334622</v>
      </c>
    </row>
    <row r="62" spans="1:20">
      <c r="A62" s="52">
        <v>39</v>
      </c>
      <c r="B62" s="38"/>
      <c r="C62" s="38" t="s">
        <v>56</v>
      </c>
      <c r="D62" s="38"/>
      <c r="E62" s="149" t="s">
        <v>277</v>
      </c>
      <c r="F62" s="149" t="s">
        <v>277</v>
      </c>
      <c r="G62" s="149" t="s">
        <v>277</v>
      </c>
      <c r="H62" s="149" t="s">
        <v>277</v>
      </c>
      <c r="I62" s="149" t="s">
        <v>277</v>
      </c>
      <c r="J62" s="149" t="s">
        <v>277</v>
      </c>
      <c r="K62" s="149" t="s">
        <v>277</v>
      </c>
      <c r="L62" s="149" t="s">
        <v>277</v>
      </c>
      <c r="M62" s="149" t="s">
        <v>277</v>
      </c>
      <c r="N62" s="149" t="s">
        <v>277</v>
      </c>
      <c r="O62" s="149" t="s">
        <v>277</v>
      </c>
      <c r="P62" s="147">
        <f>'CBR Hist'!Q67</f>
        <v>111144</v>
      </c>
      <c r="Q62" s="147">
        <f>'CBR Hist'!R67</f>
        <v>116316</v>
      </c>
      <c r="R62" s="147">
        <f>'CBR Hist'!S67</f>
        <v>122308</v>
      </c>
      <c r="S62" s="147">
        <f>'CBR Hist'!T67</f>
        <v>123869</v>
      </c>
      <c r="T62" s="147">
        <f>'CBR Hist'!U67</f>
        <v>126839</v>
      </c>
    </row>
    <row r="63" spans="1:20">
      <c r="A63" s="52">
        <v>40</v>
      </c>
      <c r="B63" s="38"/>
      <c r="C63" s="38" t="s">
        <v>55</v>
      </c>
      <c r="D63" s="38"/>
      <c r="E63" s="149" t="s">
        <v>277</v>
      </c>
      <c r="F63" s="149" t="s">
        <v>277</v>
      </c>
      <c r="G63" s="149" t="s">
        <v>277</v>
      </c>
      <c r="H63" s="149" t="s">
        <v>277</v>
      </c>
      <c r="I63" s="149" t="s">
        <v>277</v>
      </c>
      <c r="J63" s="149" t="s">
        <v>277</v>
      </c>
      <c r="K63" s="149" t="s">
        <v>277</v>
      </c>
      <c r="L63" s="149" t="s">
        <v>277</v>
      </c>
      <c r="M63" s="149" t="s">
        <v>277</v>
      </c>
      <c r="N63" s="149" t="s">
        <v>277</v>
      </c>
      <c r="O63" s="149" t="s">
        <v>277</v>
      </c>
      <c r="P63" s="147">
        <f>'CBR Hist'!Q68</f>
        <v>209101</v>
      </c>
      <c r="Q63" s="147">
        <f>'CBR Hist'!R68</f>
        <v>221408</v>
      </c>
      <c r="R63" s="147">
        <f>'CBR Hist'!S68</f>
        <v>236201</v>
      </c>
      <c r="S63" s="147">
        <f>'CBR Hist'!T68</f>
        <v>252722</v>
      </c>
      <c r="T63" s="147">
        <f>'CBR Hist'!U68</f>
        <v>268267</v>
      </c>
    </row>
    <row r="64" spans="1:20">
      <c r="A64" s="52">
        <v>41</v>
      </c>
      <c r="B64" s="38"/>
      <c r="C64" s="38" t="s">
        <v>54</v>
      </c>
      <c r="D64" s="38"/>
      <c r="E64" s="149" t="s">
        <v>277</v>
      </c>
      <c r="F64" s="149" t="s">
        <v>277</v>
      </c>
      <c r="G64" s="149" t="s">
        <v>277</v>
      </c>
      <c r="H64" s="149" t="s">
        <v>277</v>
      </c>
      <c r="I64" s="149" t="s">
        <v>277</v>
      </c>
      <c r="J64" s="149" t="s">
        <v>277</v>
      </c>
      <c r="K64" s="149" t="s">
        <v>277</v>
      </c>
      <c r="L64" s="149" t="s">
        <v>277</v>
      </c>
      <c r="M64" s="149" t="s">
        <v>277</v>
      </c>
      <c r="N64" s="149" t="s">
        <v>277</v>
      </c>
      <c r="O64" s="149" t="s">
        <v>277</v>
      </c>
      <c r="P64" s="147">
        <f>'CBR Hist'!Q69</f>
        <v>56694</v>
      </c>
      <c r="Q64" s="147">
        <f>'CBR Hist'!R69</f>
        <v>61871</v>
      </c>
      <c r="R64" s="147">
        <f>'CBR Hist'!S69</f>
        <v>58357</v>
      </c>
      <c r="S64" s="147">
        <f>'CBR Hist'!T69</f>
        <v>65720</v>
      </c>
      <c r="T64" s="147">
        <f>'CBR Hist'!U69</f>
        <v>70794</v>
      </c>
    </row>
    <row r="65" spans="1:20">
      <c r="A65" s="52">
        <v>42</v>
      </c>
      <c r="B65" s="38" t="s">
        <v>142</v>
      </c>
      <c r="C65" s="38"/>
      <c r="D65" s="38"/>
      <c r="E65" s="147">
        <f>'CBR Hist'!F70</f>
        <v>348345</v>
      </c>
      <c r="F65" s="147">
        <f>'CBR Hist'!G70</f>
        <v>359654</v>
      </c>
      <c r="G65" s="147">
        <f>'CBR Hist'!H70</f>
        <v>418593</v>
      </c>
      <c r="H65" s="147">
        <f>'CBR Hist'!I70</f>
        <v>450096</v>
      </c>
      <c r="I65" s="147">
        <f>'CBR Hist'!J70</f>
        <v>475935</v>
      </c>
      <c r="J65" s="147">
        <f>'CBR Hist'!K70</f>
        <v>503194</v>
      </c>
      <c r="K65" s="147">
        <f>'CBR Hist'!L70</f>
        <v>536682</v>
      </c>
      <c r="L65" s="147">
        <f>'CBR Hist'!M70</f>
        <v>567320</v>
      </c>
      <c r="M65" s="147">
        <f>'CBR Hist'!N70</f>
        <v>600292</v>
      </c>
      <c r="N65" s="147">
        <f>'CBR Hist'!O70</f>
        <v>632110</v>
      </c>
      <c r="O65" s="147">
        <f>'CBR Hist'!P70</f>
        <v>676635</v>
      </c>
      <c r="P65" s="316">
        <f>SUM(P60:P64)</f>
        <v>666983</v>
      </c>
      <c r="Q65" s="316">
        <f>SUM(Q60:Q64)</f>
        <v>704134</v>
      </c>
      <c r="R65" s="316">
        <f>SUM(R60:R64)</f>
        <v>749132</v>
      </c>
      <c r="S65" s="316">
        <f>SUM(S60:S64)</f>
        <v>788084</v>
      </c>
      <c r="T65" s="316">
        <f>SUM(T60:T64)</f>
        <v>823972</v>
      </c>
    </row>
    <row r="66" spans="1:20">
      <c r="A66" s="52">
        <v>43</v>
      </c>
      <c r="B66" s="38" t="s">
        <v>143</v>
      </c>
      <c r="C66" s="38"/>
      <c r="D66" s="38"/>
      <c r="E66" s="315">
        <f t="shared" ref="E66" si="9">E58-E65</f>
        <v>674238</v>
      </c>
      <c r="F66" s="315">
        <f t="shared" ref="F66:O66" si="10">F58-F65</f>
        <v>706998</v>
      </c>
      <c r="G66" s="315">
        <f t="shared" si="10"/>
        <v>876903</v>
      </c>
      <c r="H66" s="315">
        <f t="shared" si="10"/>
        <v>881676</v>
      </c>
      <c r="I66" s="315">
        <f t="shared" si="10"/>
        <v>933257</v>
      </c>
      <c r="J66" s="315">
        <f t="shared" si="10"/>
        <v>958941</v>
      </c>
      <c r="K66" s="315">
        <f t="shared" si="10"/>
        <v>1017347</v>
      </c>
      <c r="L66" s="315">
        <f t="shared" si="10"/>
        <v>1035983</v>
      </c>
      <c r="M66" s="315">
        <f t="shared" si="10"/>
        <v>1088968</v>
      </c>
      <c r="N66" s="315">
        <f t="shared" si="10"/>
        <v>1174762</v>
      </c>
      <c r="O66" s="315">
        <f t="shared" si="10"/>
        <v>1244898</v>
      </c>
      <c r="P66" s="315">
        <f t="shared" ref="P66:Q66" si="11">P58-P65</f>
        <v>1288304</v>
      </c>
      <c r="Q66" s="315">
        <f t="shared" si="11"/>
        <v>1339779</v>
      </c>
      <c r="R66" s="315">
        <f t="shared" ref="R66:S66" si="12">R58-R65</f>
        <v>1416364</v>
      </c>
      <c r="S66" s="315">
        <f t="shared" si="12"/>
        <v>1472270</v>
      </c>
      <c r="T66" s="315">
        <f t="shared" ref="T66" si="13">T58-T65</f>
        <v>1550598</v>
      </c>
    </row>
    <row r="67" spans="1:20">
      <c r="A67" s="52"/>
      <c r="B67" s="38"/>
      <c r="C67" s="38"/>
      <c r="D67" s="38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</row>
    <row r="68" spans="1:20">
      <c r="A68" s="52">
        <v>44</v>
      </c>
      <c r="B68" s="38" t="s">
        <v>51</v>
      </c>
      <c r="C68" s="38"/>
      <c r="D68" s="38"/>
      <c r="E68" s="42">
        <f>'CBR Hist'!F73</f>
        <v>-104246</v>
      </c>
      <c r="F68" s="42">
        <f>'CBR Hist'!G73</f>
        <v>-108113</v>
      </c>
      <c r="G68" s="42">
        <f>'CBR Hist'!H73</f>
        <v>-113807</v>
      </c>
      <c r="H68" s="42">
        <f>'CBR Hist'!I73</f>
        <v>-138127</v>
      </c>
      <c r="I68" s="42">
        <f>'CBR Hist'!J73</f>
        <v>-154531</v>
      </c>
      <c r="J68" s="42">
        <f>'CBR Hist'!K73</f>
        <v>-138256</v>
      </c>
      <c r="K68" s="42">
        <f>'CBR Hist'!L73</f>
        <v>-142383</v>
      </c>
      <c r="L68" s="42">
        <f>'CBR Hist'!M73</f>
        <v>-143546</v>
      </c>
      <c r="M68" s="42">
        <f>'CBR Hist'!N73</f>
        <v>-151677</v>
      </c>
      <c r="N68" s="42">
        <f>'CBR Hist'!O73</f>
        <v>-169421</v>
      </c>
      <c r="O68" s="42">
        <f>'CBR Hist'!P73</f>
        <v>-190931</v>
      </c>
      <c r="P68" s="42">
        <f>'CBR Hist'!Q73</f>
        <v>-201163</v>
      </c>
      <c r="Q68" s="42">
        <f>'CBR Hist'!R73</f>
        <v>-208209</v>
      </c>
      <c r="R68" s="42">
        <f>'CBR Hist'!S73</f>
        <v>-221354</v>
      </c>
      <c r="S68" s="42">
        <f>'CBR Hist'!T73</f>
        <v>-257766</v>
      </c>
      <c r="T68" s="42">
        <f>'CBR Hist'!U73</f>
        <v>-300583</v>
      </c>
    </row>
    <row r="69" spans="1:20">
      <c r="A69" s="52">
        <v>45</v>
      </c>
      <c r="B69" s="38"/>
      <c r="C69" s="38" t="s">
        <v>291</v>
      </c>
      <c r="D69" s="38"/>
      <c r="E69" s="312">
        <f>E66+E68</f>
        <v>569992</v>
      </c>
      <c r="F69" s="312">
        <f t="shared" ref="F69:O69" si="14">F66+F68</f>
        <v>598885</v>
      </c>
      <c r="G69" s="312">
        <f t="shared" si="14"/>
        <v>763096</v>
      </c>
      <c r="H69" s="312">
        <f t="shared" si="14"/>
        <v>743549</v>
      </c>
      <c r="I69" s="312">
        <f t="shared" si="14"/>
        <v>778726</v>
      </c>
      <c r="J69" s="312">
        <f t="shared" si="14"/>
        <v>820685</v>
      </c>
      <c r="K69" s="312">
        <f t="shared" si="14"/>
        <v>874964</v>
      </c>
      <c r="L69" s="312">
        <f t="shared" si="14"/>
        <v>892437</v>
      </c>
      <c r="M69" s="312">
        <f t="shared" si="14"/>
        <v>937291</v>
      </c>
      <c r="N69" s="312">
        <f t="shared" si="14"/>
        <v>1005341</v>
      </c>
      <c r="O69" s="312">
        <f t="shared" si="14"/>
        <v>1053967</v>
      </c>
      <c r="P69" s="312">
        <f t="shared" ref="P69" si="15">P66+P68</f>
        <v>1087141</v>
      </c>
      <c r="Q69" s="312">
        <f t="shared" ref="Q69:R69" si="16">Q66+Q68</f>
        <v>1131570</v>
      </c>
      <c r="R69" s="312">
        <f t="shared" si="16"/>
        <v>1195010</v>
      </c>
      <c r="S69" s="312">
        <f t="shared" ref="S69:T69" si="17">S66+S68</f>
        <v>1214504</v>
      </c>
      <c r="T69" s="312">
        <f t="shared" si="17"/>
        <v>1250015</v>
      </c>
    </row>
    <row r="70" spans="1:20">
      <c r="A70" s="52">
        <v>46</v>
      </c>
      <c r="B70" s="38" t="s">
        <v>145</v>
      </c>
      <c r="C70" s="38"/>
      <c r="D70" s="38"/>
      <c r="E70" s="147">
        <f>'CBR Hist'!F75</f>
        <v>-1500</v>
      </c>
      <c r="F70" s="147">
        <f>'CBR Hist'!G75</f>
        <v>-1370</v>
      </c>
      <c r="G70" s="147">
        <f>'CBR Hist'!H75</f>
        <v>-1238</v>
      </c>
      <c r="H70" s="147">
        <f>'CBR Hist'!I75</f>
        <v>-1106</v>
      </c>
      <c r="I70" s="147">
        <f>'CBR Hist'!J75</f>
        <v>-715</v>
      </c>
      <c r="J70" s="147">
        <f>'CBR Hist'!K75</f>
        <v>-843</v>
      </c>
      <c r="K70" s="147">
        <f>'CBR Hist'!L75</f>
        <v>-453</v>
      </c>
      <c r="L70" s="147">
        <f>'CBR Hist'!M75</f>
        <v>-582</v>
      </c>
      <c r="M70" s="147">
        <f>'CBR Hist'!N75</f>
        <v>-451</v>
      </c>
      <c r="N70" s="147">
        <f>'CBR Hist'!O75</f>
        <v>-322</v>
      </c>
      <c r="O70" s="147">
        <f>'CBR Hist'!P75</f>
        <v>-127</v>
      </c>
      <c r="P70" s="147">
        <f>'CBR Hist'!Q75</f>
        <v>32534</v>
      </c>
      <c r="Q70" s="147">
        <f>'CBR Hist'!R75</f>
        <v>16438</v>
      </c>
      <c r="R70" s="147">
        <f>'CBR Hist'!S75</f>
        <v>14761</v>
      </c>
      <c r="S70" s="147">
        <f>'CBR Hist'!T75</f>
        <v>10846</v>
      </c>
      <c r="T70" s="147">
        <f>'CBR Hist'!U75</f>
        <v>8204</v>
      </c>
    </row>
    <row r="71" spans="1:20">
      <c r="A71" s="52">
        <v>47</v>
      </c>
      <c r="B71" s="38" t="s">
        <v>52</v>
      </c>
      <c r="C71" s="38"/>
      <c r="D71" s="38"/>
      <c r="E71" s="147">
        <f>'CBR Hist'!F76</f>
        <v>0</v>
      </c>
      <c r="F71" s="147">
        <f>'CBR Hist'!G76</f>
        <v>0</v>
      </c>
      <c r="G71" s="147">
        <f>'CBR Hist'!H76</f>
        <v>0</v>
      </c>
      <c r="H71" s="147">
        <f>'CBR Hist'!I76</f>
        <v>0</v>
      </c>
      <c r="I71" s="147">
        <f>'CBR Hist'!J76</f>
        <v>0</v>
      </c>
      <c r="J71" s="147">
        <f>'CBR Hist'!K76</f>
        <v>0</v>
      </c>
      <c r="K71" s="147">
        <f>'CBR Hist'!L76</f>
        <v>0</v>
      </c>
      <c r="L71" s="147">
        <f>'CBR Hist'!M76</f>
        <v>0</v>
      </c>
      <c r="M71" s="147">
        <f>'CBR Hist'!N76</f>
        <v>0</v>
      </c>
      <c r="N71" s="147">
        <f>'CBR Hist'!O76</f>
        <v>0</v>
      </c>
      <c r="O71" s="147">
        <f>'CBR Hist'!P76</f>
        <v>18188</v>
      </c>
      <c r="P71" s="147">
        <f>'CBR Hist'!Q76</f>
        <v>18188</v>
      </c>
      <c r="Q71" s="147">
        <f>'CBR Hist'!R76</f>
        <v>10967</v>
      </c>
      <c r="R71" s="147">
        <f>'CBR Hist'!S76</f>
        <v>16281</v>
      </c>
      <c r="S71" s="147">
        <f>'CBR Hist'!T76</f>
        <v>47807</v>
      </c>
      <c r="T71" s="147">
        <f>'CBR Hist'!U76</f>
        <v>56566</v>
      </c>
    </row>
    <row r="72" spans="1:20">
      <c r="A72" s="52"/>
      <c r="B72" s="38"/>
      <c r="C72" s="38"/>
      <c r="D72" s="3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3.5" thickBot="1">
      <c r="A73" s="52">
        <v>48</v>
      </c>
      <c r="B73" s="38" t="s">
        <v>50</v>
      </c>
      <c r="C73" s="38"/>
      <c r="D73" s="38"/>
      <c r="E73" s="314">
        <f>SUM(E69:E72)</f>
        <v>568492</v>
      </c>
      <c r="F73" s="314">
        <f t="shared" ref="F73:O73" si="18">SUM(F69:F72)</f>
        <v>597515</v>
      </c>
      <c r="G73" s="314">
        <f t="shared" si="18"/>
        <v>761858</v>
      </c>
      <c r="H73" s="314">
        <f t="shared" si="18"/>
        <v>742443</v>
      </c>
      <c r="I73" s="314">
        <f t="shared" si="18"/>
        <v>778011</v>
      </c>
      <c r="J73" s="314">
        <f t="shared" si="18"/>
        <v>819842</v>
      </c>
      <c r="K73" s="314">
        <f t="shared" si="18"/>
        <v>874511</v>
      </c>
      <c r="L73" s="314">
        <f t="shared" si="18"/>
        <v>891855</v>
      </c>
      <c r="M73" s="314">
        <f t="shared" si="18"/>
        <v>936840</v>
      </c>
      <c r="N73" s="314">
        <f t="shared" si="18"/>
        <v>1005019</v>
      </c>
      <c r="O73" s="314">
        <f t="shared" si="18"/>
        <v>1072028</v>
      </c>
      <c r="P73" s="314">
        <f t="shared" ref="P73" si="19">SUM(P69:P72)</f>
        <v>1137863</v>
      </c>
      <c r="Q73" s="314">
        <f t="shared" ref="Q73:R73" si="20">SUM(Q69:Q72)</f>
        <v>1158975</v>
      </c>
      <c r="R73" s="314">
        <f t="shared" si="20"/>
        <v>1226052</v>
      </c>
      <c r="S73" s="314">
        <f t="shared" ref="S73:T73" si="21">SUM(S69:S72)</f>
        <v>1273157</v>
      </c>
      <c r="T73" s="314">
        <f t="shared" si="21"/>
        <v>1314785</v>
      </c>
    </row>
    <row r="74" spans="1:20" ht="13.5" thickTop="1">
      <c r="D74" s="182"/>
      <c r="E74" s="182" t="str">
        <f>IF(E66+E68+E70+E71=E73,"","check total")</f>
        <v/>
      </c>
      <c r="F74" s="182" t="str">
        <f t="shared" ref="F74:Q74" si="22">IF(F66+F68+F70+F71=F73,"","check total")</f>
        <v/>
      </c>
      <c r="G74" s="182" t="str">
        <f t="shared" si="22"/>
        <v/>
      </c>
      <c r="H74" s="182" t="str">
        <f t="shared" si="22"/>
        <v/>
      </c>
      <c r="I74" s="182" t="str">
        <f t="shared" si="22"/>
        <v/>
      </c>
      <c r="J74" s="182" t="str">
        <f t="shared" si="22"/>
        <v/>
      </c>
      <c r="K74" s="182" t="str">
        <f t="shared" si="22"/>
        <v/>
      </c>
      <c r="L74" s="182" t="str">
        <f t="shared" si="22"/>
        <v/>
      </c>
      <c r="M74" s="182" t="str">
        <f t="shared" si="22"/>
        <v/>
      </c>
      <c r="N74" s="182" t="str">
        <f t="shared" si="22"/>
        <v/>
      </c>
      <c r="O74" s="182" t="str">
        <f t="shared" si="22"/>
        <v/>
      </c>
      <c r="P74" s="182" t="str">
        <f t="shared" si="22"/>
        <v/>
      </c>
      <c r="Q74" s="182" t="str">
        <f t="shared" si="22"/>
        <v/>
      </c>
      <c r="R74" s="182"/>
      <c r="S74" s="182"/>
    </row>
    <row r="75" spans="1:20">
      <c r="D75" s="182"/>
      <c r="E75" s="449">
        <f>E50</f>
        <v>2000</v>
      </c>
      <c r="F75" s="449">
        <f t="shared" ref="F75:R75" si="23">F50</f>
        <v>2001</v>
      </c>
      <c r="G75" s="449">
        <f t="shared" si="23"/>
        <v>2002</v>
      </c>
      <c r="H75" s="449">
        <f t="shared" si="23"/>
        <v>2003</v>
      </c>
      <c r="I75" s="449">
        <f t="shared" si="23"/>
        <v>2004</v>
      </c>
      <c r="J75" s="449">
        <f t="shared" si="23"/>
        <v>2005</v>
      </c>
      <c r="K75" s="449">
        <f t="shared" si="23"/>
        <v>2006</v>
      </c>
      <c r="L75" s="449">
        <f t="shared" si="23"/>
        <v>2007</v>
      </c>
      <c r="M75" s="449">
        <f t="shared" si="23"/>
        <v>2008</v>
      </c>
      <c r="N75" s="449">
        <f t="shared" si="23"/>
        <v>2009</v>
      </c>
      <c r="O75" s="449">
        <f t="shared" si="23"/>
        <v>2010</v>
      </c>
      <c r="P75" s="449">
        <f t="shared" si="23"/>
        <v>2011</v>
      </c>
      <c r="Q75" s="449">
        <f t="shared" si="23"/>
        <v>2012</v>
      </c>
      <c r="R75" s="449">
        <f t="shared" si="23"/>
        <v>2013</v>
      </c>
      <c r="S75" s="449">
        <f t="shared" ref="S75:T75" si="24">S50</f>
        <v>2014</v>
      </c>
      <c r="T75" s="449">
        <f t="shared" si="24"/>
        <v>9.2014999999999993</v>
      </c>
    </row>
    <row r="76" spans="1:20">
      <c r="B76" s="44" t="s">
        <v>243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</row>
    <row r="77" spans="1:20">
      <c r="A77" s="10" t="s">
        <v>329</v>
      </c>
      <c r="D77" s="450" t="s">
        <v>237</v>
      </c>
      <c r="E77" s="184">
        <v>-1500</v>
      </c>
      <c r="F77" s="184">
        <v>-1370</v>
      </c>
      <c r="G77" s="184">
        <v>-1238</v>
      </c>
      <c r="H77" s="184">
        <v>-1106</v>
      </c>
      <c r="I77" s="184">
        <v>-715</v>
      </c>
      <c r="J77" s="184">
        <v>-843</v>
      </c>
      <c r="K77" s="184">
        <v>-453</v>
      </c>
      <c r="L77" s="184">
        <v>-582</v>
      </c>
      <c r="M77" s="184">
        <v>-451</v>
      </c>
      <c r="N77" s="184">
        <v>-322</v>
      </c>
      <c r="O77" s="184">
        <v>-127</v>
      </c>
      <c r="P77" s="184">
        <v>-66</v>
      </c>
      <c r="Q77" s="184">
        <v>0</v>
      </c>
      <c r="R77" s="184">
        <v>0</v>
      </c>
      <c r="S77" s="184">
        <v>0</v>
      </c>
      <c r="T77" s="184">
        <v>0</v>
      </c>
    </row>
    <row r="78" spans="1:20">
      <c r="A78" s="10" t="s">
        <v>347</v>
      </c>
      <c r="D78" s="450" t="s">
        <v>334</v>
      </c>
      <c r="E78" s="184">
        <v>525</v>
      </c>
      <c r="F78" s="184">
        <v>480</v>
      </c>
      <c r="G78" s="184">
        <v>433</v>
      </c>
      <c r="H78" s="184">
        <v>387</v>
      </c>
      <c r="I78" s="184">
        <v>250</v>
      </c>
      <c r="J78" s="184">
        <v>295</v>
      </c>
      <c r="K78" s="184">
        <v>158</v>
      </c>
      <c r="L78" s="184">
        <v>204</v>
      </c>
      <c r="M78" s="184">
        <v>158</v>
      </c>
      <c r="N78" s="184">
        <v>113</v>
      </c>
      <c r="O78" s="184"/>
      <c r="P78" s="184">
        <v>23</v>
      </c>
      <c r="Q78" s="184">
        <v>0</v>
      </c>
      <c r="R78" s="184">
        <v>0</v>
      </c>
      <c r="S78" s="184">
        <v>0</v>
      </c>
      <c r="T78" s="184">
        <v>0</v>
      </c>
    </row>
    <row r="79" spans="1:20">
      <c r="A79" s="10" t="s">
        <v>330</v>
      </c>
      <c r="D79" s="450" t="s">
        <v>345</v>
      </c>
      <c r="E79" s="184">
        <v>-7073</v>
      </c>
      <c r="F79" s="184">
        <v>-6807</v>
      </c>
      <c r="G79" s="184">
        <v>-7557</v>
      </c>
      <c r="H79" s="184">
        <v>-7254</v>
      </c>
      <c r="I79" s="184">
        <v>-7325</v>
      </c>
      <c r="J79" s="184">
        <v>-7278</v>
      </c>
      <c r="K79" s="184">
        <v>-7175</v>
      </c>
      <c r="L79" s="184">
        <v>-7452</v>
      </c>
      <c r="M79" s="184">
        <v>-7490</v>
      </c>
      <c r="N79" s="184">
        <v>-7390</v>
      </c>
      <c r="O79" s="184">
        <v>-7325</v>
      </c>
      <c r="P79" s="184">
        <v>-7307</v>
      </c>
      <c r="Q79" s="184">
        <v>-7359</v>
      </c>
      <c r="R79" s="184">
        <v>-7318</v>
      </c>
      <c r="S79" s="184">
        <v>-7426</v>
      </c>
      <c r="T79" s="184">
        <v>-7426</v>
      </c>
    </row>
    <row r="80" spans="1:20">
      <c r="A80" s="10" t="s">
        <v>330</v>
      </c>
      <c r="D80" s="450" t="s">
        <v>332</v>
      </c>
      <c r="E80" s="184">
        <v>3571</v>
      </c>
      <c r="F80" s="184">
        <v>3642</v>
      </c>
      <c r="G80" s="184">
        <v>4272</v>
      </c>
      <c r="H80" s="184">
        <v>4318</v>
      </c>
      <c r="I80" s="184">
        <v>5023</v>
      </c>
      <c r="J80" s="184">
        <v>4772</v>
      </c>
      <c r="K80" s="184">
        <v>4920</v>
      </c>
      <c r="L80" s="184">
        <v>5110</v>
      </c>
      <c r="M80" s="184">
        <v>5572</v>
      </c>
      <c r="N80" s="184">
        <v>5690</v>
      </c>
      <c r="O80" s="184">
        <v>5832</v>
      </c>
      <c r="P80" s="184">
        <v>6008</v>
      </c>
      <c r="Q80" s="184">
        <v>6242</v>
      </c>
      <c r="R80" s="184">
        <v>6375</v>
      </c>
      <c r="S80" s="184">
        <v>6614</v>
      </c>
      <c r="T80" s="184">
        <v>6724</v>
      </c>
    </row>
    <row r="81" spans="1:20">
      <c r="A81" s="10" t="s">
        <v>331</v>
      </c>
      <c r="D81" s="450" t="s">
        <v>345</v>
      </c>
      <c r="E81" s="184">
        <v>682</v>
      </c>
      <c r="F81" s="184">
        <v>651</v>
      </c>
      <c r="G81" s="184">
        <v>619</v>
      </c>
      <c r="H81" s="184">
        <v>587</v>
      </c>
      <c r="I81" s="184">
        <v>492</v>
      </c>
      <c r="J81" s="184">
        <v>524</v>
      </c>
      <c r="K81" s="184">
        <v>492</v>
      </c>
      <c r="L81" s="184">
        <v>460</v>
      </c>
      <c r="M81" s="184">
        <v>429</v>
      </c>
      <c r="N81" s="184">
        <v>426</v>
      </c>
      <c r="O81" s="184">
        <v>365</v>
      </c>
      <c r="P81" s="184">
        <v>1111</v>
      </c>
      <c r="Q81" s="184">
        <v>1111</v>
      </c>
      <c r="R81" s="184">
        <v>1111</v>
      </c>
      <c r="S81" s="184">
        <v>1111</v>
      </c>
      <c r="T81" s="184">
        <v>1111</v>
      </c>
    </row>
    <row r="82" spans="1:20">
      <c r="A82" s="10" t="s">
        <v>331</v>
      </c>
      <c r="D82" s="450" t="s">
        <v>332</v>
      </c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>
        <v>-778</v>
      </c>
      <c r="Q82" s="184">
        <v>-809</v>
      </c>
      <c r="R82" s="184">
        <v>-841</v>
      </c>
      <c r="S82" s="184">
        <v>-873</v>
      </c>
      <c r="T82" s="184">
        <v>-897</v>
      </c>
    </row>
    <row r="83" spans="1:20">
      <c r="A83" s="10" t="s">
        <v>333</v>
      </c>
      <c r="D83" s="450" t="s">
        <v>345</v>
      </c>
      <c r="E83" s="184">
        <v>-5248</v>
      </c>
      <c r="F83" s="184">
        <v>-5248</v>
      </c>
      <c r="G83" s="184">
        <v>-5248</v>
      </c>
      <c r="H83" s="184">
        <v>-5248</v>
      </c>
      <c r="I83" s="184">
        <v>-5248</v>
      </c>
      <c r="J83" s="184">
        <v>-5248</v>
      </c>
      <c r="K83" s="184">
        <v>-5248</v>
      </c>
      <c r="L83" s="184">
        <v>-5248</v>
      </c>
      <c r="M83" s="184">
        <v>-5248</v>
      </c>
      <c r="N83" s="184">
        <v>-5248</v>
      </c>
      <c r="O83" s="184">
        <v>-5248</v>
      </c>
      <c r="P83" s="184">
        <v>-5248</v>
      </c>
      <c r="Q83" s="184">
        <v>-5248</v>
      </c>
      <c r="R83" s="184">
        <v>-5248</v>
      </c>
      <c r="S83" s="184">
        <v>-5248</v>
      </c>
      <c r="T83" s="184">
        <v>-5248</v>
      </c>
    </row>
    <row r="84" spans="1:20">
      <c r="A84" s="10" t="s">
        <v>333</v>
      </c>
      <c r="D84" s="450" t="s">
        <v>332</v>
      </c>
      <c r="E84" s="184">
        <v>2619</v>
      </c>
      <c r="F84" s="184">
        <v>2783</v>
      </c>
      <c r="G84" s="184">
        <v>2947</v>
      </c>
      <c r="H84" s="184">
        <v>3111</v>
      </c>
      <c r="I84" s="184">
        <v>3559</v>
      </c>
      <c r="J84" s="184">
        <v>3424</v>
      </c>
      <c r="K84" s="184">
        <v>3559</v>
      </c>
      <c r="L84" s="184">
        <v>3695</v>
      </c>
      <c r="M84" s="184">
        <v>3830</v>
      </c>
      <c r="N84" s="184">
        <v>3964</v>
      </c>
      <c r="O84" s="184">
        <v>4100</v>
      </c>
      <c r="P84" s="184">
        <v>4235</v>
      </c>
      <c r="Q84" s="184">
        <v>4370</v>
      </c>
      <c r="R84" s="184">
        <v>4505</v>
      </c>
      <c r="S84" s="184">
        <v>4640</v>
      </c>
      <c r="T84" s="184">
        <v>4741</v>
      </c>
    </row>
    <row r="85" spans="1:20">
      <c r="A85" s="10" t="s">
        <v>333</v>
      </c>
      <c r="D85" s="450" t="s">
        <v>334</v>
      </c>
      <c r="E85" s="184">
        <v>1004</v>
      </c>
      <c r="F85" s="184">
        <v>948</v>
      </c>
      <c r="G85" s="184">
        <v>892</v>
      </c>
      <c r="H85" s="184">
        <v>836</v>
      </c>
      <c r="I85" s="184">
        <v>668</v>
      </c>
      <c r="J85" s="184">
        <v>724</v>
      </c>
      <c r="K85" s="184">
        <v>696</v>
      </c>
      <c r="L85" s="184">
        <v>640</v>
      </c>
      <c r="M85" s="184">
        <v>584</v>
      </c>
      <c r="N85" s="184">
        <v>528</v>
      </c>
      <c r="O85" s="184">
        <v>472</v>
      </c>
      <c r="P85" s="184">
        <v>416</v>
      </c>
      <c r="Q85" s="184">
        <v>360</v>
      </c>
      <c r="R85" s="184">
        <v>303</v>
      </c>
      <c r="S85" s="184">
        <v>247</v>
      </c>
      <c r="T85" s="184">
        <v>205</v>
      </c>
    </row>
    <row r="86" spans="1:20">
      <c r="A86" s="10" t="s">
        <v>335</v>
      </c>
      <c r="D86" s="450" t="s">
        <v>345</v>
      </c>
      <c r="E86" s="184"/>
      <c r="F86" s="184"/>
      <c r="G86" s="184">
        <v>79626</v>
      </c>
      <c r="H86" s="184">
        <v>79626</v>
      </c>
      <c r="I86" s="184">
        <v>79626</v>
      </c>
      <c r="J86" s="184">
        <v>79626</v>
      </c>
      <c r="K86" s="184">
        <v>79626</v>
      </c>
      <c r="L86" s="184">
        <v>79626</v>
      </c>
      <c r="M86" s="184">
        <v>79626</v>
      </c>
      <c r="N86" s="184">
        <v>79626</v>
      </c>
      <c r="O86" s="184">
        <v>79626</v>
      </c>
      <c r="P86" s="184">
        <v>79626</v>
      </c>
      <c r="Q86" s="184">
        <v>79626</v>
      </c>
      <c r="R86" s="184">
        <v>79626</v>
      </c>
      <c r="S86" s="184">
        <v>79626</v>
      </c>
      <c r="T86" s="184">
        <v>79626</v>
      </c>
    </row>
    <row r="87" spans="1:20">
      <c r="A87" s="10" t="s">
        <v>335</v>
      </c>
      <c r="D87" s="450" t="s">
        <v>332</v>
      </c>
      <c r="E87" s="184"/>
      <c r="F87" s="184"/>
      <c r="G87" s="184">
        <v>-37568</v>
      </c>
      <c r="H87" s="184">
        <v>-40018</v>
      </c>
      <c r="I87" s="184">
        <v>-47368</v>
      </c>
      <c r="J87" s="184">
        <v>-44918</v>
      </c>
      <c r="K87" s="184">
        <v>-52268</v>
      </c>
      <c r="L87" s="184">
        <v>-49818</v>
      </c>
      <c r="M87" s="184">
        <v>-52268</v>
      </c>
      <c r="N87" s="184">
        <v>-55943</v>
      </c>
      <c r="O87" s="184">
        <v>-57168</v>
      </c>
      <c r="P87" s="184">
        <v>-59618</v>
      </c>
      <c r="Q87" s="184">
        <v>-62068</v>
      </c>
      <c r="R87" s="184">
        <v>-64518</v>
      </c>
      <c r="S87" s="184">
        <v>-66968</v>
      </c>
      <c r="T87" s="184">
        <v>-68805</v>
      </c>
    </row>
    <row r="88" spans="1:20">
      <c r="A88" s="10" t="s">
        <v>335</v>
      </c>
      <c r="D88" s="450" t="s">
        <v>334</v>
      </c>
      <c r="E88" s="184"/>
      <c r="F88" s="184"/>
      <c r="G88" s="184">
        <v>-7339</v>
      </c>
      <c r="H88" s="184">
        <v>-6898</v>
      </c>
      <c r="I88" s="184">
        <v>-5577</v>
      </c>
      <c r="J88" s="184">
        <v>-6017</v>
      </c>
      <c r="K88" s="184">
        <v>-4917</v>
      </c>
      <c r="L88" s="184">
        <v>-5357</v>
      </c>
      <c r="M88" s="184">
        <v>-4917</v>
      </c>
      <c r="N88" s="184">
        <v>-4256</v>
      </c>
      <c r="O88" s="184">
        <v>-4036</v>
      </c>
      <c r="P88" s="184">
        <v>-3596</v>
      </c>
      <c r="Q88" s="184">
        <v>-3155</v>
      </c>
      <c r="R88" s="184">
        <v>-2715</v>
      </c>
      <c r="S88" s="184">
        <v>-2275</v>
      </c>
      <c r="T88" s="184">
        <v>-1945</v>
      </c>
    </row>
    <row r="89" spans="1:20">
      <c r="A89" s="10" t="s">
        <v>341</v>
      </c>
      <c r="D89" s="450" t="s">
        <v>345</v>
      </c>
      <c r="E89" s="184">
        <v>-74560</v>
      </c>
      <c r="F89" s="184">
        <v>-66845</v>
      </c>
      <c r="G89" s="184">
        <v>-14205</v>
      </c>
      <c r="H89" s="184">
        <v>-14205</v>
      </c>
      <c r="I89" s="184">
        <v>-14205</v>
      </c>
      <c r="J89" s="184">
        <v>-14205</v>
      </c>
      <c r="K89" s="184">
        <v>-14205</v>
      </c>
      <c r="L89" s="184"/>
      <c r="M89" s="184"/>
      <c r="N89" s="184"/>
      <c r="O89" s="184"/>
      <c r="P89" s="184"/>
      <c r="Q89" s="184"/>
      <c r="R89" s="182"/>
      <c r="S89" s="182"/>
    </row>
    <row r="90" spans="1:20">
      <c r="A90" s="10" t="s">
        <v>341</v>
      </c>
      <c r="D90" s="450" t="s">
        <v>332</v>
      </c>
      <c r="E90" s="184">
        <v>147</v>
      </c>
      <c r="F90" s="184">
        <v>7011</v>
      </c>
      <c r="G90" s="184">
        <v>3107</v>
      </c>
      <c r="H90" s="184">
        <v>4883</v>
      </c>
      <c r="I90" s="184">
        <v>10210</v>
      </c>
      <c r="J90" s="184">
        <v>8434</v>
      </c>
      <c r="K90" s="184">
        <v>13706</v>
      </c>
      <c r="L90" s="184"/>
      <c r="M90" s="184"/>
      <c r="N90" s="184"/>
      <c r="O90" s="184"/>
      <c r="P90" s="184"/>
      <c r="Q90" s="184"/>
      <c r="R90" s="182"/>
      <c r="S90" s="182"/>
    </row>
    <row r="91" spans="1:20">
      <c r="A91" s="10" t="s">
        <v>341</v>
      </c>
      <c r="D91" s="450" t="s">
        <v>334</v>
      </c>
      <c r="E91" s="184"/>
      <c r="F91" s="184"/>
      <c r="G91" s="184">
        <v>3574</v>
      </c>
      <c r="H91" s="184">
        <v>2952</v>
      </c>
      <c r="I91" s="184">
        <v>1088</v>
      </c>
      <c r="J91" s="184">
        <v>1709</v>
      </c>
      <c r="K91" s="184">
        <v>175</v>
      </c>
      <c r="L91" s="184"/>
      <c r="M91" s="184"/>
      <c r="N91" s="184"/>
      <c r="O91" s="184"/>
      <c r="P91" s="184"/>
      <c r="Q91" s="184"/>
      <c r="R91" s="182"/>
      <c r="S91" s="182"/>
    </row>
    <row r="92" spans="1:20">
      <c r="A92" s="10" t="s">
        <v>336</v>
      </c>
      <c r="D92" s="450" t="s">
        <v>345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>
        <f>673+247</f>
        <v>920</v>
      </c>
      <c r="O92" s="184">
        <f>1647+1201</f>
        <v>2848</v>
      </c>
      <c r="P92" s="184">
        <f>1432+104+687+436</f>
        <v>2659</v>
      </c>
      <c r="Q92" s="184">
        <f>1554+113+743+472</f>
        <v>2882</v>
      </c>
      <c r="R92" s="184">
        <f>1554+113+743+472</f>
        <v>2882</v>
      </c>
      <c r="S92" s="184">
        <f>1554+113+743+472</f>
        <v>2882</v>
      </c>
      <c r="T92" s="184">
        <f>1554+113+743+472</f>
        <v>2882</v>
      </c>
    </row>
    <row r="93" spans="1:20">
      <c r="A93" s="10" t="s">
        <v>336</v>
      </c>
      <c r="D93" s="450" t="s">
        <v>332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>
        <f>-273-20-129-82</f>
        <v>-504</v>
      </c>
      <c r="R93" s="184">
        <f>-425-31-202-129</f>
        <v>-787</v>
      </c>
      <c r="S93" s="184">
        <f>-578-42-275-175</f>
        <v>-1070</v>
      </c>
      <c r="T93" s="184">
        <f>-692-50-330-210</f>
        <v>-1282</v>
      </c>
    </row>
    <row r="94" spans="1:20">
      <c r="A94" s="10" t="s">
        <v>336</v>
      </c>
      <c r="D94" s="261" t="s">
        <v>334</v>
      </c>
      <c r="E94" s="255"/>
      <c r="F94" s="255"/>
      <c r="G94" s="255"/>
      <c r="H94" s="255"/>
      <c r="I94" s="255"/>
      <c r="J94" s="255"/>
      <c r="K94" s="255"/>
      <c r="L94" s="255"/>
      <c r="M94" s="255"/>
      <c r="N94" s="255">
        <f>-236-78</f>
        <v>-314</v>
      </c>
      <c r="O94" s="255">
        <f>-476-429</f>
        <v>-905</v>
      </c>
      <c r="P94" s="255">
        <f>-501-36-240-153</f>
        <v>-930</v>
      </c>
      <c r="Q94" s="255">
        <f>-448-33-215-136</f>
        <v>-832</v>
      </c>
      <c r="R94" s="255">
        <f>-395-189-121</f>
        <v>-705</v>
      </c>
      <c r="S94" s="184">
        <f>-342-163-104</f>
        <v>-609</v>
      </c>
      <c r="T94" s="184">
        <f>-302-145-92+2</f>
        <v>-537</v>
      </c>
    </row>
    <row r="95" spans="1:20">
      <c r="A95" s="10" t="s">
        <v>337</v>
      </c>
      <c r="D95" s="261" t="s">
        <v>345</v>
      </c>
      <c r="E95" s="255"/>
      <c r="F95" s="255"/>
      <c r="G95" s="255"/>
      <c r="H95" s="255"/>
      <c r="I95" s="255"/>
      <c r="J95" s="255"/>
      <c r="K95" s="255"/>
      <c r="L95" s="255"/>
      <c r="M95" s="255"/>
      <c r="N95" s="255">
        <v>5075</v>
      </c>
      <c r="O95" s="255">
        <v>4398</v>
      </c>
      <c r="P95" s="255">
        <v>3721</v>
      </c>
      <c r="Q95" s="255">
        <v>3045</v>
      </c>
      <c r="R95" s="255">
        <v>2368</v>
      </c>
      <c r="S95" s="184">
        <v>1692</v>
      </c>
      <c r="T95" s="184">
        <v>1184</v>
      </c>
    </row>
    <row r="96" spans="1:20">
      <c r="A96" s="10" t="s">
        <v>337</v>
      </c>
      <c r="D96" s="261" t="s">
        <v>334</v>
      </c>
      <c r="E96" s="255"/>
      <c r="F96" s="255"/>
      <c r="G96" s="255"/>
      <c r="H96" s="255"/>
      <c r="I96" s="255"/>
      <c r="J96" s="255"/>
      <c r="K96" s="255"/>
      <c r="L96" s="255"/>
      <c r="M96" s="255"/>
      <c r="N96" s="255">
        <v>-1776</v>
      </c>
      <c r="O96" s="255">
        <v>-1539</v>
      </c>
      <c r="P96" s="255">
        <v>-1303</v>
      </c>
      <c r="Q96" s="255">
        <v>-1066</v>
      </c>
      <c r="R96" s="255">
        <v>-829</v>
      </c>
      <c r="S96" s="184">
        <v>-592</v>
      </c>
      <c r="T96" s="184">
        <v>-414</v>
      </c>
    </row>
    <row r="97" spans="1:20">
      <c r="A97" s="10" t="s">
        <v>338</v>
      </c>
      <c r="D97" s="261" t="s">
        <v>345</v>
      </c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>
        <v>279</v>
      </c>
      <c r="P97" s="255">
        <v>6007</v>
      </c>
      <c r="Q97" s="255">
        <v>4647</v>
      </c>
      <c r="R97" s="255">
        <v>3287</v>
      </c>
      <c r="S97" s="184">
        <v>1927</v>
      </c>
      <c r="T97" s="184">
        <v>907</v>
      </c>
    </row>
    <row r="98" spans="1:20">
      <c r="A98" s="10" t="s">
        <v>338</v>
      </c>
      <c r="D98" s="261" t="s">
        <v>334</v>
      </c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>
        <v>-98</v>
      </c>
      <c r="P98" s="255">
        <v>-2102</v>
      </c>
      <c r="Q98" s="255">
        <v>-1626</v>
      </c>
      <c r="R98" s="255">
        <v>-1150</v>
      </c>
      <c r="S98" s="184">
        <v>-674</v>
      </c>
      <c r="T98" s="184">
        <v>-317</v>
      </c>
    </row>
    <row r="99" spans="1:20">
      <c r="A99" s="10" t="s">
        <v>342</v>
      </c>
      <c r="D99" s="261" t="s">
        <v>345</v>
      </c>
      <c r="E99" s="255">
        <v>24</v>
      </c>
      <c r="F99" s="255">
        <v>479</v>
      </c>
      <c r="G99" s="255">
        <v>286</v>
      </c>
      <c r="H99" s="255">
        <v>95</v>
      </c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184"/>
      <c r="T99" s="184"/>
    </row>
    <row r="100" spans="1:20">
      <c r="A100" s="10" t="s">
        <v>339</v>
      </c>
      <c r="D100" s="261" t="s">
        <v>346</v>
      </c>
      <c r="E100" s="255">
        <v>-848</v>
      </c>
      <c r="F100" s="255">
        <v>-487</v>
      </c>
      <c r="G100" s="255">
        <v>-245</v>
      </c>
      <c r="H100" s="255">
        <v>-225</v>
      </c>
      <c r="I100" s="255">
        <v>-223</v>
      </c>
      <c r="J100" s="255">
        <v>-248</v>
      </c>
      <c r="K100" s="255">
        <v>-267</v>
      </c>
      <c r="L100" s="255">
        <v>-258</v>
      </c>
      <c r="M100" s="255">
        <v>-232</v>
      </c>
      <c r="N100" s="255">
        <v>-257</v>
      </c>
      <c r="O100" s="255">
        <v>-279</v>
      </c>
      <c r="P100" s="255">
        <f>-248-22</f>
        <v>-270</v>
      </c>
      <c r="Q100" s="255">
        <v>-236</v>
      </c>
      <c r="R100" s="255">
        <v>-363</v>
      </c>
      <c r="S100" s="184">
        <v>-438</v>
      </c>
      <c r="T100" s="184">
        <v>-462</v>
      </c>
    </row>
    <row r="101" spans="1:20">
      <c r="A101" s="10" t="s">
        <v>340</v>
      </c>
      <c r="D101" s="261" t="s">
        <v>346</v>
      </c>
      <c r="E101" s="255"/>
      <c r="F101" s="255"/>
      <c r="G101" s="255"/>
      <c r="H101" s="255"/>
      <c r="I101" s="255"/>
      <c r="J101" s="255"/>
      <c r="K101" s="255"/>
      <c r="L101" s="255"/>
      <c r="M101" s="255"/>
      <c r="N101" s="255">
        <v>-3060</v>
      </c>
      <c r="O101" s="255">
        <v>-3419</v>
      </c>
      <c r="P101" s="255">
        <v>-3743</v>
      </c>
      <c r="Q101" s="255">
        <v>-2942</v>
      </c>
      <c r="R101" s="255">
        <v>-1222</v>
      </c>
      <c r="S101" s="184">
        <v>-1720</v>
      </c>
      <c r="T101" s="184">
        <v>-1843</v>
      </c>
    </row>
    <row r="102" spans="1:20">
      <c r="A102" s="10"/>
      <c r="S102" s="182"/>
    </row>
    <row r="103" spans="1:20">
      <c r="A103" s="10" t="s">
        <v>8</v>
      </c>
      <c r="E103" s="256">
        <f t="shared" ref="E103:M103" si="25">SUM(E77:E101)</f>
        <v>-80657</v>
      </c>
      <c r="F103" s="256">
        <f t="shared" si="25"/>
        <v>-64763</v>
      </c>
      <c r="G103" s="256">
        <f t="shared" si="25"/>
        <v>22356</v>
      </c>
      <c r="H103" s="256">
        <f t="shared" si="25"/>
        <v>21841</v>
      </c>
      <c r="I103" s="256">
        <f t="shared" si="25"/>
        <v>20255</v>
      </c>
      <c r="J103" s="256">
        <f t="shared" si="25"/>
        <v>20751</v>
      </c>
      <c r="K103" s="256">
        <f t="shared" si="25"/>
        <v>18799</v>
      </c>
      <c r="L103" s="256">
        <f t="shared" si="25"/>
        <v>21020</v>
      </c>
      <c r="M103" s="256">
        <f t="shared" si="25"/>
        <v>19593</v>
      </c>
      <c r="N103" s="256">
        <f t="shared" ref="N103:S103" si="26">SUM(N77:N101)</f>
        <v>17776</v>
      </c>
      <c r="O103" s="256">
        <f t="shared" si="26"/>
        <v>17776</v>
      </c>
      <c r="P103" s="256">
        <f t="shared" si="26"/>
        <v>18845</v>
      </c>
      <c r="Q103" s="256">
        <f t="shared" si="26"/>
        <v>16438</v>
      </c>
      <c r="R103" s="256">
        <f t="shared" si="26"/>
        <v>14761</v>
      </c>
      <c r="S103" s="446">
        <f t="shared" si="26"/>
        <v>10846</v>
      </c>
      <c r="T103" s="446">
        <f>SUM(T77:T101)</f>
        <v>8204</v>
      </c>
    </row>
    <row r="104" spans="1:20">
      <c r="A104" s="10" t="s">
        <v>343</v>
      </c>
      <c r="E104" s="256">
        <f>E79+E81+E83+E86+E89+E92+E95+E97+E99</f>
        <v>-86175</v>
      </c>
      <c r="F104" s="256">
        <f t="shared" ref="F104:O104" si="27">F79+F81+F83+F86+F89+F92+F95+F97+F99</f>
        <v>-77770</v>
      </c>
      <c r="G104" s="256">
        <f t="shared" si="27"/>
        <v>53521</v>
      </c>
      <c r="H104" s="256">
        <f t="shared" si="27"/>
        <v>53601</v>
      </c>
      <c r="I104" s="256">
        <f t="shared" si="27"/>
        <v>53340</v>
      </c>
      <c r="J104" s="256">
        <f t="shared" si="27"/>
        <v>53419</v>
      </c>
      <c r="K104" s="256">
        <f t="shared" si="27"/>
        <v>53490</v>
      </c>
      <c r="L104" s="256">
        <f t="shared" si="27"/>
        <v>67386</v>
      </c>
      <c r="M104" s="256">
        <f t="shared" si="27"/>
        <v>67317</v>
      </c>
      <c r="N104" s="256">
        <f t="shared" si="27"/>
        <v>73409</v>
      </c>
      <c r="O104" s="256">
        <f t="shared" si="27"/>
        <v>74943</v>
      </c>
      <c r="P104" s="256"/>
      <c r="Q104" s="256"/>
      <c r="R104" s="256"/>
      <c r="S104" s="446"/>
      <c r="T104" s="446"/>
    </row>
    <row r="105" spans="1:20">
      <c r="A105" s="10" t="s">
        <v>344</v>
      </c>
      <c r="E105" s="256">
        <f>E100+E101</f>
        <v>-848</v>
      </c>
      <c r="F105" s="256">
        <f t="shared" ref="F105:O105" si="28">F100+F101</f>
        <v>-487</v>
      </c>
      <c r="G105" s="256">
        <f t="shared" si="28"/>
        <v>-245</v>
      </c>
      <c r="H105" s="256">
        <f t="shared" si="28"/>
        <v>-225</v>
      </c>
      <c r="I105" s="256">
        <f t="shared" si="28"/>
        <v>-223</v>
      </c>
      <c r="J105" s="256">
        <f t="shared" si="28"/>
        <v>-248</v>
      </c>
      <c r="K105" s="256">
        <f t="shared" si="28"/>
        <v>-267</v>
      </c>
      <c r="L105" s="256">
        <f t="shared" si="28"/>
        <v>-258</v>
      </c>
      <c r="M105" s="256">
        <f t="shared" si="28"/>
        <v>-232</v>
      </c>
      <c r="N105" s="256">
        <f t="shared" si="28"/>
        <v>-3317</v>
      </c>
      <c r="O105" s="256">
        <f t="shared" si="28"/>
        <v>-3698</v>
      </c>
      <c r="P105" s="256"/>
      <c r="Q105" s="256"/>
      <c r="R105" s="256"/>
      <c r="S105" s="446"/>
      <c r="T105" s="446"/>
    </row>
    <row r="106" spans="1:20">
      <c r="A106" s="10" t="s">
        <v>332</v>
      </c>
      <c r="E106" s="256">
        <f>E80+E82+E84+E87+E90+E93</f>
        <v>6337</v>
      </c>
      <c r="F106" s="256">
        <f t="shared" ref="F106:O106" si="29">F80+F82+F84+F87+F90+F93</f>
        <v>13436</v>
      </c>
      <c r="G106" s="256">
        <f t="shared" si="29"/>
        <v>-27242</v>
      </c>
      <c r="H106" s="256">
        <f t="shared" si="29"/>
        <v>-27706</v>
      </c>
      <c r="I106" s="256">
        <f t="shared" si="29"/>
        <v>-28576</v>
      </c>
      <c r="J106" s="256">
        <f t="shared" si="29"/>
        <v>-28288</v>
      </c>
      <c r="K106" s="256">
        <f t="shared" si="29"/>
        <v>-30083</v>
      </c>
      <c r="L106" s="256">
        <f t="shared" si="29"/>
        <v>-41013</v>
      </c>
      <c r="M106" s="256">
        <f t="shared" si="29"/>
        <v>-42866</v>
      </c>
      <c r="N106" s="256">
        <f t="shared" si="29"/>
        <v>-46289</v>
      </c>
      <c r="O106" s="256">
        <f t="shared" si="29"/>
        <v>-47236</v>
      </c>
      <c r="P106" s="256"/>
      <c r="Q106" s="256"/>
      <c r="R106" s="256"/>
      <c r="S106" s="446"/>
      <c r="T106" s="446"/>
    </row>
    <row r="107" spans="1:20">
      <c r="A107" s="10" t="s">
        <v>334</v>
      </c>
      <c r="E107" s="256">
        <f>E78+E85+E88+E91+E94+E96+E98</f>
        <v>1529</v>
      </c>
      <c r="F107" s="256">
        <f t="shared" ref="F107:O107" si="30">F78+F85+F88+F91+F94+F96+F98</f>
        <v>1428</v>
      </c>
      <c r="G107" s="256">
        <f t="shared" si="30"/>
        <v>-2440</v>
      </c>
      <c r="H107" s="256">
        <f t="shared" si="30"/>
        <v>-2723</v>
      </c>
      <c r="I107" s="256">
        <f t="shared" si="30"/>
        <v>-3571</v>
      </c>
      <c r="J107" s="256">
        <f t="shared" si="30"/>
        <v>-3289</v>
      </c>
      <c r="K107" s="256">
        <f t="shared" si="30"/>
        <v>-3888</v>
      </c>
      <c r="L107" s="256">
        <f t="shared" si="30"/>
        <v>-4513</v>
      </c>
      <c r="M107" s="256">
        <f t="shared" si="30"/>
        <v>-4175</v>
      </c>
      <c r="N107" s="256">
        <f t="shared" si="30"/>
        <v>-5705</v>
      </c>
      <c r="O107" s="256">
        <f t="shared" si="30"/>
        <v>-6106</v>
      </c>
      <c r="P107" s="256"/>
      <c r="Q107" s="256"/>
      <c r="R107" s="256"/>
      <c r="S107" s="446"/>
      <c r="T107" s="446"/>
    </row>
    <row r="108" spans="1:20">
      <c r="A108" s="10" t="s">
        <v>237</v>
      </c>
      <c r="E108" s="256">
        <f t="shared" ref="E108" si="31">E77</f>
        <v>-1500</v>
      </c>
      <c r="F108" s="256">
        <f t="shared" ref="F108:O108" si="32">F77</f>
        <v>-1370</v>
      </c>
      <c r="G108" s="256">
        <f t="shared" si="32"/>
        <v>-1238</v>
      </c>
      <c r="H108" s="256">
        <f t="shared" si="32"/>
        <v>-1106</v>
      </c>
      <c r="I108" s="256">
        <f t="shared" si="32"/>
        <v>-715</v>
      </c>
      <c r="J108" s="256">
        <f t="shared" si="32"/>
        <v>-843</v>
      </c>
      <c r="K108" s="256">
        <f t="shared" si="32"/>
        <v>-453</v>
      </c>
      <c r="L108" s="256">
        <f t="shared" si="32"/>
        <v>-582</v>
      </c>
      <c r="M108" s="256">
        <f t="shared" si="32"/>
        <v>-451</v>
      </c>
      <c r="N108" s="256">
        <f t="shared" si="32"/>
        <v>-322</v>
      </c>
      <c r="O108" s="256">
        <f t="shared" si="32"/>
        <v>-127</v>
      </c>
      <c r="P108" s="256">
        <f>P70</f>
        <v>32534</v>
      </c>
      <c r="Q108" s="256">
        <f t="shared" ref="Q108" si="33">Q70</f>
        <v>16438</v>
      </c>
      <c r="R108" s="256">
        <f>R70</f>
        <v>14761</v>
      </c>
      <c r="S108" s="446">
        <f>S70</f>
        <v>10846</v>
      </c>
      <c r="T108" s="446">
        <f>T70</f>
        <v>8204</v>
      </c>
    </row>
    <row r="109" spans="1:20">
      <c r="S109" s="182"/>
    </row>
    <row r="110" spans="1:20">
      <c r="O110" s="261" t="s">
        <v>481</v>
      </c>
      <c r="P110" s="256">
        <f>P103-P108</f>
        <v>-13689</v>
      </c>
      <c r="S110" s="182"/>
    </row>
    <row r="111" spans="1:20">
      <c r="O111" s="261" t="s">
        <v>482</v>
      </c>
      <c r="P111" s="256">
        <f>-P110</f>
        <v>13689</v>
      </c>
      <c r="S111" s="182"/>
    </row>
    <row r="112" spans="1:20">
      <c r="P112" s="256"/>
      <c r="Q112" s="256"/>
      <c r="R112" s="256"/>
      <c r="S112" s="256"/>
      <c r="T112" s="446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9" max="16383" man="1"/>
    <brk id="74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40625" defaultRowHeight="12.75"/>
  <cols>
    <col min="1" max="1" width="6.7109375" style="112" hidden="1" customWidth="1"/>
    <col min="2" max="2" width="3.42578125" style="112" hidden="1" customWidth="1"/>
    <col min="3" max="3" width="26.140625" style="112" hidden="1" customWidth="1"/>
    <col min="4" max="4" width="9" style="112" hidden="1" customWidth="1"/>
    <col min="5" max="5" width="6.7109375" style="112" customWidth="1"/>
    <col min="6" max="6" width="3.42578125" style="112" customWidth="1"/>
    <col min="7" max="7" width="26.140625" style="112" customWidth="1"/>
    <col min="8" max="8" width="9" style="112" bestFit="1" customWidth="1"/>
    <col min="9" max="20" width="7.5703125" style="112" bestFit="1" customWidth="1"/>
    <col min="21" max="22" width="9.140625" style="112"/>
    <col min="23" max="23" width="10.42578125" style="112" customWidth="1"/>
    <col min="24" max="16384" width="9.140625" style="112"/>
  </cols>
  <sheetData>
    <row r="2" spans="1:24">
      <c r="A2" s="112" t="s">
        <v>93</v>
      </c>
      <c r="E2" s="112" t="s">
        <v>93</v>
      </c>
    </row>
    <row r="3" spans="1:24">
      <c r="A3" s="112" t="s">
        <v>133</v>
      </c>
      <c r="E3" s="112" t="s">
        <v>133</v>
      </c>
    </row>
    <row r="4" spans="1:24">
      <c r="A4" s="112" t="s">
        <v>231</v>
      </c>
      <c r="E4" s="112" t="s">
        <v>293</v>
      </c>
    </row>
    <row r="5" spans="1:24">
      <c r="A5" s="112" t="s">
        <v>92</v>
      </c>
      <c r="E5" s="112" t="s">
        <v>92</v>
      </c>
    </row>
    <row r="7" spans="1:24">
      <c r="I7" s="121">
        <v>2000</v>
      </c>
      <c r="J7" s="121">
        <v>2001</v>
      </c>
      <c r="K7" s="121">
        <v>2002</v>
      </c>
      <c r="L7" s="121">
        <v>2003</v>
      </c>
      <c r="M7" s="121">
        <v>2004</v>
      </c>
      <c r="N7" s="121">
        <v>2005</v>
      </c>
      <c r="O7" s="121">
        <v>2006</v>
      </c>
      <c r="P7" s="121">
        <v>2007</v>
      </c>
      <c r="Q7" s="121">
        <v>2008</v>
      </c>
      <c r="R7" s="121">
        <v>2009</v>
      </c>
      <c r="S7" s="121">
        <v>2010</v>
      </c>
      <c r="T7" s="121">
        <v>2011</v>
      </c>
      <c r="U7" s="121">
        <v>2012</v>
      </c>
      <c r="V7" s="419" t="s">
        <v>530</v>
      </c>
      <c r="W7" s="419"/>
      <c r="X7" s="420"/>
    </row>
    <row r="8" spans="1:24">
      <c r="A8" s="114" t="s">
        <v>3</v>
      </c>
      <c r="E8" s="114" t="s">
        <v>3</v>
      </c>
      <c r="I8" s="114" t="s">
        <v>91</v>
      </c>
      <c r="J8" s="114" t="s">
        <v>91</v>
      </c>
      <c r="K8" s="114" t="s">
        <v>91</v>
      </c>
      <c r="L8" s="114" t="s">
        <v>91</v>
      </c>
      <c r="M8" s="114" t="s">
        <v>91</v>
      </c>
      <c r="N8" s="114" t="s">
        <v>91</v>
      </c>
      <c r="O8" s="114" t="s">
        <v>91</v>
      </c>
      <c r="P8" s="114" t="s">
        <v>91</v>
      </c>
      <c r="Q8" s="114" t="s">
        <v>91</v>
      </c>
      <c r="R8" s="114" t="s">
        <v>91</v>
      </c>
      <c r="S8" s="114" t="s">
        <v>91</v>
      </c>
      <c r="T8" s="114" t="s">
        <v>91</v>
      </c>
      <c r="U8" s="247" t="s">
        <v>91</v>
      </c>
      <c r="V8" s="427" t="s">
        <v>487</v>
      </c>
    </row>
    <row r="9" spans="1:24">
      <c r="A9" s="115" t="s">
        <v>89</v>
      </c>
      <c r="C9" s="116" t="s">
        <v>4</v>
      </c>
      <c r="D9" s="114" t="s">
        <v>232</v>
      </c>
      <c r="E9" s="115" t="s">
        <v>89</v>
      </c>
      <c r="G9" s="116" t="s">
        <v>4</v>
      </c>
      <c r="H9" s="114" t="s">
        <v>232</v>
      </c>
      <c r="I9" s="115" t="s">
        <v>234</v>
      </c>
      <c r="J9" s="115" t="s">
        <v>234</v>
      </c>
      <c r="K9" s="115" t="s">
        <v>234</v>
      </c>
      <c r="L9" s="115" t="s">
        <v>234</v>
      </c>
      <c r="M9" s="115" t="s">
        <v>234</v>
      </c>
      <c r="N9" s="115" t="s">
        <v>234</v>
      </c>
      <c r="O9" s="115" t="s">
        <v>234</v>
      </c>
      <c r="P9" s="115" t="s">
        <v>234</v>
      </c>
      <c r="Q9" s="115" t="s">
        <v>234</v>
      </c>
      <c r="R9" s="115" t="s">
        <v>234</v>
      </c>
      <c r="S9" s="115" t="s">
        <v>234</v>
      </c>
      <c r="T9" s="115" t="s">
        <v>234</v>
      </c>
      <c r="U9" s="115" t="s">
        <v>234</v>
      </c>
    </row>
    <row r="10" spans="1:24">
      <c r="A10" s="114"/>
      <c r="E10" s="114"/>
    </row>
    <row r="11" spans="1:24">
      <c r="A11" s="114"/>
      <c r="B11" s="112" t="s">
        <v>85</v>
      </c>
      <c r="E11" s="114"/>
      <c r="F11" s="112" t="s">
        <v>85</v>
      </c>
    </row>
    <row r="12" spans="1:24">
      <c r="A12" s="114">
        <v>1</v>
      </c>
      <c r="B12" s="112" t="s">
        <v>84</v>
      </c>
      <c r="D12" s="117">
        <v>0.95509999999999995</v>
      </c>
      <c r="E12" s="114">
        <v>1</v>
      </c>
      <c r="F12" s="112" t="s">
        <v>84</v>
      </c>
      <c r="H12" s="117">
        <f>ROR!L20</f>
        <v>0.95363739999999997</v>
      </c>
      <c r="I12" s="118">
        <f>I35/$H12</f>
        <v>-3610.386924841664</v>
      </c>
      <c r="J12" s="118">
        <f>J35/$H12</f>
        <v>-5320.6805857236723</v>
      </c>
      <c r="K12" s="118">
        <f>K35/$H12</f>
        <v>-6358.8110113969942</v>
      </c>
      <c r="L12" s="118">
        <f>L35/$H12</f>
        <v>-6428.0197064418826</v>
      </c>
      <c r="M12" s="118">
        <f>M35/$H12</f>
        <v>-7075.016143452428</v>
      </c>
      <c r="N12" s="118">
        <f t="shared" ref="N12:U12" si="0">N35/$D12</f>
        <v>-6918.6472620668001</v>
      </c>
      <c r="O12" s="118">
        <f t="shared" si="0"/>
        <v>-6889.3309601088895</v>
      </c>
      <c r="P12" s="118">
        <f t="shared" si="0"/>
        <v>-6980.4208983352528</v>
      </c>
      <c r="Q12" s="118">
        <f t="shared" si="0"/>
        <v>-12660.454402680349</v>
      </c>
      <c r="R12" s="118">
        <f t="shared" si="0"/>
        <v>-19767.563605905143</v>
      </c>
      <c r="S12" s="118">
        <f t="shared" si="0"/>
        <v>-20398.911108784421</v>
      </c>
      <c r="T12" s="118">
        <f t="shared" si="0"/>
        <v>-21047.010784211077</v>
      </c>
      <c r="U12" s="118">
        <f t="shared" si="0"/>
        <v>-17700.764317872476</v>
      </c>
    </row>
    <row r="13" spans="1:24">
      <c r="A13" s="114">
        <v>2</v>
      </c>
      <c r="B13" s="112" t="s">
        <v>83</v>
      </c>
      <c r="E13" s="114">
        <v>2</v>
      </c>
      <c r="F13" s="112" t="s">
        <v>83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4">
      <c r="A14" s="114">
        <v>3</v>
      </c>
      <c r="B14" s="112" t="s">
        <v>82</v>
      </c>
      <c r="E14" s="114">
        <v>3</v>
      </c>
      <c r="F14" s="112" t="s">
        <v>82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1:24">
      <c r="A15" s="114">
        <v>4</v>
      </c>
      <c r="B15" s="112" t="s">
        <v>81</v>
      </c>
      <c r="E15" s="114">
        <v>4</v>
      </c>
      <c r="F15" s="112" t="s">
        <v>81</v>
      </c>
      <c r="I15" s="118">
        <f>SUM(I12:I14)</f>
        <v>-3610.386924841664</v>
      </c>
      <c r="J15" s="118">
        <f>SUM(J12:J14)</f>
        <v>-5320.6805857236723</v>
      </c>
      <c r="K15" s="118">
        <f>SUM(K12:K14)</f>
        <v>-6358.8110113969942</v>
      </c>
      <c r="L15" s="118">
        <f>SUM(L12:L14)</f>
        <v>-6428.0197064418826</v>
      </c>
      <c r="M15" s="118">
        <f>SUM(M12:M14)</f>
        <v>-7075.016143452428</v>
      </c>
      <c r="N15" s="118">
        <f t="shared" ref="N15:T15" si="1">SUM(N12:N14)</f>
        <v>-6918.6472620668001</v>
      </c>
      <c r="O15" s="118">
        <f t="shared" si="1"/>
        <v>-6889.3309601088895</v>
      </c>
      <c r="P15" s="118">
        <f t="shared" si="1"/>
        <v>-6980.4208983352528</v>
      </c>
      <c r="Q15" s="118">
        <f t="shared" si="1"/>
        <v>-12660.454402680349</v>
      </c>
      <c r="R15" s="118">
        <f t="shared" si="1"/>
        <v>-19767.563605905143</v>
      </c>
      <c r="S15" s="118">
        <f t="shared" si="1"/>
        <v>-20398.911108784421</v>
      </c>
      <c r="T15" s="118">
        <f t="shared" si="1"/>
        <v>-21047.010784211077</v>
      </c>
      <c r="U15" s="118">
        <f t="shared" ref="U15" si="2">SUM(U12:U14)</f>
        <v>-17700.764317872476</v>
      </c>
    </row>
    <row r="16" spans="1:24">
      <c r="A16" s="114">
        <v>5</v>
      </c>
      <c r="B16" s="112" t="s">
        <v>80</v>
      </c>
      <c r="E16" s="114">
        <v>5</v>
      </c>
      <c r="F16" s="112" t="s">
        <v>80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21">
      <c r="A17" s="114">
        <v>6</v>
      </c>
      <c r="B17" s="112" t="s">
        <v>79</v>
      </c>
      <c r="E17" s="114">
        <v>6</v>
      </c>
      <c r="F17" s="112" t="s">
        <v>79</v>
      </c>
      <c r="I17" s="118">
        <f>I15+I16</f>
        <v>-3610.386924841664</v>
      </c>
      <c r="J17" s="118">
        <f>J15+J16</f>
        <v>-5320.6805857236723</v>
      </c>
      <c r="K17" s="118">
        <f>K15+K16</f>
        <v>-6358.8110113969942</v>
      </c>
      <c r="L17" s="118">
        <f>L15+L16</f>
        <v>-6428.0197064418826</v>
      </c>
      <c r="M17" s="118">
        <f>M15+M16</f>
        <v>-7075.016143452428</v>
      </c>
      <c r="N17" s="118">
        <f t="shared" ref="N17:T17" si="3">N15+N16</f>
        <v>-6918.6472620668001</v>
      </c>
      <c r="O17" s="118">
        <f t="shared" si="3"/>
        <v>-6889.3309601088895</v>
      </c>
      <c r="P17" s="118">
        <f t="shared" si="3"/>
        <v>-6980.4208983352528</v>
      </c>
      <c r="Q17" s="118">
        <f t="shared" si="3"/>
        <v>-12660.454402680349</v>
      </c>
      <c r="R17" s="118">
        <f t="shared" si="3"/>
        <v>-19767.563605905143</v>
      </c>
      <c r="S17" s="118">
        <f t="shared" si="3"/>
        <v>-20398.911108784421</v>
      </c>
      <c r="T17" s="118">
        <f t="shared" si="3"/>
        <v>-21047.010784211077</v>
      </c>
      <c r="U17" s="118">
        <f t="shared" ref="U17" si="4">U15+U16</f>
        <v>-17700.764317872476</v>
      </c>
    </row>
    <row r="18" spans="1:21">
      <c r="A18" s="114"/>
      <c r="E18" s="114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>
      <c r="A19" s="114"/>
      <c r="B19" s="112" t="s">
        <v>78</v>
      </c>
      <c r="E19" s="114"/>
      <c r="F19" s="112" t="s">
        <v>78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>
      <c r="A20" s="114"/>
      <c r="B20" s="112" t="s">
        <v>77</v>
      </c>
      <c r="E20" s="114"/>
      <c r="F20" s="112" t="s">
        <v>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>
      <c r="A21" s="114">
        <v>7</v>
      </c>
      <c r="C21" s="112" t="s">
        <v>69</v>
      </c>
      <c r="E21" s="114">
        <v>7</v>
      </c>
      <c r="G21" s="112" t="s">
        <v>69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>
      <c r="A22" s="114">
        <v>8</v>
      </c>
      <c r="C22" s="112" t="s">
        <v>76</v>
      </c>
      <c r="E22" s="114">
        <v>8</v>
      </c>
      <c r="G22" s="112" t="s">
        <v>76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>
      <c r="A23" s="114">
        <v>9</v>
      </c>
      <c r="C23" s="112" t="s">
        <v>136</v>
      </c>
      <c r="E23" s="114">
        <v>9</v>
      </c>
      <c r="G23" s="112" t="s">
        <v>136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>
      <c r="A24" s="114">
        <v>10</v>
      </c>
      <c r="C24" s="112" t="s">
        <v>137</v>
      </c>
      <c r="E24" s="114">
        <v>10</v>
      </c>
      <c r="G24" s="112" t="s">
        <v>137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>
      <c r="A25" s="114">
        <v>11</v>
      </c>
      <c r="C25" s="112" t="s">
        <v>68</v>
      </c>
      <c r="E25" s="114">
        <v>11</v>
      </c>
      <c r="G25" s="112" t="s">
        <v>68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>
      <c r="A26" s="114">
        <v>12</v>
      </c>
      <c r="B26" s="112" t="s">
        <v>75</v>
      </c>
      <c r="E26" s="114">
        <v>12</v>
      </c>
      <c r="F26" s="112" t="s">
        <v>75</v>
      </c>
      <c r="I26" s="118">
        <f>SUM(I21:I25)</f>
        <v>0</v>
      </c>
      <c r="J26" s="118">
        <f>SUM(J21:J25)</f>
        <v>0</v>
      </c>
      <c r="K26" s="118">
        <f>SUM(K21:K25)</f>
        <v>0</v>
      </c>
      <c r="L26" s="118">
        <f>SUM(L21:L25)</f>
        <v>0</v>
      </c>
      <c r="M26" s="118">
        <f>SUM(M21:M25)</f>
        <v>0</v>
      </c>
      <c r="N26" s="118">
        <f t="shared" ref="N26:T26" si="5">SUM(N21:N25)</f>
        <v>0</v>
      </c>
      <c r="O26" s="118">
        <f t="shared" si="5"/>
        <v>0</v>
      </c>
      <c r="P26" s="118">
        <f t="shared" si="5"/>
        <v>0</v>
      </c>
      <c r="Q26" s="118">
        <f t="shared" si="5"/>
        <v>0</v>
      </c>
      <c r="R26" s="118">
        <f t="shared" si="5"/>
        <v>0</v>
      </c>
      <c r="S26" s="118">
        <f t="shared" si="5"/>
        <v>0</v>
      </c>
      <c r="T26" s="118">
        <f t="shared" si="5"/>
        <v>0</v>
      </c>
      <c r="U26" s="118">
        <f t="shared" ref="U26" si="6">SUM(U21:U25)</f>
        <v>0</v>
      </c>
    </row>
    <row r="27" spans="1:21">
      <c r="A27" s="114"/>
      <c r="E27" s="114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1">
      <c r="A28" s="114"/>
      <c r="B28" s="112" t="s">
        <v>55</v>
      </c>
      <c r="E28" s="114"/>
      <c r="F28" s="112" t="s">
        <v>55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>
      <c r="A29" s="114">
        <v>13</v>
      </c>
      <c r="C29" s="112" t="s">
        <v>69</v>
      </c>
      <c r="E29" s="114">
        <v>13</v>
      </c>
      <c r="G29" s="112" t="s">
        <v>69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1">
      <c r="A30" s="114">
        <v>14</v>
      </c>
      <c r="C30" s="112" t="s">
        <v>138</v>
      </c>
      <c r="E30" s="114">
        <v>14</v>
      </c>
      <c r="G30" s="112" t="s">
        <v>138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>
      <c r="A31" s="114">
        <v>15</v>
      </c>
      <c r="C31" s="112" t="s">
        <v>68</v>
      </c>
      <c r="D31" s="117">
        <v>3.8561999999999999E-2</v>
      </c>
      <c r="E31" s="114">
        <v>15</v>
      </c>
      <c r="G31" s="112" t="s">
        <v>68</v>
      </c>
      <c r="H31" s="338">
        <f>ROR!L16</f>
        <v>3.8507300000000001E-2</v>
      </c>
      <c r="I31" s="119">
        <f>I12*$H31</f>
        <v>-139.02625243095542</v>
      </c>
      <c r="J31" s="119">
        <f>J12*$H31</f>
        <v>-204.88504351863716</v>
      </c>
      <c r="K31" s="119">
        <f>K12*$H31</f>
        <v>-244.86064325916749</v>
      </c>
      <c r="L31" s="119">
        <f>L12*$H31</f>
        <v>-247.5256832418695</v>
      </c>
      <c r="M31" s="119">
        <f>M12*$H31</f>
        <v>-272.43976914076569</v>
      </c>
      <c r="N31" s="119">
        <f>N12*$D31</f>
        <v>-266.79687571981992</v>
      </c>
      <c r="O31" s="119">
        <f>O12*$D31</f>
        <v>-265.66638048371897</v>
      </c>
      <c r="P31" s="119">
        <f t="shared" ref="P31:U31" si="7">P12*$D31</f>
        <v>-269.17899068160403</v>
      </c>
      <c r="Q31" s="119">
        <f t="shared" si="7"/>
        <v>-488.21244267615958</v>
      </c>
      <c r="R31" s="119">
        <f t="shared" si="7"/>
        <v>-762.2767877709141</v>
      </c>
      <c r="S31" s="119">
        <f t="shared" si="7"/>
        <v>-786.62281017694488</v>
      </c>
      <c r="T31" s="119">
        <f t="shared" si="7"/>
        <v>-811.61482986074759</v>
      </c>
      <c r="U31" s="119">
        <f t="shared" si="7"/>
        <v>-682.57687362579838</v>
      </c>
    </row>
    <row r="32" spans="1:21">
      <c r="A32" s="114">
        <v>16</v>
      </c>
      <c r="B32" s="112" t="s">
        <v>74</v>
      </c>
      <c r="E32" s="114">
        <v>16</v>
      </c>
      <c r="F32" s="112" t="s">
        <v>74</v>
      </c>
      <c r="H32" s="154"/>
      <c r="I32" s="118">
        <f>SUM(I29:I31)</f>
        <v>-139.02625243095542</v>
      </c>
      <c r="J32" s="118">
        <f>SUM(J29:J31)</f>
        <v>-204.88504351863716</v>
      </c>
      <c r="K32" s="118">
        <f>SUM(K29:K31)</f>
        <v>-244.86064325916749</v>
      </c>
      <c r="L32" s="118">
        <f>SUM(L29:L31)</f>
        <v>-247.5256832418695</v>
      </c>
      <c r="M32" s="118">
        <f>SUM(M29:M31)</f>
        <v>-272.43976914076569</v>
      </c>
      <c r="N32" s="118">
        <f t="shared" ref="N32:T32" si="8">SUM(N29:N31)</f>
        <v>-266.79687571981992</v>
      </c>
      <c r="O32" s="118">
        <f t="shared" si="8"/>
        <v>-265.66638048371897</v>
      </c>
      <c r="P32" s="118">
        <f t="shared" si="8"/>
        <v>-269.17899068160403</v>
      </c>
      <c r="Q32" s="118">
        <f t="shared" si="8"/>
        <v>-488.21244267615958</v>
      </c>
      <c r="R32" s="118">
        <f t="shared" si="8"/>
        <v>-762.2767877709141</v>
      </c>
      <c r="S32" s="118">
        <f t="shared" si="8"/>
        <v>-786.62281017694488</v>
      </c>
      <c r="T32" s="118">
        <f t="shared" si="8"/>
        <v>-811.61482986074759</v>
      </c>
      <c r="U32" s="118">
        <f t="shared" ref="U32" si="9">SUM(U29:U31)</f>
        <v>-682.57687362579838</v>
      </c>
    </row>
    <row r="33" spans="1:21">
      <c r="A33" s="114"/>
      <c r="E33" s="114"/>
      <c r="H33" s="154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>
      <c r="A34" s="114">
        <v>17</v>
      </c>
      <c r="B34" s="112" t="s">
        <v>73</v>
      </c>
      <c r="D34" s="117">
        <v>4.3379999999999998E-3</v>
      </c>
      <c r="E34" s="114">
        <v>17</v>
      </c>
      <c r="F34" s="112" t="s">
        <v>73</v>
      </c>
      <c r="H34" s="338">
        <f>ROR!L12</f>
        <v>5.8552999999999999E-3</v>
      </c>
      <c r="I34" s="118">
        <f>I12*$H34</f>
        <v>-21.139898561025394</v>
      </c>
      <c r="J34" s="118">
        <f>J12*$H34</f>
        <v>-31.154181033587818</v>
      </c>
      <c r="K34" s="118">
        <f>K12*$H34</f>
        <v>-37.232746115032818</v>
      </c>
      <c r="L34" s="118">
        <f>L12*$H34</f>
        <v>-37.637983787129151</v>
      </c>
      <c r="M34" s="118">
        <f>M12*$H34</f>
        <v>-41.426342024756998</v>
      </c>
      <c r="N34" s="118">
        <f t="shared" ref="N34:T34" si="10">N12*$D34</f>
        <v>-30.013091822845777</v>
      </c>
      <c r="O34" s="118">
        <f t="shared" si="10"/>
        <v>-29.885917704952362</v>
      </c>
      <c r="P34" s="118">
        <f t="shared" si="10"/>
        <v>-30.281065856978326</v>
      </c>
      <c r="Q34" s="118">
        <f t="shared" si="10"/>
        <v>-54.92105119882735</v>
      </c>
      <c r="R34" s="118">
        <f t="shared" si="10"/>
        <v>-85.7516909224165</v>
      </c>
      <c r="S34" s="118">
        <f t="shared" si="10"/>
        <v>-88.490476389906817</v>
      </c>
      <c r="T34" s="118">
        <f t="shared" si="10"/>
        <v>-91.301932781907652</v>
      </c>
      <c r="U34" s="118">
        <f t="shared" ref="U34" si="11">U12*$D34</f>
        <v>-76.7859156109308</v>
      </c>
    </row>
    <row r="35" spans="1:21">
      <c r="A35" s="114">
        <v>18</v>
      </c>
      <c r="B35" s="112" t="s">
        <v>72</v>
      </c>
      <c r="E35" s="114">
        <v>18</v>
      </c>
      <c r="F35" s="112" t="s">
        <v>72</v>
      </c>
      <c r="H35" s="154"/>
      <c r="I35" s="118">
        <v>-3443</v>
      </c>
      <c r="J35" s="118">
        <v>-5074</v>
      </c>
      <c r="K35" s="118">
        <v>-6064</v>
      </c>
      <c r="L35" s="118">
        <v>-6130</v>
      </c>
      <c r="M35" s="118">
        <f>-6330-417</f>
        <v>-6747</v>
      </c>
      <c r="N35" s="118">
        <v>-6608</v>
      </c>
      <c r="O35" s="118">
        <v>-6580</v>
      </c>
      <c r="P35" s="118">
        <v>-6667</v>
      </c>
      <c r="Q35" s="118">
        <v>-12092</v>
      </c>
      <c r="R35" s="118">
        <v>-18880</v>
      </c>
      <c r="S35" s="118">
        <v>-19483</v>
      </c>
      <c r="T35" s="118">
        <v>-20102</v>
      </c>
      <c r="U35" s="118">
        <f>-17498+592</f>
        <v>-16906</v>
      </c>
    </row>
    <row r="36" spans="1:21">
      <c r="A36" s="114">
        <v>19</v>
      </c>
      <c r="B36" s="112" t="s">
        <v>71</v>
      </c>
      <c r="E36" s="114">
        <v>19</v>
      </c>
      <c r="F36" s="112" t="s">
        <v>71</v>
      </c>
      <c r="H36" s="154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>
      <c r="A37" s="114"/>
      <c r="E37" s="114"/>
      <c r="H37" s="154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>
      <c r="A38" s="114"/>
      <c r="B38" s="112" t="s">
        <v>70</v>
      </c>
      <c r="E38" s="114"/>
      <c r="F38" s="112" t="s">
        <v>70</v>
      </c>
      <c r="H38" s="154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>
      <c r="A39" s="114">
        <v>20</v>
      </c>
      <c r="C39" s="112" t="s">
        <v>69</v>
      </c>
      <c r="D39" s="117">
        <v>2E-3</v>
      </c>
      <c r="E39" s="114">
        <v>20</v>
      </c>
      <c r="G39" s="112" t="s">
        <v>69</v>
      </c>
      <c r="H39" s="338">
        <f>ROR!L14</f>
        <v>2E-3</v>
      </c>
      <c r="I39" s="118">
        <f>I12*$H39</f>
        <v>-7.2207738496833285</v>
      </c>
      <c r="J39" s="118">
        <f>J12*$H39</f>
        <v>-10.641361171447345</v>
      </c>
      <c r="K39" s="118">
        <f>K12*$H39</f>
        <v>-12.717622022793989</v>
      </c>
      <c r="L39" s="118">
        <f>L12*$H39</f>
        <v>-12.856039412883765</v>
      </c>
      <c r="M39" s="118">
        <f>M12*$H39</f>
        <v>-14.150032286904857</v>
      </c>
      <c r="N39" s="118">
        <f t="shared" ref="N39:T39" si="12">N12*$D39</f>
        <v>-13.837294524133601</v>
      </c>
      <c r="O39" s="118">
        <f t="shared" si="12"/>
        <v>-13.778661920217779</v>
      </c>
      <c r="P39" s="118">
        <f t="shared" si="12"/>
        <v>-13.960841796670506</v>
      </c>
      <c r="Q39" s="118">
        <f t="shared" si="12"/>
        <v>-25.320908805360698</v>
      </c>
      <c r="R39" s="118">
        <f t="shared" si="12"/>
        <v>-39.535127211810284</v>
      </c>
      <c r="S39" s="118">
        <f t="shared" si="12"/>
        <v>-40.797822217568843</v>
      </c>
      <c r="T39" s="118">
        <f t="shared" si="12"/>
        <v>-42.094021568422157</v>
      </c>
      <c r="U39" s="118">
        <f t="shared" ref="U39" si="13">U12*$D39</f>
        <v>-35.401528635744953</v>
      </c>
    </row>
    <row r="40" spans="1:21">
      <c r="A40" s="114">
        <v>21</v>
      </c>
      <c r="C40" s="112" t="s">
        <v>138</v>
      </c>
      <c r="E40" s="114">
        <v>21</v>
      </c>
      <c r="G40" s="112" t="s">
        <v>138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>
      <c r="A41" s="114">
        <v>22</v>
      </c>
      <c r="C41" s="112" t="s">
        <v>68</v>
      </c>
      <c r="E41" s="114">
        <v>22</v>
      </c>
      <c r="G41" s="112" t="s">
        <v>68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  <row r="42" spans="1:21">
      <c r="A42" s="114">
        <v>23</v>
      </c>
      <c r="B42" s="112" t="s">
        <v>67</v>
      </c>
      <c r="E42" s="114">
        <v>23</v>
      </c>
      <c r="F42" s="112" t="s">
        <v>67</v>
      </c>
      <c r="I42" s="120">
        <f>SUM(I39:I41)</f>
        <v>-7.2207738496833285</v>
      </c>
      <c r="J42" s="120">
        <f>SUM(J39:J41)</f>
        <v>-10.641361171447345</v>
      </c>
      <c r="K42" s="120">
        <f>SUM(K39:K41)</f>
        <v>-12.717622022793989</v>
      </c>
      <c r="L42" s="120">
        <f>SUM(L39:L41)</f>
        <v>-12.856039412883765</v>
      </c>
      <c r="M42" s="120">
        <f>SUM(M39:M41)</f>
        <v>-14.150032286904857</v>
      </c>
      <c r="N42" s="120">
        <f t="shared" ref="N42:T42" si="14">SUM(N39:N41)</f>
        <v>-13.837294524133601</v>
      </c>
      <c r="O42" s="120">
        <f t="shared" si="14"/>
        <v>-13.778661920217779</v>
      </c>
      <c r="P42" s="120">
        <f t="shared" si="14"/>
        <v>-13.960841796670506</v>
      </c>
      <c r="Q42" s="120">
        <f t="shared" si="14"/>
        <v>-25.320908805360698</v>
      </c>
      <c r="R42" s="120">
        <f t="shared" si="14"/>
        <v>-39.535127211810284</v>
      </c>
      <c r="S42" s="120">
        <f t="shared" si="14"/>
        <v>-40.797822217568843</v>
      </c>
      <c r="T42" s="120">
        <f t="shared" si="14"/>
        <v>-42.094021568422157</v>
      </c>
      <c r="U42" s="120">
        <f t="shared" ref="U42" si="15">SUM(U39:U41)</f>
        <v>-35.401528635744953</v>
      </c>
    </row>
    <row r="43" spans="1:21">
      <c r="A43" s="114">
        <v>24</v>
      </c>
      <c r="B43" s="112" t="s">
        <v>66</v>
      </c>
      <c r="E43" s="114">
        <v>24</v>
      </c>
      <c r="F43" s="112" t="s">
        <v>66</v>
      </c>
      <c r="I43" s="120">
        <f>I26+I32+I34+I35+I36+I42</f>
        <v>-3610.386924841664</v>
      </c>
      <c r="J43" s="120">
        <f>J26+J32+J34+J35+J36+J42</f>
        <v>-5320.6805857236723</v>
      </c>
      <c r="K43" s="120">
        <f>K26+K32+K34+K35+K36+K42</f>
        <v>-6358.8110113969942</v>
      </c>
      <c r="L43" s="120">
        <f>L26+L32+L34+L35+L36+L42</f>
        <v>-6428.0197064418826</v>
      </c>
      <c r="M43" s="120">
        <f>M26+M32+M34+M35+M36+M42</f>
        <v>-7075.016143452428</v>
      </c>
      <c r="N43" s="120">
        <f t="shared" ref="N43:T43" si="16">N26+N32+N34+N35+N36+N42</f>
        <v>-6918.6472620667992</v>
      </c>
      <c r="O43" s="120">
        <f t="shared" si="16"/>
        <v>-6889.3309601088895</v>
      </c>
      <c r="P43" s="120">
        <f t="shared" si="16"/>
        <v>-6980.4208983352528</v>
      </c>
      <c r="Q43" s="120">
        <f t="shared" si="16"/>
        <v>-12660.454402680347</v>
      </c>
      <c r="R43" s="120">
        <f t="shared" si="16"/>
        <v>-19767.563605905139</v>
      </c>
      <c r="S43" s="120">
        <f t="shared" si="16"/>
        <v>-20398.911108784421</v>
      </c>
      <c r="T43" s="120">
        <f t="shared" si="16"/>
        <v>-21047.010784211077</v>
      </c>
      <c r="U43" s="120">
        <f t="shared" ref="U43" si="17">U26+U32+U34+U35+U36+U42</f>
        <v>-17700.764317872476</v>
      </c>
    </row>
    <row r="44" spans="1:21">
      <c r="A44" s="114"/>
      <c r="E44" s="114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>
      <c r="A45" s="114">
        <v>25</v>
      </c>
      <c r="B45" s="112" t="s">
        <v>65</v>
      </c>
      <c r="E45" s="114">
        <v>25</v>
      </c>
      <c r="F45" s="112" t="s">
        <v>65</v>
      </c>
      <c r="I45" s="118">
        <f>I17-I43</f>
        <v>0</v>
      </c>
      <c r="J45" s="118">
        <f>J17-J43</f>
        <v>0</v>
      </c>
      <c r="K45" s="118">
        <f>K17-K43</f>
        <v>0</v>
      </c>
      <c r="L45" s="118">
        <f>L17-L43</f>
        <v>0</v>
      </c>
      <c r="M45" s="118">
        <f>M17-M43</f>
        <v>0</v>
      </c>
      <c r="N45" s="118">
        <f t="shared" ref="N45:T45" si="18">N17-N43</f>
        <v>0</v>
      </c>
      <c r="O45" s="118">
        <f t="shared" si="18"/>
        <v>0</v>
      </c>
      <c r="P45" s="118">
        <f t="shared" si="18"/>
        <v>0</v>
      </c>
      <c r="Q45" s="118">
        <f t="shared" si="18"/>
        <v>0</v>
      </c>
      <c r="R45" s="118">
        <f t="shared" si="18"/>
        <v>0</v>
      </c>
      <c r="S45" s="118">
        <f t="shared" si="18"/>
        <v>0</v>
      </c>
      <c r="T45" s="118">
        <f t="shared" si="18"/>
        <v>0</v>
      </c>
      <c r="U45" s="118">
        <f t="shared" ref="U45" si="19">U17-U43</f>
        <v>0</v>
      </c>
    </row>
    <row r="46" spans="1:21">
      <c r="A46" s="114"/>
      <c r="E46" s="114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>
      <c r="A47" s="114"/>
      <c r="B47" s="112" t="s">
        <v>64</v>
      </c>
      <c r="E47" s="114"/>
      <c r="F47" s="112" t="s">
        <v>64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spans="1:21">
      <c r="A48" s="114">
        <v>26</v>
      </c>
      <c r="B48" s="112" t="s">
        <v>139</v>
      </c>
      <c r="E48" s="114">
        <v>26</v>
      </c>
      <c r="F48" s="112" t="s">
        <v>139</v>
      </c>
      <c r="I48" s="118">
        <f>ROUND(0.35*I45,0)</f>
        <v>0</v>
      </c>
      <c r="J48" s="118">
        <f>ROUND(0.35*J45,0)</f>
        <v>0</v>
      </c>
      <c r="K48" s="118">
        <f>ROUND(0.35*K45,0)</f>
        <v>0</v>
      </c>
      <c r="L48" s="118">
        <f>ROUND(0.35*L45,0)</f>
        <v>0</v>
      </c>
      <c r="M48" s="118">
        <f>ROUND(0.35*M45,0)</f>
        <v>0</v>
      </c>
      <c r="N48" s="118">
        <f t="shared" ref="N48:T48" si="20">ROUND(0.35*N45,0)</f>
        <v>0</v>
      </c>
      <c r="O48" s="118">
        <f t="shared" si="20"/>
        <v>0</v>
      </c>
      <c r="P48" s="118">
        <f t="shared" si="20"/>
        <v>0</v>
      </c>
      <c r="Q48" s="118">
        <f t="shared" si="20"/>
        <v>0</v>
      </c>
      <c r="R48" s="118">
        <f t="shared" si="20"/>
        <v>0</v>
      </c>
      <c r="S48" s="118">
        <f t="shared" si="20"/>
        <v>0</v>
      </c>
      <c r="T48" s="118">
        <f t="shared" si="20"/>
        <v>0</v>
      </c>
      <c r="U48" s="118">
        <f t="shared" ref="U48" si="21">ROUND(0.35*U45,0)</f>
        <v>0</v>
      </c>
    </row>
    <row r="49" spans="1:21">
      <c r="A49" s="114">
        <v>27</v>
      </c>
      <c r="B49" s="112" t="s">
        <v>140</v>
      </c>
      <c r="E49" s="114">
        <v>27</v>
      </c>
      <c r="F49" s="112" t="s">
        <v>140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</row>
    <row r="50" spans="1:21">
      <c r="A50" s="114">
        <v>28</v>
      </c>
      <c r="B50" s="112" t="s">
        <v>63</v>
      </c>
      <c r="E50" s="114">
        <v>28</v>
      </c>
      <c r="F50" s="112" t="s">
        <v>63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</row>
    <row r="51" spans="1:21">
      <c r="A51" s="114">
        <v>29</v>
      </c>
      <c r="B51" s="112" t="s">
        <v>62</v>
      </c>
      <c r="E51" s="114">
        <v>29</v>
      </c>
      <c r="F51" s="112" t="s">
        <v>62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</row>
    <row r="52" spans="1:21">
      <c r="A52" s="114"/>
      <c r="E52" s="114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21">
      <c r="A53" s="114">
        <v>30</v>
      </c>
      <c r="B53" s="112" t="s">
        <v>61</v>
      </c>
      <c r="E53" s="114">
        <v>30</v>
      </c>
      <c r="F53" s="112" t="s">
        <v>61</v>
      </c>
      <c r="I53" s="118">
        <f>I45-I48-I49-I50-I51</f>
        <v>0</v>
      </c>
      <c r="J53" s="118">
        <f>J45-J48-J49-J50-J51</f>
        <v>0</v>
      </c>
      <c r="K53" s="118">
        <f>K45-K48-K49-K50-K51</f>
        <v>0</v>
      </c>
      <c r="L53" s="118">
        <f>L45-L48-L49-L50-L51</f>
        <v>0</v>
      </c>
      <c r="M53" s="118">
        <f>M45-M48-M49-M50-M51</f>
        <v>0</v>
      </c>
      <c r="N53" s="118">
        <f t="shared" ref="N53:T53" si="22">N45-N48-N49-N50-N51</f>
        <v>0</v>
      </c>
      <c r="O53" s="118">
        <f t="shared" si="22"/>
        <v>0</v>
      </c>
      <c r="P53" s="118">
        <f t="shared" si="22"/>
        <v>0</v>
      </c>
      <c r="Q53" s="118">
        <f t="shared" si="22"/>
        <v>0</v>
      </c>
      <c r="R53" s="118">
        <f t="shared" si="22"/>
        <v>0</v>
      </c>
      <c r="S53" s="118">
        <f t="shared" si="22"/>
        <v>0</v>
      </c>
      <c r="T53" s="118">
        <f t="shared" si="22"/>
        <v>0</v>
      </c>
      <c r="U53" s="118">
        <f t="shared" ref="U53" si="23">U45-U48-U49-U50-U51</f>
        <v>0</v>
      </c>
    </row>
    <row r="54" spans="1:21">
      <c r="A54" s="114"/>
      <c r="E54" s="114"/>
    </row>
    <row r="55" spans="1:21">
      <c r="B55" s="112" t="s">
        <v>236</v>
      </c>
      <c r="F55" s="112" t="s">
        <v>390</v>
      </c>
    </row>
    <row r="56" spans="1:21">
      <c r="F56" s="112" t="s">
        <v>294</v>
      </c>
    </row>
    <row r="57" spans="1:21">
      <c r="F57" s="112" t="s">
        <v>486</v>
      </c>
    </row>
  </sheetData>
  <phoneticPr fontId="56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V24" sqref="V24"/>
    </sheetView>
  </sheetViews>
  <sheetFormatPr defaultColWidth="9.140625" defaultRowHeight="12.75"/>
  <cols>
    <col min="1" max="1" width="6.7109375" style="112" hidden="1" customWidth="1"/>
    <col min="2" max="2" width="3.42578125" style="112" hidden="1" customWidth="1"/>
    <col min="3" max="3" width="26.140625" style="112" hidden="1" customWidth="1"/>
    <col min="4" max="4" width="9" style="112" hidden="1" customWidth="1"/>
    <col min="5" max="5" width="6.7109375" style="112" customWidth="1"/>
    <col min="6" max="6" width="3.42578125" style="112" customWidth="1"/>
    <col min="7" max="7" width="26.140625" style="112" customWidth="1"/>
    <col min="8" max="8" width="9" style="112" bestFit="1" customWidth="1"/>
    <col min="9" max="12" width="7.5703125" style="112" bestFit="1" customWidth="1"/>
    <col min="13" max="15" width="7.5703125" style="154" bestFit="1" customWidth="1"/>
    <col min="16" max="20" width="7.5703125" style="112" bestFit="1" customWidth="1"/>
    <col min="21" max="22" width="9.140625" style="112"/>
    <col min="23" max="23" width="10.42578125" style="112" customWidth="1"/>
    <col min="24" max="16384" width="9.140625" style="112"/>
  </cols>
  <sheetData>
    <row r="2" spans="1:24">
      <c r="A2" s="112" t="s">
        <v>93</v>
      </c>
      <c r="E2" s="112" t="s">
        <v>93</v>
      </c>
    </row>
    <row r="3" spans="1:24">
      <c r="A3" s="112" t="s">
        <v>133</v>
      </c>
      <c r="E3" s="112" t="s">
        <v>133</v>
      </c>
    </row>
    <row r="4" spans="1:24">
      <c r="A4" s="112" t="s">
        <v>231</v>
      </c>
      <c r="E4" s="112" t="s">
        <v>293</v>
      </c>
    </row>
    <row r="5" spans="1:24">
      <c r="A5" s="112" t="s">
        <v>92</v>
      </c>
      <c r="E5" s="112" t="s">
        <v>92</v>
      </c>
    </row>
    <row r="7" spans="1:24">
      <c r="I7" s="113">
        <v>2000</v>
      </c>
      <c r="J7" s="113">
        <v>2001</v>
      </c>
      <c r="K7" s="113">
        <v>2002</v>
      </c>
      <c r="L7" s="113">
        <v>2003</v>
      </c>
      <c r="M7" s="421">
        <v>2004</v>
      </c>
      <c r="N7" s="430">
        <v>2005</v>
      </c>
      <c r="O7" s="421">
        <v>2006</v>
      </c>
      <c r="P7" s="113">
        <v>2007</v>
      </c>
      <c r="Q7" s="113">
        <v>2008</v>
      </c>
      <c r="R7" s="113">
        <v>2009</v>
      </c>
      <c r="S7" s="113">
        <v>2010</v>
      </c>
      <c r="T7" s="113">
        <v>2011</v>
      </c>
      <c r="U7" s="113">
        <v>2012</v>
      </c>
      <c r="V7" s="436" t="s">
        <v>530</v>
      </c>
      <c r="W7" s="436"/>
      <c r="X7" s="506"/>
    </row>
    <row r="8" spans="1:24">
      <c r="A8" s="114" t="s">
        <v>3</v>
      </c>
      <c r="E8" s="114" t="s">
        <v>3</v>
      </c>
      <c r="I8" s="114" t="s">
        <v>91</v>
      </c>
      <c r="J8" s="114" t="s">
        <v>91</v>
      </c>
      <c r="K8" s="114" t="s">
        <v>91</v>
      </c>
      <c r="L8" s="114" t="s">
        <v>91</v>
      </c>
      <c r="M8" s="422" t="s">
        <v>91</v>
      </c>
      <c r="N8" s="431" t="s">
        <v>91</v>
      </c>
      <c r="O8" s="422" t="s">
        <v>91</v>
      </c>
      <c r="P8" s="114" t="s">
        <v>91</v>
      </c>
      <c r="Q8" s="114" t="s">
        <v>91</v>
      </c>
      <c r="R8" s="114" t="s">
        <v>91</v>
      </c>
      <c r="S8" s="114" t="s">
        <v>91</v>
      </c>
      <c r="T8" s="114" t="s">
        <v>91</v>
      </c>
      <c r="U8" s="247" t="s">
        <v>91</v>
      </c>
      <c r="V8" s="427" t="s">
        <v>484</v>
      </c>
    </row>
    <row r="9" spans="1:24">
      <c r="A9" s="115" t="s">
        <v>89</v>
      </c>
      <c r="C9" s="116" t="s">
        <v>4</v>
      </c>
      <c r="D9" s="114" t="s">
        <v>232</v>
      </c>
      <c r="E9" s="115" t="s">
        <v>89</v>
      </c>
      <c r="G9" s="116" t="s">
        <v>4</v>
      </c>
      <c r="H9" s="114" t="s">
        <v>232</v>
      </c>
      <c r="I9" s="115" t="s">
        <v>233</v>
      </c>
      <c r="J9" s="115" t="s">
        <v>233</v>
      </c>
      <c r="K9" s="115" t="s">
        <v>233</v>
      </c>
      <c r="L9" s="115" t="s">
        <v>233</v>
      </c>
      <c r="M9" s="423" t="s">
        <v>233</v>
      </c>
      <c r="N9" s="432" t="s">
        <v>233</v>
      </c>
      <c r="O9" s="423" t="s">
        <v>233</v>
      </c>
      <c r="P9" s="115" t="s">
        <v>233</v>
      </c>
      <c r="Q9" s="115" t="s">
        <v>233</v>
      </c>
      <c r="R9" s="115" t="s">
        <v>233</v>
      </c>
      <c r="S9" s="115" t="s">
        <v>233</v>
      </c>
      <c r="T9" s="115" t="s">
        <v>233</v>
      </c>
      <c r="U9" s="115" t="s">
        <v>233</v>
      </c>
    </row>
    <row r="10" spans="1:24">
      <c r="A10" s="114"/>
      <c r="E10" s="114"/>
      <c r="I10" s="112" t="s">
        <v>235</v>
      </c>
      <c r="M10" s="420"/>
      <c r="O10" s="420"/>
    </row>
    <row r="11" spans="1:24">
      <c r="A11" s="114"/>
      <c r="B11" s="112" t="s">
        <v>85</v>
      </c>
      <c r="E11" s="114"/>
      <c r="F11" s="112" t="s">
        <v>85</v>
      </c>
      <c r="M11" s="420"/>
      <c r="O11" s="420"/>
    </row>
    <row r="12" spans="1:24">
      <c r="A12" s="114">
        <v>1</v>
      </c>
      <c r="B12" s="112" t="s">
        <v>84</v>
      </c>
      <c r="D12" s="117">
        <v>0.95509999999999995</v>
      </c>
      <c r="E12" s="114">
        <v>1</v>
      </c>
      <c r="F12" s="112" t="s">
        <v>84</v>
      </c>
      <c r="H12" s="338">
        <f>ROR!L20</f>
        <v>0.95363739999999997</v>
      </c>
      <c r="I12" s="118">
        <f>I24/$H12</f>
        <v>17453.17455041088</v>
      </c>
      <c r="J12" s="118">
        <f>J24/$H12</f>
        <v>1484.8410936903272</v>
      </c>
      <c r="K12" s="118">
        <f>K24/$H12</f>
        <v>7877.2078360181767</v>
      </c>
      <c r="L12" s="118">
        <f>L24/$H12</f>
        <v>6647.1805740840282</v>
      </c>
      <c r="M12" s="424">
        <f>M24/$H12</f>
        <v>7508.094795778773</v>
      </c>
      <c r="N12" s="433">
        <f t="shared" ref="N12:T12" si="0">N24/$D12</f>
        <v>9829.3372421735949</v>
      </c>
      <c r="O12" s="424">
        <f t="shared" si="0"/>
        <v>10768.505915610931</v>
      </c>
      <c r="P12" s="118">
        <f t="shared" si="0"/>
        <v>5844.4141974662343</v>
      </c>
      <c r="Q12" s="118">
        <f t="shared" si="0"/>
        <v>3744.1105643388128</v>
      </c>
      <c r="R12" s="118">
        <f t="shared" si="0"/>
        <v>4193.2781907653653</v>
      </c>
      <c r="S12" s="118">
        <f t="shared" si="0"/>
        <v>6537.535336613967</v>
      </c>
      <c r="T12" s="118">
        <f t="shared" si="0"/>
        <v>4826.7197152130666</v>
      </c>
      <c r="U12" s="118">
        <f t="shared" ref="U12" si="1">U24/$D12</f>
        <v>8718.4588001256416</v>
      </c>
    </row>
    <row r="13" spans="1:24">
      <c r="A13" s="114">
        <v>2</v>
      </c>
      <c r="B13" s="112" t="s">
        <v>83</v>
      </c>
      <c r="E13" s="114">
        <v>2</v>
      </c>
      <c r="F13" s="112" t="s">
        <v>83</v>
      </c>
      <c r="H13" s="154"/>
      <c r="I13" s="118"/>
      <c r="J13" s="118"/>
      <c r="K13" s="118"/>
      <c r="L13" s="118"/>
      <c r="M13" s="424"/>
      <c r="N13" s="433"/>
      <c r="O13" s="424"/>
      <c r="P13" s="118"/>
      <c r="Q13" s="118"/>
      <c r="R13" s="118"/>
      <c r="S13" s="118"/>
      <c r="T13" s="118"/>
      <c r="U13" s="118"/>
    </row>
    <row r="14" spans="1:24">
      <c r="A14" s="114">
        <v>3</v>
      </c>
      <c r="B14" s="112" t="s">
        <v>82</v>
      </c>
      <c r="E14" s="114">
        <v>3</v>
      </c>
      <c r="F14" s="112" t="s">
        <v>82</v>
      </c>
      <c r="H14" s="154"/>
      <c r="I14" s="119"/>
      <c r="J14" s="119"/>
      <c r="K14" s="119"/>
      <c r="L14" s="119"/>
      <c r="M14" s="425"/>
      <c r="N14" s="434"/>
      <c r="O14" s="425"/>
      <c r="P14" s="119"/>
      <c r="Q14" s="119"/>
      <c r="R14" s="119"/>
      <c r="S14" s="119"/>
      <c r="T14" s="119"/>
      <c r="U14" s="119"/>
    </row>
    <row r="15" spans="1:24">
      <c r="A15" s="114">
        <v>4</v>
      </c>
      <c r="B15" s="112" t="s">
        <v>81</v>
      </c>
      <c r="E15" s="114">
        <v>4</v>
      </c>
      <c r="F15" s="112" t="s">
        <v>81</v>
      </c>
      <c r="H15" s="154"/>
      <c r="I15" s="118">
        <f>SUM(I12:I14)</f>
        <v>17453.17455041088</v>
      </c>
      <c r="J15" s="118">
        <f>SUM(J12:J14)</f>
        <v>1484.8410936903272</v>
      </c>
      <c r="K15" s="118">
        <f>SUM(K12:K14)</f>
        <v>7877.2078360181767</v>
      </c>
      <c r="L15" s="118">
        <f>SUM(L12:L14)</f>
        <v>6647.1805740840282</v>
      </c>
      <c r="M15" s="424">
        <f>SUM(M12:M14)</f>
        <v>7508.094795778773</v>
      </c>
      <c r="N15" s="433">
        <f t="shared" ref="N15:T15" si="2">SUM(N12:N14)</f>
        <v>9829.3372421735949</v>
      </c>
      <c r="O15" s="424">
        <f t="shared" si="2"/>
        <v>10768.505915610931</v>
      </c>
      <c r="P15" s="118">
        <f t="shared" si="2"/>
        <v>5844.4141974662343</v>
      </c>
      <c r="Q15" s="118">
        <f t="shared" si="2"/>
        <v>3744.1105643388128</v>
      </c>
      <c r="R15" s="118">
        <f t="shared" si="2"/>
        <v>4193.2781907653653</v>
      </c>
      <c r="S15" s="118">
        <f t="shared" si="2"/>
        <v>6537.535336613967</v>
      </c>
      <c r="T15" s="118">
        <f t="shared" si="2"/>
        <v>4826.7197152130666</v>
      </c>
      <c r="U15" s="118">
        <f t="shared" ref="U15" si="3">SUM(U12:U14)</f>
        <v>8718.4588001256416</v>
      </c>
    </row>
    <row r="16" spans="1:24">
      <c r="A16" s="114">
        <v>5</v>
      </c>
      <c r="B16" s="112" t="s">
        <v>80</v>
      </c>
      <c r="E16" s="114">
        <v>5</v>
      </c>
      <c r="F16" s="112" t="s">
        <v>80</v>
      </c>
      <c r="H16" s="154"/>
      <c r="I16" s="119"/>
      <c r="J16" s="119"/>
      <c r="K16" s="119"/>
      <c r="L16" s="119"/>
      <c r="M16" s="425"/>
      <c r="N16" s="434"/>
      <c r="O16" s="425"/>
      <c r="P16" s="119"/>
      <c r="Q16" s="119"/>
      <c r="R16" s="119"/>
      <c r="S16" s="119"/>
      <c r="T16" s="119"/>
      <c r="U16" s="119"/>
    </row>
    <row r="17" spans="1:21">
      <c r="A17" s="114">
        <v>6</v>
      </c>
      <c r="B17" s="112" t="s">
        <v>79</v>
      </c>
      <c r="E17" s="114">
        <v>6</v>
      </c>
      <c r="F17" s="112" t="s">
        <v>79</v>
      </c>
      <c r="H17" s="154"/>
      <c r="I17" s="118">
        <f>I15+I16</f>
        <v>17453.17455041088</v>
      </c>
      <c r="J17" s="118">
        <f>J15+J16</f>
        <v>1484.8410936903272</v>
      </c>
      <c r="K17" s="118">
        <f>K15+K16</f>
        <v>7877.2078360181767</v>
      </c>
      <c r="L17" s="118">
        <f>L15+L16</f>
        <v>6647.1805740840282</v>
      </c>
      <c r="M17" s="424">
        <f>M15+M16</f>
        <v>7508.094795778773</v>
      </c>
      <c r="N17" s="433">
        <f t="shared" ref="N17:T17" si="4">N15+N16</f>
        <v>9829.3372421735949</v>
      </c>
      <c r="O17" s="424">
        <f t="shared" si="4"/>
        <v>10768.505915610931</v>
      </c>
      <c r="P17" s="118">
        <f t="shared" si="4"/>
        <v>5844.4141974662343</v>
      </c>
      <c r="Q17" s="118">
        <f t="shared" si="4"/>
        <v>3744.1105643388128</v>
      </c>
      <c r="R17" s="118">
        <f t="shared" si="4"/>
        <v>4193.2781907653653</v>
      </c>
      <c r="S17" s="118">
        <f t="shared" si="4"/>
        <v>6537.535336613967</v>
      </c>
      <c r="T17" s="118">
        <f t="shared" si="4"/>
        <v>4826.7197152130666</v>
      </c>
      <c r="U17" s="118">
        <f t="shared" ref="U17" si="5">U15+U16</f>
        <v>8718.4588001256416</v>
      </c>
    </row>
    <row r="18" spans="1:21">
      <c r="A18" s="114"/>
      <c r="E18" s="114"/>
      <c r="H18" s="154"/>
      <c r="I18" s="118"/>
      <c r="J18" s="118"/>
      <c r="K18" s="118"/>
      <c r="L18" s="118"/>
      <c r="M18" s="424"/>
      <c r="N18" s="433"/>
      <c r="O18" s="424"/>
      <c r="P18" s="118"/>
      <c r="Q18" s="118"/>
      <c r="R18" s="118"/>
      <c r="S18" s="118"/>
      <c r="T18" s="118"/>
      <c r="U18" s="118"/>
    </row>
    <row r="19" spans="1:21">
      <c r="A19" s="114"/>
      <c r="B19" s="112" t="s">
        <v>78</v>
      </c>
      <c r="E19" s="114"/>
      <c r="F19" s="112" t="s">
        <v>78</v>
      </c>
      <c r="H19" s="154"/>
      <c r="I19" s="118"/>
      <c r="J19" s="118"/>
      <c r="K19" s="118"/>
      <c r="L19" s="118"/>
      <c r="M19" s="424"/>
      <c r="N19" s="433"/>
      <c r="O19" s="424"/>
      <c r="P19" s="118"/>
      <c r="Q19" s="118"/>
      <c r="R19" s="118"/>
      <c r="S19" s="118"/>
      <c r="T19" s="118"/>
      <c r="U19" s="118"/>
    </row>
    <row r="20" spans="1:21">
      <c r="A20" s="114"/>
      <c r="B20" s="112" t="s">
        <v>77</v>
      </c>
      <c r="E20" s="114"/>
      <c r="F20" s="112" t="s">
        <v>77</v>
      </c>
      <c r="H20" s="154"/>
      <c r="I20" s="118"/>
      <c r="J20" s="118"/>
      <c r="K20" s="118"/>
      <c r="L20" s="118"/>
      <c r="M20" s="424"/>
      <c r="N20" s="433"/>
      <c r="O20" s="424"/>
      <c r="P20" s="118"/>
      <c r="Q20" s="118"/>
      <c r="R20" s="118"/>
      <c r="S20" s="118"/>
      <c r="T20" s="118"/>
      <c r="U20" s="118"/>
    </row>
    <row r="21" spans="1:21">
      <c r="A21" s="114">
        <v>7</v>
      </c>
      <c r="C21" s="112" t="s">
        <v>69</v>
      </c>
      <c r="E21" s="114">
        <v>7</v>
      </c>
      <c r="G21" s="112" t="s">
        <v>69</v>
      </c>
      <c r="H21" s="154"/>
      <c r="I21" s="118"/>
      <c r="J21" s="118"/>
      <c r="K21" s="118"/>
      <c r="L21" s="118"/>
      <c r="M21" s="424"/>
      <c r="N21" s="433"/>
      <c r="O21" s="424"/>
      <c r="P21" s="118"/>
      <c r="Q21" s="118"/>
      <c r="R21" s="118"/>
      <c r="S21" s="118"/>
      <c r="T21" s="118"/>
      <c r="U21" s="118"/>
    </row>
    <row r="22" spans="1:21">
      <c r="A22" s="114">
        <v>8</v>
      </c>
      <c r="C22" s="112" t="s">
        <v>76</v>
      </c>
      <c r="E22" s="114">
        <v>8</v>
      </c>
      <c r="G22" s="112" t="s">
        <v>76</v>
      </c>
      <c r="H22" s="154"/>
      <c r="I22" s="118"/>
      <c r="J22" s="118"/>
      <c r="K22" s="118"/>
      <c r="L22" s="118"/>
      <c r="M22" s="424"/>
      <c r="N22" s="433"/>
      <c r="O22" s="424"/>
      <c r="P22" s="118"/>
      <c r="Q22" s="118"/>
      <c r="R22" s="118"/>
      <c r="S22" s="118"/>
      <c r="T22" s="118"/>
      <c r="U22" s="118"/>
    </row>
    <row r="23" spans="1:21">
      <c r="A23" s="114">
        <v>9</v>
      </c>
      <c r="C23" s="112" t="s">
        <v>136</v>
      </c>
      <c r="E23" s="114">
        <v>9</v>
      </c>
      <c r="G23" s="112" t="s">
        <v>136</v>
      </c>
      <c r="H23" s="154"/>
      <c r="I23" s="118"/>
      <c r="J23" s="118"/>
      <c r="K23" s="118"/>
      <c r="L23" s="118"/>
      <c r="M23" s="424"/>
      <c r="N23" s="433"/>
      <c r="O23" s="424"/>
      <c r="P23" s="118"/>
      <c r="Q23" s="118"/>
      <c r="R23" s="118"/>
      <c r="S23" s="118"/>
      <c r="T23" s="118"/>
      <c r="U23" s="118"/>
    </row>
    <row r="24" spans="1:21">
      <c r="A24" s="114">
        <v>10</v>
      </c>
      <c r="C24" s="112" t="s">
        <v>137</v>
      </c>
      <c r="E24" s="114">
        <v>10</v>
      </c>
      <c r="G24" s="112" t="s">
        <v>137</v>
      </c>
      <c r="H24" s="154"/>
      <c r="I24" s="118">
        <v>16644</v>
      </c>
      <c r="J24" s="118">
        <v>1416</v>
      </c>
      <c r="K24" s="118">
        <v>7512</v>
      </c>
      <c r="L24" s="118">
        <v>6339</v>
      </c>
      <c r="M24" s="424">
        <v>7160</v>
      </c>
      <c r="N24" s="433">
        <v>9388</v>
      </c>
      <c r="O24" s="424">
        <v>10285</v>
      </c>
      <c r="P24" s="118">
        <v>5582</v>
      </c>
      <c r="Q24" s="118">
        <v>3576</v>
      </c>
      <c r="R24" s="118">
        <v>4005</v>
      </c>
      <c r="S24" s="118">
        <v>6244</v>
      </c>
      <c r="T24" s="118">
        <f>4794-184</f>
        <v>4610</v>
      </c>
      <c r="U24" s="118">
        <f>8505-178</f>
        <v>8327</v>
      </c>
    </row>
    <row r="25" spans="1:21">
      <c r="A25" s="114">
        <v>11</v>
      </c>
      <c r="C25" s="112" t="s">
        <v>68</v>
      </c>
      <c r="E25" s="114">
        <v>11</v>
      </c>
      <c r="G25" s="112" t="s">
        <v>68</v>
      </c>
      <c r="H25" s="154"/>
      <c r="I25" s="119"/>
      <c r="J25" s="119"/>
      <c r="K25" s="119"/>
      <c r="L25" s="119"/>
      <c r="M25" s="425"/>
      <c r="N25" s="434"/>
      <c r="O25" s="425"/>
      <c r="P25" s="119"/>
      <c r="Q25" s="119"/>
      <c r="R25" s="119"/>
      <c r="S25" s="119"/>
      <c r="T25" s="119"/>
      <c r="U25" s="119"/>
    </row>
    <row r="26" spans="1:21">
      <c r="A26" s="114">
        <v>12</v>
      </c>
      <c r="B26" s="112" t="s">
        <v>75</v>
      </c>
      <c r="E26" s="114">
        <v>12</v>
      </c>
      <c r="F26" s="112" t="s">
        <v>75</v>
      </c>
      <c r="H26" s="154"/>
      <c r="I26" s="118">
        <f>SUM(I21:I25)</f>
        <v>16644</v>
      </c>
      <c r="J26" s="118">
        <f>SUM(J21:J25)</f>
        <v>1416</v>
      </c>
      <c r="K26" s="118">
        <f>SUM(K21:K25)</f>
        <v>7512</v>
      </c>
      <c r="L26" s="118">
        <f>SUM(L21:L25)</f>
        <v>6339</v>
      </c>
      <c r="M26" s="424">
        <f>SUM(M21:M25)</f>
        <v>7160</v>
      </c>
      <c r="N26" s="433">
        <f t="shared" ref="N26:T26" si="6">SUM(N21:N25)</f>
        <v>9388</v>
      </c>
      <c r="O26" s="424">
        <f t="shared" si="6"/>
        <v>10285</v>
      </c>
      <c r="P26" s="118">
        <f t="shared" si="6"/>
        <v>5582</v>
      </c>
      <c r="Q26" s="118">
        <f t="shared" si="6"/>
        <v>3576</v>
      </c>
      <c r="R26" s="118">
        <f t="shared" si="6"/>
        <v>4005</v>
      </c>
      <c r="S26" s="118">
        <f t="shared" si="6"/>
        <v>6244</v>
      </c>
      <c r="T26" s="118">
        <f t="shared" si="6"/>
        <v>4610</v>
      </c>
      <c r="U26" s="118">
        <f t="shared" ref="U26" si="7">SUM(U21:U25)</f>
        <v>8327</v>
      </c>
    </row>
    <row r="27" spans="1:21">
      <c r="A27" s="114"/>
      <c r="E27" s="114"/>
      <c r="H27" s="154"/>
      <c r="I27" s="118"/>
      <c r="J27" s="118"/>
      <c r="K27" s="118"/>
      <c r="L27" s="118"/>
      <c r="M27" s="424"/>
      <c r="N27" s="433"/>
      <c r="O27" s="424"/>
      <c r="P27" s="118"/>
      <c r="Q27" s="118"/>
      <c r="R27" s="118"/>
      <c r="S27" s="118"/>
      <c r="T27" s="118"/>
      <c r="U27" s="118"/>
    </row>
    <row r="28" spans="1:21">
      <c r="A28" s="114"/>
      <c r="B28" s="112" t="s">
        <v>55</v>
      </c>
      <c r="E28" s="114"/>
      <c r="F28" s="112" t="s">
        <v>55</v>
      </c>
      <c r="H28" s="154"/>
      <c r="I28" s="118"/>
      <c r="J28" s="118"/>
      <c r="K28" s="118"/>
      <c r="L28" s="118"/>
      <c r="M28" s="424"/>
      <c r="N28" s="433"/>
      <c r="O28" s="424"/>
      <c r="P28" s="118"/>
      <c r="Q28" s="118"/>
      <c r="R28" s="118"/>
      <c r="S28" s="118"/>
      <c r="T28" s="118"/>
      <c r="U28" s="118"/>
    </row>
    <row r="29" spans="1:21">
      <c r="A29" s="114">
        <v>13</v>
      </c>
      <c r="C29" s="112" t="s">
        <v>69</v>
      </c>
      <c r="E29" s="114">
        <v>13</v>
      </c>
      <c r="G29" s="112" t="s">
        <v>69</v>
      </c>
      <c r="H29" s="154"/>
      <c r="I29" s="118"/>
      <c r="J29" s="118"/>
      <c r="K29" s="118"/>
      <c r="L29" s="118"/>
      <c r="M29" s="424"/>
      <c r="N29" s="433"/>
      <c r="O29" s="424"/>
      <c r="P29" s="118"/>
      <c r="Q29" s="118"/>
      <c r="R29" s="118"/>
      <c r="S29" s="118"/>
      <c r="T29" s="118"/>
      <c r="U29" s="118"/>
    </row>
    <row r="30" spans="1:21">
      <c r="A30" s="114">
        <v>14</v>
      </c>
      <c r="C30" s="112" t="s">
        <v>138</v>
      </c>
      <c r="E30" s="114">
        <v>14</v>
      </c>
      <c r="G30" s="112" t="s">
        <v>138</v>
      </c>
      <c r="H30" s="154"/>
      <c r="I30" s="118"/>
      <c r="J30" s="118"/>
      <c r="K30" s="118"/>
      <c r="L30" s="118"/>
      <c r="M30" s="424"/>
      <c r="N30" s="433"/>
      <c r="O30" s="424"/>
      <c r="P30" s="118"/>
      <c r="Q30" s="118"/>
      <c r="R30" s="118"/>
      <c r="S30" s="118"/>
      <c r="T30" s="118"/>
      <c r="U30" s="118"/>
    </row>
    <row r="31" spans="1:21">
      <c r="A31" s="114">
        <v>15</v>
      </c>
      <c r="C31" s="112" t="s">
        <v>68</v>
      </c>
      <c r="D31" s="117">
        <v>3.8561999999999999E-2</v>
      </c>
      <c r="E31" s="114">
        <v>15</v>
      </c>
      <c r="G31" s="112" t="s">
        <v>68</v>
      </c>
      <c r="H31" s="338">
        <f>ROR!L16</f>
        <v>3.8507300000000001E-2</v>
      </c>
      <c r="I31" s="119">
        <f>I12*$H31</f>
        <v>672.07462836503692</v>
      </c>
      <c r="J31" s="119">
        <f>J12*$H31</f>
        <v>57.177221447061534</v>
      </c>
      <c r="K31" s="119">
        <f>K12*$H31</f>
        <v>303.33000530390274</v>
      </c>
      <c r="L31" s="119">
        <f>L12*$H31</f>
        <v>255.96497652042592</v>
      </c>
      <c r="M31" s="425">
        <f>M12*$H31</f>
        <v>289.11645872949197</v>
      </c>
      <c r="N31" s="434">
        <f t="shared" ref="N31:U31" si="8">N12*$D31</f>
        <v>379.03890273269815</v>
      </c>
      <c r="O31" s="425">
        <f t="shared" si="8"/>
        <v>415.25512511778874</v>
      </c>
      <c r="P31" s="119">
        <f t="shared" si="8"/>
        <v>225.37230028269292</v>
      </c>
      <c r="Q31" s="119">
        <f t="shared" si="8"/>
        <v>144.3803915820333</v>
      </c>
      <c r="R31" s="119">
        <f t="shared" si="8"/>
        <v>161.701193592294</v>
      </c>
      <c r="S31" s="119">
        <f t="shared" si="8"/>
        <v>252.10043765050779</v>
      </c>
      <c r="T31" s="119">
        <f t="shared" si="8"/>
        <v>186.12796565804626</v>
      </c>
      <c r="U31" s="119">
        <f t="shared" si="8"/>
        <v>336.20120825044501</v>
      </c>
    </row>
    <row r="32" spans="1:21">
      <c r="A32" s="114">
        <v>16</v>
      </c>
      <c r="B32" s="112" t="s">
        <v>74</v>
      </c>
      <c r="E32" s="114">
        <v>16</v>
      </c>
      <c r="F32" s="112" t="s">
        <v>74</v>
      </c>
      <c r="H32" s="154"/>
      <c r="I32" s="118">
        <f>SUM(I29:I31)</f>
        <v>672.07462836503692</v>
      </c>
      <c r="J32" s="118">
        <f>SUM(J29:J31)</f>
        <v>57.177221447061534</v>
      </c>
      <c r="K32" s="118">
        <f>SUM(K29:K31)</f>
        <v>303.33000530390274</v>
      </c>
      <c r="L32" s="118">
        <f>SUM(L29:L31)</f>
        <v>255.96497652042592</v>
      </c>
      <c r="M32" s="424">
        <f>SUM(M29:M31)</f>
        <v>289.11645872949197</v>
      </c>
      <c r="N32" s="433">
        <f t="shared" ref="N32:T32" si="9">SUM(N29:N31)</f>
        <v>379.03890273269815</v>
      </c>
      <c r="O32" s="424">
        <f t="shared" si="9"/>
        <v>415.25512511778874</v>
      </c>
      <c r="P32" s="118">
        <f t="shared" si="9"/>
        <v>225.37230028269292</v>
      </c>
      <c r="Q32" s="118">
        <f t="shared" si="9"/>
        <v>144.3803915820333</v>
      </c>
      <c r="R32" s="118">
        <f t="shared" si="9"/>
        <v>161.701193592294</v>
      </c>
      <c r="S32" s="118">
        <f t="shared" si="9"/>
        <v>252.10043765050779</v>
      </c>
      <c r="T32" s="118">
        <f t="shared" si="9"/>
        <v>186.12796565804626</v>
      </c>
      <c r="U32" s="118">
        <f t="shared" ref="U32" si="10">SUM(U29:U31)</f>
        <v>336.20120825044501</v>
      </c>
    </row>
    <row r="33" spans="1:21">
      <c r="A33" s="114"/>
      <c r="E33" s="114"/>
      <c r="H33" s="154"/>
      <c r="I33" s="118"/>
      <c r="J33" s="118"/>
      <c r="K33" s="118"/>
      <c r="L33" s="118"/>
      <c r="M33" s="424"/>
      <c r="N33" s="433"/>
      <c r="O33" s="424"/>
      <c r="P33" s="118"/>
      <c r="Q33" s="118"/>
      <c r="R33" s="118"/>
      <c r="S33" s="118"/>
      <c r="T33" s="118"/>
      <c r="U33" s="118"/>
    </row>
    <row r="34" spans="1:21">
      <c r="A34" s="114">
        <v>17</v>
      </c>
      <c r="B34" s="112" t="s">
        <v>73</v>
      </c>
      <c r="D34" s="117">
        <v>4.3379999999999998E-3</v>
      </c>
      <c r="E34" s="114">
        <v>17</v>
      </c>
      <c r="F34" s="112" t="s">
        <v>73</v>
      </c>
      <c r="H34" s="338">
        <f>ROR!L12</f>
        <v>5.8552999999999999E-3</v>
      </c>
      <c r="I34" s="118">
        <f>I12*$H34</f>
        <v>102.19357294502083</v>
      </c>
      <c r="J34" s="118">
        <f>J12*$H34</f>
        <v>8.6941900558849721</v>
      </c>
      <c r="K34" s="118">
        <f>K12*$H34</f>
        <v>46.123415042237227</v>
      </c>
      <c r="L34" s="118">
        <f>L12*$H34</f>
        <v>38.921236415434208</v>
      </c>
      <c r="M34" s="424">
        <f>M12*$H34</f>
        <v>43.962147457723447</v>
      </c>
      <c r="N34" s="433">
        <f t="shared" ref="N34:S34" si="11">N12*$D34</f>
        <v>42.639664956549055</v>
      </c>
      <c r="O34" s="424">
        <f t="shared" si="11"/>
        <v>46.713778661920216</v>
      </c>
      <c r="P34" s="118">
        <f t="shared" si="11"/>
        <v>25.353068788608525</v>
      </c>
      <c r="Q34" s="118">
        <f t="shared" si="11"/>
        <v>16.24195162810177</v>
      </c>
      <c r="R34" s="118">
        <f t="shared" si="11"/>
        <v>18.190440791540155</v>
      </c>
      <c r="S34" s="118">
        <f t="shared" si="11"/>
        <v>28.359828290231388</v>
      </c>
      <c r="T34" s="118">
        <f>T12*$D34</f>
        <v>20.938310124594281</v>
      </c>
      <c r="U34" s="118">
        <f>U12*$D34</f>
        <v>37.820674274945034</v>
      </c>
    </row>
    <row r="35" spans="1:21">
      <c r="A35" s="114">
        <v>18</v>
      </c>
      <c r="B35" s="112" t="s">
        <v>72</v>
      </c>
      <c r="E35" s="114">
        <v>18</v>
      </c>
      <c r="F35" s="112" t="s">
        <v>72</v>
      </c>
      <c r="H35" s="154"/>
      <c r="I35" s="118"/>
      <c r="J35" s="118"/>
      <c r="K35" s="118"/>
      <c r="L35" s="118"/>
      <c r="M35" s="424"/>
      <c r="N35" s="433"/>
      <c r="O35" s="424"/>
      <c r="P35" s="118"/>
      <c r="Q35" s="118"/>
      <c r="R35" s="118"/>
      <c r="S35" s="118"/>
      <c r="T35" s="118"/>
      <c r="U35" s="118"/>
    </row>
    <row r="36" spans="1:21">
      <c r="A36" s="114">
        <v>19</v>
      </c>
      <c r="B36" s="112" t="s">
        <v>71</v>
      </c>
      <c r="E36" s="114">
        <v>19</v>
      </c>
      <c r="F36" s="112" t="s">
        <v>71</v>
      </c>
      <c r="H36" s="154"/>
      <c r="I36" s="118"/>
      <c r="J36" s="118"/>
      <c r="K36" s="118"/>
      <c r="L36" s="118"/>
      <c r="M36" s="424"/>
      <c r="N36" s="433"/>
      <c r="O36" s="424"/>
      <c r="P36" s="118"/>
      <c r="Q36" s="118"/>
      <c r="R36" s="118"/>
      <c r="S36" s="118"/>
      <c r="T36" s="118"/>
      <c r="U36" s="118"/>
    </row>
    <row r="37" spans="1:21">
      <c r="A37" s="114"/>
      <c r="E37" s="114"/>
      <c r="H37" s="154"/>
      <c r="I37" s="118"/>
      <c r="J37" s="118"/>
      <c r="K37" s="118"/>
      <c r="L37" s="118"/>
      <c r="M37" s="424"/>
      <c r="N37" s="433"/>
      <c r="O37" s="424"/>
      <c r="P37" s="118"/>
      <c r="Q37" s="118"/>
      <c r="R37" s="118"/>
      <c r="S37" s="118"/>
      <c r="T37" s="118"/>
      <c r="U37" s="118"/>
    </row>
    <row r="38" spans="1:21">
      <c r="A38" s="114"/>
      <c r="B38" s="112" t="s">
        <v>70</v>
      </c>
      <c r="E38" s="114"/>
      <c r="F38" s="112" t="s">
        <v>70</v>
      </c>
      <c r="H38" s="154"/>
      <c r="I38" s="118"/>
      <c r="J38" s="118"/>
      <c r="K38" s="118"/>
      <c r="L38" s="118"/>
      <c r="M38" s="424"/>
      <c r="N38" s="433"/>
      <c r="O38" s="424"/>
      <c r="P38" s="118"/>
      <c r="Q38" s="118"/>
      <c r="R38" s="118"/>
      <c r="S38" s="118"/>
      <c r="T38" s="118"/>
      <c r="U38" s="118"/>
    </row>
    <row r="39" spans="1:21">
      <c r="A39" s="114">
        <v>20</v>
      </c>
      <c r="C39" s="112" t="s">
        <v>69</v>
      </c>
      <c r="D39" s="117">
        <v>2E-3</v>
      </c>
      <c r="E39" s="114">
        <v>20</v>
      </c>
      <c r="G39" s="112" t="s">
        <v>69</v>
      </c>
      <c r="H39" s="338">
        <f>ROR!L14</f>
        <v>2E-3</v>
      </c>
      <c r="I39" s="118">
        <f>I12*$H39</f>
        <v>34.906349100821764</v>
      </c>
      <c r="J39" s="118">
        <f>J12*$H39</f>
        <v>2.9696821873806543</v>
      </c>
      <c r="K39" s="118">
        <f>K12*$H39</f>
        <v>15.754415672036354</v>
      </c>
      <c r="L39" s="118">
        <f>L12*$H39</f>
        <v>13.294361148168056</v>
      </c>
      <c r="M39" s="424">
        <f>M12*$H39</f>
        <v>15.016189591557547</v>
      </c>
      <c r="N39" s="433">
        <f t="shared" ref="N39:T39" si="12">N12*$D39</f>
        <v>19.658674484347191</v>
      </c>
      <c r="O39" s="424">
        <f t="shared" si="12"/>
        <v>21.537011831221861</v>
      </c>
      <c r="P39" s="118">
        <f t="shared" si="12"/>
        <v>11.688828394932468</v>
      </c>
      <c r="Q39" s="118">
        <f t="shared" si="12"/>
        <v>7.4882211286776261</v>
      </c>
      <c r="R39" s="118">
        <f t="shared" si="12"/>
        <v>8.3865563815307311</v>
      </c>
      <c r="S39" s="118">
        <f t="shared" si="12"/>
        <v>13.075070673227934</v>
      </c>
      <c r="T39" s="118">
        <f t="shared" si="12"/>
        <v>9.6534394304261326</v>
      </c>
      <c r="U39" s="118">
        <f t="shared" ref="U39" si="13">U12*$D39</f>
        <v>17.436917600251284</v>
      </c>
    </row>
    <row r="40" spans="1:21">
      <c r="A40" s="114">
        <v>21</v>
      </c>
      <c r="C40" s="112" t="s">
        <v>138</v>
      </c>
      <c r="E40" s="114">
        <v>21</v>
      </c>
      <c r="G40" s="112" t="s">
        <v>138</v>
      </c>
      <c r="I40" s="118"/>
      <c r="J40" s="118"/>
      <c r="K40" s="118"/>
      <c r="L40" s="118"/>
      <c r="M40" s="424"/>
      <c r="N40" s="433"/>
      <c r="O40" s="424"/>
      <c r="P40" s="118"/>
      <c r="Q40" s="118"/>
      <c r="R40" s="118"/>
      <c r="S40" s="118"/>
      <c r="T40" s="118"/>
      <c r="U40" s="118"/>
    </row>
    <row r="41" spans="1:21">
      <c r="A41" s="114">
        <v>22</v>
      </c>
      <c r="C41" s="112" t="s">
        <v>68</v>
      </c>
      <c r="E41" s="114">
        <v>22</v>
      </c>
      <c r="G41" s="112" t="s">
        <v>68</v>
      </c>
      <c r="I41" s="119"/>
      <c r="J41" s="119"/>
      <c r="K41" s="119"/>
      <c r="L41" s="119"/>
      <c r="M41" s="425"/>
      <c r="N41" s="434"/>
      <c r="O41" s="425"/>
      <c r="P41" s="119"/>
      <c r="Q41" s="119"/>
      <c r="R41" s="119"/>
      <c r="S41" s="119"/>
      <c r="T41" s="119"/>
      <c r="U41" s="119"/>
    </row>
    <row r="42" spans="1:21">
      <c r="A42" s="114">
        <v>23</v>
      </c>
      <c r="B42" s="112" t="s">
        <v>67</v>
      </c>
      <c r="E42" s="114">
        <v>23</v>
      </c>
      <c r="F42" s="112" t="s">
        <v>67</v>
      </c>
      <c r="I42" s="120">
        <f>SUM(I39:I41)</f>
        <v>34.906349100821764</v>
      </c>
      <c r="J42" s="120">
        <f>SUM(J39:J41)</f>
        <v>2.9696821873806543</v>
      </c>
      <c r="K42" s="120">
        <f>SUM(K39:K41)</f>
        <v>15.754415672036354</v>
      </c>
      <c r="L42" s="120">
        <f>SUM(L39:L41)</f>
        <v>13.294361148168056</v>
      </c>
      <c r="M42" s="426">
        <f>SUM(M39:M41)</f>
        <v>15.016189591557547</v>
      </c>
      <c r="N42" s="435">
        <f t="shared" ref="N42:T42" si="14">SUM(N39:N41)</f>
        <v>19.658674484347191</v>
      </c>
      <c r="O42" s="426">
        <f t="shared" si="14"/>
        <v>21.537011831221861</v>
      </c>
      <c r="P42" s="120">
        <f t="shared" si="14"/>
        <v>11.688828394932468</v>
      </c>
      <c r="Q42" s="120">
        <f t="shared" si="14"/>
        <v>7.4882211286776261</v>
      </c>
      <c r="R42" s="120">
        <f t="shared" si="14"/>
        <v>8.3865563815307311</v>
      </c>
      <c r="S42" s="120">
        <f t="shared" si="14"/>
        <v>13.075070673227934</v>
      </c>
      <c r="T42" s="120">
        <f t="shared" si="14"/>
        <v>9.6534394304261326</v>
      </c>
      <c r="U42" s="120">
        <f t="shared" ref="U42" si="15">SUM(U39:U41)</f>
        <v>17.436917600251284</v>
      </c>
    </row>
    <row r="43" spans="1:21">
      <c r="A43" s="114">
        <v>24</v>
      </c>
      <c r="B43" s="112" t="s">
        <v>66</v>
      </c>
      <c r="E43" s="114">
        <v>24</v>
      </c>
      <c r="F43" s="112" t="s">
        <v>66</v>
      </c>
      <c r="I43" s="120">
        <f>I26+I32+I34+I35+I36+I42</f>
        <v>17453.174550410877</v>
      </c>
      <c r="J43" s="120">
        <f>J26+J32+J34+J35+J36+J42</f>
        <v>1484.8410936903272</v>
      </c>
      <c r="K43" s="120">
        <f>K26+K32+K34+K35+K36+K42</f>
        <v>7877.2078360181758</v>
      </c>
      <c r="L43" s="120">
        <f>L26+L32+L34+L35+L36+L42</f>
        <v>6647.1805740840282</v>
      </c>
      <c r="M43" s="426">
        <f>M26+M32+M34+M35+M36+M42</f>
        <v>7508.0947957787721</v>
      </c>
      <c r="N43" s="435">
        <f t="shared" ref="N43:S43" si="16">N26+N32+N34+N35+N36+N42</f>
        <v>9829.3372421735949</v>
      </c>
      <c r="O43" s="426">
        <f t="shared" si="16"/>
        <v>10768.505915610931</v>
      </c>
      <c r="P43" s="120">
        <f t="shared" si="16"/>
        <v>5844.4141974662343</v>
      </c>
      <c r="Q43" s="120">
        <f t="shared" si="16"/>
        <v>3744.1105643388123</v>
      </c>
      <c r="R43" s="120">
        <f t="shared" si="16"/>
        <v>4193.2781907653643</v>
      </c>
      <c r="S43" s="120">
        <f t="shared" si="16"/>
        <v>6537.535336613967</v>
      </c>
      <c r="T43" s="120">
        <f>T26+T32+T34+T35+T36+T42</f>
        <v>4826.7197152130666</v>
      </c>
      <c r="U43" s="120">
        <f>U26+U32+U34+U35+U36+U42</f>
        <v>8718.4588001256398</v>
      </c>
    </row>
    <row r="44" spans="1:21">
      <c r="A44" s="114"/>
      <c r="E44" s="114"/>
      <c r="I44" s="118"/>
      <c r="J44" s="118"/>
      <c r="K44" s="118"/>
      <c r="L44" s="118"/>
      <c r="M44" s="424"/>
      <c r="N44" s="433"/>
      <c r="O44" s="424"/>
      <c r="P44" s="118"/>
      <c r="Q44" s="118"/>
      <c r="R44" s="118"/>
      <c r="S44" s="118"/>
      <c r="T44" s="118"/>
      <c r="U44" s="118"/>
    </row>
    <row r="45" spans="1:21">
      <c r="A45" s="114">
        <v>25</v>
      </c>
      <c r="B45" s="112" t="s">
        <v>65</v>
      </c>
      <c r="E45" s="114">
        <v>25</v>
      </c>
      <c r="F45" s="112" t="s">
        <v>65</v>
      </c>
      <c r="I45" s="118">
        <f>I17-I43</f>
        <v>0</v>
      </c>
      <c r="J45" s="118">
        <f>J17-J43</f>
        <v>0</v>
      </c>
      <c r="K45" s="118">
        <f>K17-K43</f>
        <v>0</v>
      </c>
      <c r="L45" s="118">
        <f>L17-L43</f>
        <v>0</v>
      </c>
      <c r="M45" s="424">
        <f>M17-M43</f>
        <v>0</v>
      </c>
      <c r="N45" s="433">
        <f t="shared" ref="N45:T45" si="17">N17-N43</f>
        <v>0</v>
      </c>
      <c r="O45" s="424">
        <f t="shared" si="17"/>
        <v>0</v>
      </c>
      <c r="P45" s="118">
        <f t="shared" si="17"/>
        <v>0</v>
      </c>
      <c r="Q45" s="118">
        <f t="shared" si="17"/>
        <v>0</v>
      </c>
      <c r="R45" s="118">
        <f t="shared" si="17"/>
        <v>0</v>
      </c>
      <c r="S45" s="118">
        <f t="shared" si="17"/>
        <v>0</v>
      </c>
      <c r="T45" s="118">
        <f t="shared" si="17"/>
        <v>0</v>
      </c>
      <c r="U45" s="118">
        <f t="shared" ref="U45" si="18">U17-U43</f>
        <v>0</v>
      </c>
    </row>
    <row r="46" spans="1:21">
      <c r="A46" s="114"/>
      <c r="E46" s="114"/>
      <c r="I46" s="118"/>
      <c r="J46" s="118"/>
      <c r="K46" s="118"/>
      <c r="L46" s="118"/>
      <c r="M46" s="424"/>
      <c r="N46" s="433"/>
      <c r="O46" s="424"/>
      <c r="P46" s="118"/>
      <c r="Q46" s="118"/>
      <c r="R46" s="118"/>
      <c r="S46" s="118"/>
      <c r="T46" s="118"/>
      <c r="U46" s="118"/>
    </row>
    <row r="47" spans="1:21">
      <c r="A47" s="114"/>
      <c r="B47" s="112" t="s">
        <v>64</v>
      </c>
      <c r="E47" s="114"/>
      <c r="F47" s="112" t="s">
        <v>64</v>
      </c>
      <c r="I47" s="118"/>
      <c r="J47" s="118"/>
      <c r="K47" s="118"/>
      <c r="L47" s="118"/>
      <c r="M47" s="424"/>
      <c r="N47" s="433"/>
      <c r="O47" s="424"/>
      <c r="P47" s="118"/>
      <c r="Q47" s="118"/>
      <c r="R47" s="118"/>
      <c r="S47" s="118"/>
      <c r="T47" s="118"/>
      <c r="U47" s="118"/>
    </row>
    <row r="48" spans="1:21">
      <c r="A48" s="114">
        <v>26</v>
      </c>
      <c r="B48" s="112" t="s">
        <v>139</v>
      </c>
      <c r="E48" s="114">
        <v>26</v>
      </c>
      <c r="F48" s="112" t="s">
        <v>139</v>
      </c>
      <c r="I48" s="118">
        <f>ROUND(0.35*I45,0)</f>
        <v>0</v>
      </c>
      <c r="J48" s="118">
        <f>ROUND(0.35*J45,0)</f>
        <v>0</v>
      </c>
      <c r="K48" s="118">
        <f>ROUND(0.35*K45,0)</f>
        <v>0</v>
      </c>
      <c r="L48" s="118">
        <f>ROUND(0.35*L45,0)</f>
        <v>0</v>
      </c>
      <c r="M48" s="424">
        <f>ROUND(0.35*M45,0)</f>
        <v>0</v>
      </c>
      <c r="N48" s="433">
        <f t="shared" ref="N48:T48" si="19">ROUND(0.35*N45,0)</f>
        <v>0</v>
      </c>
      <c r="O48" s="424">
        <f t="shared" si="19"/>
        <v>0</v>
      </c>
      <c r="P48" s="118">
        <f t="shared" si="19"/>
        <v>0</v>
      </c>
      <c r="Q48" s="118">
        <f t="shared" si="19"/>
        <v>0</v>
      </c>
      <c r="R48" s="118">
        <f t="shared" si="19"/>
        <v>0</v>
      </c>
      <c r="S48" s="118">
        <f t="shared" si="19"/>
        <v>0</v>
      </c>
      <c r="T48" s="118">
        <f t="shared" si="19"/>
        <v>0</v>
      </c>
      <c r="U48" s="118">
        <f t="shared" ref="U48" si="20">ROUND(0.35*U45,0)</f>
        <v>0</v>
      </c>
    </row>
    <row r="49" spans="1:21">
      <c r="A49" s="114">
        <v>27</v>
      </c>
      <c r="B49" s="112" t="s">
        <v>140</v>
      </c>
      <c r="E49" s="114">
        <v>27</v>
      </c>
      <c r="F49" s="112" t="s">
        <v>140</v>
      </c>
      <c r="I49" s="118"/>
      <c r="J49" s="118"/>
      <c r="K49" s="118"/>
      <c r="L49" s="118"/>
      <c r="M49" s="424"/>
      <c r="N49" s="433"/>
      <c r="O49" s="424"/>
      <c r="P49" s="118"/>
      <c r="Q49" s="118"/>
      <c r="R49" s="118"/>
      <c r="S49" s="118"/>
      <c r="T49" s="118"/>
      <c r="U49" s="118"/>
    </row>
    <row r="50" spans="1:21">
      <c r="A50" s="114">
        <v>28</v>
      </c>
      <c r="B50" s="112" t="s">
        <v>63</v>
      </c>
      <c r="E50" s="114">
        <v>28</v>
      </c>
      <c r="F50" s="112" t="s">
        <v>63</v>
      </c>
      <c r="I50" s="118"/>
      <c r="J50" s="118"/>
      <c r="K50" s="118"/>
      <c r="L50" s="118"/>
      <c r="M50" s="424"/>
      <c r="N50" s="433"/>
      <c r="O50" s="424"/>
      <c r="P50" s="118"/>
      <c r="Q50" s="118"/>
      <c r="R50" s="118"/>
      <c r="S50" s="118"/>
      <c r="T50" s="118"/>
      <c r="U50" s="118"/>
    </row>
    <row r="51" spans="1:21">
      <c r="A51" s="114">
        <v>29</v>
      </c>
      <c r="B51" s="112" t="s">
        <v>62</v>
      </c>
      <c r="E51" s="114">
        <v>29</v>
      </c>
      <c r="F51" s="112" t="s">
        <v>62</v>
      </c>
      <c r="I51" s="119"/>
      <c r="J51" s="119"/>
      <c r="K51" s="119"/>
      <c r="L51" s="119"/>
      <c r="M51" s="425"/>
      <c r="N51" s="434"/>
      <c r="O51" s="425"/>
      <c r="P51" s="119"/>
      <c r="Q51" s="119"/>
      <c r="R51" s="119"/>
      <c r="S51" s="119"/>
      <c r="T51" s="119"/>
      <c r="U51" s="119"/>
    </row>
    <row r="52" spans="1:21">
      <c r="A52" s="114"/>
      <c r="E52" s="114"/>
      <c r="I52" s="118"/>
      <c r="J52" s="118"/>
      <c r="K52" s="118"/>
      <c r="L52" s="118"/>
      <c r="M52" s="424"/>
      <c r="N52" s="433"/>
      <c r="O52" s="424"/>
      <c r="P52" s="118"/>
      <c r="Q52" s="118"/>
      <c r="R52" s="118"/>
      <c r="S52" s="118"/>
      <c r="T52" s="118"/>
      <c r="U52" s="118"/>
    </row>
    <row r="53" spans="1:21">
      <c r="A53" s="114">
        <v>30</v>
      </c>
      <c r="B53" s="112" t="s">
        <v>61</v>
      </c>
      <c r="E53" s="114">
        <v>30</v>
      </c>
      <c r="F53" s="112" t="s">
        <v>61</v>
      </c>
      <c r="I53" s="118">
        <f>I45-I48-I49-I50-I51</f>
        <v>0</v>
      </c>
      <c r="J53" s="118">
        <f>J45-J48-J49-J50-J51</f>
        <v>0</v>
      </c>
      <c r="K53" s="118">
        <f>K45-K48-K49-K50-K51</f>
        <v>0</v>
      </c>
      <c r="L53" s="118">
        <f>L45-L48-L49-L50-L51</f>
        <v>0</v>
      </c>
      <c r="M53" s="424">
        <f>M45-M48-M49-M50-M51</f>
        <v>0</v>
      </c>
      <c r="N53" s="433">
        <f t="shared" ref="N53:T53" si="21">N45-N48-N49-N50-N51</f>
        <v>0</v>
      </c>
      <c r="O53" s="424">
        <f t="shared" si="21"/>
        <v>0</v>
      </c>
      <c r="P53" s="118">
        <f t="shared" si="21"/>
        <v>0</v>
      </c>
      <c r="Q53" s="118">
        <f t="shared" si="21"/>
        <v>0</v>
      </c>
      <c r="R53" s="118">
        <f t="shared" si="21"/>
        <v>0</v>
      </c>
      <c r="S53" s="118">
        <f t="shared" si="21"/>
        <v>0</v>
      </c>
      <c r="T53" s="118">
        <f t="shared" si="21"/>
        <v>0</v>
      </c>
      <c r="U53" s="118">
        <f t="shared" ref="U53" si="22">U45-U48-U49-U50-U51</f>
        <v>0</v>
      </c>
    </row>
    <row r="54" spans="1:21">
      <c r="A54" s="114"/>
      <c r="E54" s="114"/>
    </row>
    <row r="55" spans="1:21">
      <c r="B55" s="112" t="s">
        <v>236</v>
      </c>
      <c r="F55" s="112" t="s">
        <v>483</v>
      </c>
    </row>
    <row r="56" spans="1:21">
      <c r="F56" s="112" t="s">
        <v>297</v>
      </c>
    </row>
    <row r="57" spans="1:21">
      <c r="F57" s="112" t="s">
        <v>295</v>
      </c>
    </row>
    <row r="58" spans="1:21">
      <c r="F58" s="112" t="s">
        <v>485</v>
      </c>
    </row>
  </sheetData>
  <phoneticPr fontId="56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84"/>
  <sheetViews>
    <sheetView view="pageBreakPreview" topLeftCell="A22" zoomScaleNormal="100" zoomScaleSheetLayoutView="100" workbookViewId="0">
      <selection activeCell="U51" sqref="U51"/>
    </sheetView>
  </sheetViews>
  <sheetFormatPr defaultColWidth="10.7109375" defaultRowHeight="12.75"/>
  <cols>
    <col min="1" max="1" width="4.7109375" style="15" customWidth="1"/>
    <col min="2" max="3" width="1.7109375" style="11" customWidth="1"/>
    <col min="4" max="4" width="21.85546875" style="11" customWidth="1"/>
    <col min="5" max="5" width="3" style="297" customWidth="1"/>
    <col min="6" max="6" width="10.7109375" style="12" customWidth="1"/>
    <col min="7" max="7" width="10.7109375" style="14" customWidth="1"/>
    <col min="8" max="10" width="10.7109375" style="11" customWidth="1"/>
    <col min="11" max="11" width="10.7109375" style="12" customWidth="1"/>
    <col min="12" max="13" width="10.7109375" style="11" customWidth="1"/>
    <col min="14" max="14" width="10.7109375" style="297" customWidth="1"/>
    <col min="15" max="15" width="10.7109375" style="12" customWidth="1"/>
    <col min="16" max="16" width="10.7109375" style="11" customWidth="1"/>
    <col min="17" max="16384" width="10.7109375" style="11"/>
  </cols>
  <sheetData>
    <row r="1" spans="1:21">
      <c r="A1" s="37" t="s">
        <v>93</v>
      </c>
      <c r="D1" s="15"/>
    </row>
    <row r="2" spans="1:21">
      <c r="A2" s="37" t="s">
        <v>133</v>
      </c>
      <c r="D2" s="15"/>
    </row>
    <row r="3" spans="1:21">
      <c r="A3" s="37" t="s">
        <v>374</v>
      </c>
      <c r="D3" s="15"/>
      <c r="H3" s="12" t="s">
        <v>375</v>
      </c>
    </row>
    <row r="4" spans="1:21">
      <c r="A4" s="37" t="s">
        <v>92</v>
      </c>
      <c r="D4" s="15"/>
      <c r="K4" s="24"/>
      <c r="U4" s="673"/>
    </row>
    <row r="5" spans="1:21" s="23" customFormat="1">
      <c r="A5" s="26"/>
      <c r="D5" s="26"/>
      <c r="E5" s="297"/>
      <c r="F5" s="24"/>
      <c r="G5" s="25"/>
      <c r="K5" s="24"/>
      <c r="O5" s="24"/>
      <c r="U5" s="673"/>
    </row>
    <row r="6" spans="1:21" s="23" customFormat="1" ht="12" customHeight="1">
      <c r="A6" s="35"/>
      <c r="B6" s="34"/>
      <c r="C6" s="33"/>
      <c r="D6" s="33"/>
      <c r="E6" s="297"/>
      <c r="F6" s="32"/>
      <c r="G6" s="25"/>
      <c r="K6" s="32"/>
      <c r="O6" s="32"/>
      <c r="U6" s="674"/>
    </row>
    <row r="7" spans="1:21" s="23" customFormat="1">
      <c r="A7" s="31" t="s">
        <v>3</v>
      </c>
      <c r="B7" s="30"/>
      <c r="C7" s="25"/>
      <c r="D7" s="25"/>
      <c r="E7" s="297"/>
      <c r="F7" s="24"/>
      <c r="G7" s="25"/>
      <c r="K7" s="24"/>
      <c r="O7" s="24"/>
      <c r="T7" s="111"/>
      <c r="U7" s="111" t="s">
        <v>539</v>
      </c>
    </row>
    <row r="8" spans="1:21" s="23" customFormat="1">
      <c r="A8" s="29" t="s">
        <v>89</v>
      </c>
      <c r="B8" s="28"/>
      <c r="C8" s="27"/>
      <c r="D8" s="27" t="s">
        <v>4</v>
      </c>
      <c r="E8" s="297"/>
      <c r="F8" s="298" t="s">
        <v>376</v>
      </c>
      <c r="G8" s="298" t="s">
        <v>377</v>
      </c>
      <c r="H8" s="298" t="s">
        <v>378</v>
      </c>
      <c r="I8" s="298" t="s">
        <v>379</v>
      </c>
      <c r="J8" s="298" t="s">
        <v>380</v>
      </c>
      <c r="K8" s="298" t="s">
        <v>381</v>
      </c>
      <c r="L8" s="298" t="s">
        <v>382</v>
      </c>
      <c r="M8" s="298" t="s">
        <v>383</v>
      </c>
      <c r="N8" s="298" t="s">
        <v>384</v>
      </c>
      <c r="O8" s="298" t="s">
        <v>385</v>
      </c>
      <c r="P8" s="298" t="s">
        <v>386</v>
      </c>
      <c r="Q8" s="298" t="s">
        <v>387</v>
      </c>
      <c r="R8" s="298" t="s">
        <v>388</v>
      </c>
      <c r="S8" s="298" t="s">
        <v>476</v>
      </c>
      <c r="T8" s="298" t="s">
        <v>531</v>
      </c>
      <c r="U8" s="298" t="s">
        <v>639</v>
      </c>
    </row>
    <row r="9" spans="1:21" s="74" customFormat="1">
      <c r="B9" s="75" t="s">
        <v>134</v>
      </c>
      <c r="E9" s="297"/>
      <c r="F9" s="77"/>
      <c r="G9" s="78"/>
      <c r="K9" s="76"/>
      <c r="O9" s="77"/>
    </row>
    <row r="10" spans="1:21" s="74" customFormat="1">
      <c r="B10" s="75" t="s">
        <v>135</v>
      </c>
      <c r="E10" s="297"/>
      <c r="F10" s="77"/>
      <c r="G10" s="78"/>
      <c r="K10" s="76"/>
      <c r="O10" s="77"/>
    </row>
    <row r="11" spans="1:21" s="74" customFormat="1">
      <c r="B11" s="75"/>
      <c r="E11" s="297"/>
      <c r="F11" s="77"/>
      <c r="G11" s="78"/>
      <c r="K11" s="76"/>
      <c r="O11" s="77"/>
    </row>
    <row r="12" spans="1:21">
      <c r="B12" s="11" t="s">
        <v>85</v>
      </c>
    </row>
    <row r="13" spans="1:21" s="18" customFormat="1">
      <c r="A13" s="17">
        <v>1</v>
      </c>
      <c r="B13" s="18" t="s">
        <v>84</v>
      </c>
      <c r="E13" s="297"/>
      <c r="F13" s="299">
        <v>242529</v>
      </c>
      <c r="G13" s="299">
        <v>258201</v>
      </c>
      <c r="H13" s="299">
        <v>273318</v>
      </c>
      <c r="I13" s="299">
        <v>283356</v>
      </c>
      <c r="J13" s="299">
        <v>285399</v>
      </c>
      <c r="K13" s="299">
        <v>289216</v>
      </c>
      <c r="L13" s="299">
        <v>321929</v>
      </c>
      <c r="M13" s="299">
        <v>326335</v>
      </c>
      <c r="N13" s="299">
        <v>365425</v>
      </c>
      <c r="O13" s="299">
        <v>402618</v>
      </c>
      <c r="P13" s="299">
        <v>415739.9703632</v>
      </c>
      <c r="Q13" s="299">
        <v>451837</v>
      </c>
      <c r="R13" s="299">
        <v>460195</v>
      </c>
      <c r="S13" s="299">
        <v>468006</v>
      </c>
      <c r="T13" s="299">
        <v>488372</v>
      </c>
      <c r="U13" s="299">
        <v>499323</v>
      </c>
    </row>
    <row r="14" spans="1:21" s="20" customFormat="1">
      <c r="A14" s="17">
        <v>2</v>
      </c>
      <c r="B14" s="20" t="s">
        <v>83</v>
      </c>
      <c r="E14" s="297"/>
      <c r="F14" s="300">
        <v>546</v>
      </c>
      <c r="G14" s="300">
        <v>528</v>
      </c>
      <c r="H14" s="300">
        <v>791</v>
      </c>
      <c r="I14" s="300">
        <v>752</v>
      </c>
      <c r="J14" s="300">
        <v>752</v>
      </c>
      <c r="K14" s="300">
        <v>713</v>
      </c>
      <c r="L14" s="300">
        <v>733</v>
      </c>
      <c r="M14" s="300">
        <v>739</v>
      </c>
      <c r="N14" s="300">
        <v>820</v>
      </c>
      <c r="O14" s="300">
        <v>871.54909999999995</v>
      </c>
      <c r="P14" s="300">
        <v>790</v>
      </c>
      <c r="Q14" s="300">
        <v>820</v>
      </c>
      <c r="R14" s="300">
        <v>-113</v>
      </c>
      <c r="S14" s="300">
        <v>884</v>
      </c>
      <c r="T14" s="300">
        <v>922</v>
      </c>
      <c r="U14" s="300">
        <v>920</v>
      </c>
    </row>
    <row r="15" spans="1:21" s="20" customFormat="1">
      <c r="A15" s="17">
        <v>3</v>
      </c>
      <c r="B15" s="20" t="s">
        <v>82</v>
      </c>
      <c r="E15" s="297"/>
      <c r="F15" s="301">
        <v>137117</v>
      </c>
      <c r="G15" s="301">
        <v>91388</v>
      </c>
      <c r="H15" s="301">
        <v>29918</v>
      </c>
      <c r="I15" s="301">
        <v>35252</v>
      </c>
      <c r="J15" s="301">
        <v>40460</v>
      </c>
      <c r="K15" s="301">
        <v>44718</v>
      </c>
      <c r="L15" s="301">
        <v>35380</v>
      </c>
      <c r="M15" s="301">
        <v>34954</v>
      </c>
      <c r="N15" s="301">
        <v>46848</v>
      </c>
      <c r="O15" s="301">
        <v>31491</v>
      </c>
      <c r="P15" s="301">
        <v>133479</v>
      </c>
      <c r="Q15" s="301">
        <v>52604</v>
      </c>
      <c r="R15" s="301">
        <v>54549</v>
      </c>
      <c r="S15" s="301">
        <v>75349</v>
      </c>
      <c r="T15" s="301">
        <v>60998</v>
      </c>
      <c r="U15" s="301">
        <v>65944</v>
      </c>
    </row>
    <row r="16" spans="1:21" s="20" customFormat="1">
      <c r="A16" s="17">
        <v>4</v>
      </c>
      <c r="B16" s="20" t="s">
        <v>81</v>
      </c>
      <c r="E16" s="297"/>
      <c r="F16" s="302">
        <v>380192</v>
      </c>
      <c r="G16" s="302">
        <v>350117</v>
      </c>
      <c r="H16" s="302">
        <v>304027</v>
      </c>
      <c r="I16" s="302">
        <v>319360</v>
      </c>
      <c r="J16" s="302">
        <v>326611</v>
      </c>
      <c r="K16" s="302">
        <v>334647</v>
      </c>
      <c r="L16" s="302">
        <v>358042</v>
      </c>
      <c r="M16" s="302">
        <v>362028</v>
      </c>
      <c r="N16" s="302">
        <v>413093</v>
      </c>
      <c r="O16" s="302">
        <v>434980.5491</v>
      </c>
      <c r="P16" s="302">
        <v>550008.97036319994</v>
      </c>
      <c r="Q16" s="302">
        <v>505261</v>
      </c>
      <c r="R16" s="302">
        <v>514631</v>
      </c>
      <c r="S16" s="302">
        <f>SUM(S13:S15)</f>
        <v>544239</v>
      </c>
      <c r="T16" s="302">
        <f>SUM(T13:T15)</f>
        <v>550292</v>
      </c>
      <c r="U16" s="302">
        <f>SUM(U13:U15)</f>
        <v>566187</v>
      </c>
    </row>
    <row r="17" spans="1:21" s="20" customFormat="1">
      <c r="A17" s="17">
        <v>5</v>
      </c>
      <c r="B17" s="20" t="s">
        <v>80</v>
      </c>
      <c r="E17" s="297"/>
      <c r="F17" s="301">
        <v>13062</v>
      </c>
      <c r="G17" s="301">
        <v>14305</v>
      </c>
      <c r="H17" s="301">
        <v>34274</v>
      </c>
      <c r="I17" s="301">
        <v>57244</v>
      </c>
      <c r="J17" s="301">
        <v>8587</v>
      </c>
      <c r="K17" s="301">
        <v>10259</v>
      </c>
      <c r="L17" s="301">
        <v>10178</v>
      </c>
      <c r="M17" s="301">
        <v>10170</v>
      </c>
      <c r="N17" s="301">
        <v>10927</v>
      </c>
      <c r="O17" s="301">
        <v>9395</v>
      </c>
      <c r="P17" s="301">
        <v>11786</v>
      </c>
      <c r="Q17" s="301">
        <v>13666</v>
      </c>
      <c r="R17" s="301">
        <v>13089</v>
      </c>
      <c r="S17" s="301">
        <v>13408</v>
      </c>
      <c r="T17" s="301">
        <v>17163</v>
      </c>
      <c r="U17" s="301">
        <v>12625</v>
      </c>
    </row>
    <row r="18" spans="1:21" s="20" customFormat="1">
      <c r="A18" s="17">
        <v>6</v>
      </c>
      <c r="B18" s="20" t="s">
        <v>79</v>
      </c>
      <c r="E18" s="297"/>
      <c r="F18" s="302">
        <v>393254</v>
      </c>
      <c r="G18" s="302">
        <v>364422</v>
      </c>
      <c r="H18" s="302">
        <v>338301</v>
      </c>
      <c r="I18" s="302">
        <v>376604</v>
      </c>
      <c r="J18" s="302">
        <v>335198</v>
      </c>
      <c r="K18" s="302">
        <v>344906</v>
      </c>
      <c r="L18" s="302">
        <v>368220</v>
      </c>
      <c r="M18" s="302">
        <v>372198</v>
      </c>
      <c r="N18" s="302">
        <v>424020</v>
      </c>
      <c r="O18" s="302">
        <v>444375.5491</v>
      </c>
      <c r="P18" s="302">
        <v>561794.97036319994</v>
      </c>
      <c r="Q18" s="302">
        <v>518927</v>
      </c>
      <c r="R18" s="302">
        <v>527720</v>
      </c>
      <c r="S18" s="302">
        <f>SUM(S16:S17)</f>
        <v>557647</v>
      </c>
      <c r="T18" s="302">
        <f>SUM(T16:T17)</f>
        <v>567455</v>
      </c>
      <c r="U18" s="302">
        <f>SUM(U16:U17)</f>
        <v>578812</v>
      </c>
    </row>
    <row r="19" spans="1:21" s="20" customFormat="1">
      <c r="A19" s="17"/>
      <c r="E19" s="297"/>
      <c r="F19" s="303"/>
      <c r="G19" s="303"/>
      <c r="H19" s="303"/>
      <c r="I19" s="303"/>
      <c r="J19" s="303"/>
      <c r="K19" s="303"/>
      <c r="L19" s="303"/>
      <c r="M19" s="302"/>
      <c r="N19" s="302"/>
      <c r="O19" s="302"/>
      <c r="P19" s="302"/>
      <c r="Q19" s="302"/>
      <c r="R19" s="302"/>
      <c r="S19" s="302"/>
      <c r="T19" s="302"/>
      <c r="U19" s="302"/>
    </row>
    <row r="20" spans="1:21" s="20" customFormat="1">
      <c r="A20" s="17"/>
      <c r="B20" s="20" t="s">
        <v>78</v>
      </c>
      <c r="E20" s="297"/>
      <c r="F20" s="303"/>
      <c r="G20" s="303"/>
      <c r="H20" s="303"/>
      <c r="I20" s="303"/>
      <c r="J20" s="303"/>
      <c r="K20" s="303"/>
      <c r="L20" s="303"/>
      <c r="M20" s="302"/>
      <c r="N20" s="302"/>
      <c r="O20" s="302"/>
      <c r="P20" s="302"/>
      <c r="Q20" s="302"/>
      <c r="R20" s="302"/>
      <c r="S20" s="302"/>
      <c r="T20" s="302"/>
      <c r="U20" s="302"/>
    </row>
    <row r="21" spans="1:21" s="20" customFormat="1">
      <c r="A21" s="17"/>
      <c r="B21" s="20" t="s">
        <v>77</v>
      </c>
      <c r="E21" s="297"/>
      <c r="F21" s="303"/>
      <c r="G21" s="303"/>
      <c r="H21" s="303"/>
      <c r="I21" s="303"/>
      <c r="J21" s="303"/>
      <c r="K21" s="303"/>
      <c r="L21" s="303"/>
      <c r="M21" s="302"/>
      <c r="N21" s="302"/>
      <c r="O21" s="302"/>
      <c r="P21" s="302"/>
      <c r="Q21" s="302"/>
      <c r="R21" s="302"/>
      <c r="S21" s="302"/>
      <c r="T21" s="302"/>
      <c r="U21" s="302"/>
    </row>
    <row r="22" spans="1:21" s="20" customFormat="1">
      <c r="A22" s="17">
        <v>7</v>
      </c>
      <c r="C22" s="20" t="s">
        <v>69</v>
      </c>
      <c r="E22" s="297"/>
      <c r="F22" s="300">
        <v>78721</v>
      </c>
      <c r="G22" s="300">
        <v>47157</v>
      </c>
      <c r="H22" s="300">
        <v>101475</v>
      </c>
      <c r="I22" s="300">
        <v>132098</v>
      </c>
      <c r="J22" s="300">
        <v>101545</v>
      </c>
      <c r="K22" s="300">
        <v>105374</v>
      </c>
      <c r="L22" s="300">
        <v>104260</v>
      </c>
      <c r="M22" s="300">
        <v>102890</v>
      </c>
      <c r="N22" s="300">
        <v>117123</v>
      </c>
      <c r="O22" s="300">
        <v>87599</v>
      </c>
      <c r="P22" s="300">
        <v>147107</v>
      </c>
      <c r="Q22" s="300">
        <v>145634</v>
      </c>
      <c r="R22" s="300">
        <v>131795</v>
      </c>
      <c r="S22" s="300">
        <v>143904</v>
      </c>
      <c r="T22" s="305">
        <v>120307</v>
      </c>
      <c r="U22" s="305">
        <v>128239</v>
      </c>
    </row>
    <row r="23" spans="1:21" s="20" customFormat="1">
      <c r="A23" s="17">
        <v>8</v>
      </c>
      <c r="C23" s="20" t="s">
        <v>76</v>
      </c>
      <c r="E23" s="297"/>
      <c r="F23" s="300">
        <v>181189</v>
      </c>
      <c r="G23" s="300">
        <v>132159</v>
      </c>
      <c r="H23" s="300">
        <v>50769</v>
      </c>
      <c r="I23" s="300">
        <v>46591</v>
      </c>
      <c r="J23" s="300">
        <v>51042</v>
      </c>
      <c r="K23" s="300">
        <v>55046</v>
      </c>
      <c r="L23" s="300">
        <v>79146</v>
      </c>
      <c r="M23" s="300">
        <v>65640</v>
      </c>
      <c r="N23" s="300">
        <v>72508</v>
      </c>
      <c r="O23" s="592">
        <f>104869-4432</f>
        <v>100437</v>
      </c>
      <c r="P23" s="300">
        <v>142197</v>
      </c>
      <c r="Q23" s="300">
        <v>91142</v>
      </c>
      <c r="R23" s="300">
        <v>101283</v>
      </c>
      <c r="S23" s="300">
        <v>109034</v>
      </c>
      <c r="T23" s="300">
        <v>116643</v>
      </c>
      <c r="U23" s="300">
        <v>96496</v>
      </c>
    </row>
    <row r="24" spans="1:21" s="20" customFormat="1">
      <c r="A24" s="17">
        <v>9</v>
      </c>
      <c r="C24" s="20" t="s">
        <v>136</v>
      </c>
      <c r="E24" s="297"/>
      <c r="F24" s="300">
        <v>-3114</v>
      </c>
      <c r="G24" s="300">
        <v>9152</v>
      </c>
      <c r="H24" s="300">
        <v>13808</v>
      </c>
      <c r="I24" s="300">
        <v>14915</v>
      </c>
      <c r="J24" s="300">
        <v>22879</v>
      </c>
      <c r="K24" s="300">
        <v>13812</v>
      </c>
      <c r="L24" s="300">
        <v>25745</v>
      </c>
      <c r="M24" s="300">
        <v>21795</v>
      </c>
      <c r="N24" s="300">
        <v>22000</v>
      </c>
      <c r="O24" s="300">
        <v>22266</v>
      </c>
      <c r="P24" s="300">
        <v>22129</v>
      </c>
      <c r="Q24" s="300">
        <v>25158</v>
      </c>
      <c r="R24" s="300">
        <v>25872</v>
      </c>
      <c r="S24" s="300">
        <v>23284</v>
      </c>
      <c r="T24" s="300">
        <v>23715</v>
      </c>
      <c r="U24" s="305">
        <v>24379</v>
      </c>
    </row>
    <row r="25" spans="1:21" s="20" customFormat="1">
      <c r="A25" s="17">
        <v>10</v>
      </c>
      <c r="C25" s="21" t="s">
        <v>137</v>
      </c>
      <c r="D25" s="21"/>
      <c r="E25" s="297"/>
      <c r="Q25" s="20">
        <v>403</v>
      </c>
      <c r="R25" s="20">
        <v>-7936</v>
      </c>
      <c r="S25" s="20">
        <v>8629</v>
      </c>
      <c r="T25" s="20">
        <v>8101</v>
      </c>
      <c r="U25" s="20">
        <v>6584</v>
      </c>
    </row>
    <row r="26" spans="1:21" s="20" customFormat="1">
      <c r="A26" s="17">
        <v>11</v>
      </c>
      <c r="C26" s="20" t="s">
        <v>68</v>
      </c>
      <c r="E26" s="297"/>
      <c r="F26" s="301">
        <v>9346</v>
      </c>
      <c r="G26" s="301">
        <v>5139</v>
      </c>
      <c r="H26" s="301">
        <v>7164</v>
      </c>
      <c r="I26" s="301">
        <v>6722</v>
      </c>
      <c r="J26" s="301">
        <v>7283</v>
      </c>
      <c r="K26" s="301">
        <v>9900</v>
      </c>
      <c r="L26" s="301">
        <v>9115</v>
      </c>
      <c r="M26" s="301">
        <v>8319</v>
      </c>
      <c r="N26" s="301">
        <v>8146</v>
      </c>
      <c r="O26" s="301">
        <v>9014</v>
      </c>
      <c r="P26" s="301">
        <v>9955</v>
      </c>
      <c r="Q26" s="301">
        <v>10846</v>
      </c>
      <c r="R26" s="301">
        <v>11456</v>
      </c>
      <c r="S26" s="301">
        <v>12913</v>
      </c>
      <c r="T26" s="301">
        <v>12828</v>
      </c>
      <c r="U26" s="301">
        <v>13712</v>
      </c>
    </row>
    <row r="27" spans="1:21" s="20" customFormat="1">
      <c r="A27" s="17">
        <v>12</v>
      </c>
      <c r="B27" s="20" t="s">
        <v>75</v>
      </c>
      <c r="E27" s="297"/>
      <c r="F27" s="302">
        <v>266142</v>
      </c>
      <c r="G27" s="302">
        <v>193607</v>
      </c>
      <c r="H27" s="302">
        <v>173216</v>
      </c>
      <c r="I27" s="302">
        <v>200326</v>
      </c>
      <c r="J27" s="302">
        <v>182749</v>
      </c>
      <c r="K27" s="302">
        <v>184132</v>
      </c>
      <c r="L27" s="302">
        <v>218266</v>
      </c>
      <c r="M27" s="302">
        <v>198644</v>
      </c>
      <c r="N27" s="302">
        <v>219777</v>
      </c>
      <c r="O27" s="302">
        <v>223748</v>
      </c>
      <c r="P27" s="302">
        <v>321388</v>
      </c>
      <c r="Q27" s="302">
        <v>273183</v>
      </c>
      <c r="R27" s="302">
        <v>262470</v>
      </c>
      <c r="S27" s="302">
        <f>SUM(S22:S26)</f>
        <v>297764</v>
      </c>
      <c r="T27" s="302">
        <f>SUM(T22:T26)</f>
        <v>281594</v>
      </c>
      <c r="U27" s="302">
        <f>SUM(U22:U26)</f>
        <v>269410</v>
      </c>
    </row>
    <row r="28" spans="1:21" s="20" customFormat="1">
      <c r="A28" s="17"/>
      <c r="E28" s="297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</row>
    <row r="29" spans="1:21" s="20" customFormat="1">
      <c r="A29" s="17"/>
      <c r="B29" s="20" t="s">
        <v>55</v>
      </c>
      <c r="E29" s="297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</row>
    <row r="30" spans="1:21" s="20" customFormat="1">
      <c r="A30" s="17">
        <v>13</v>
      </c>
      <c r="C30" s="20" t="s">
        <v>69</v>
      </c>
      <c r="E30" s="297"/>
      <c r="F30" s="300">
        <v>9418</v>
      </c>
      <c r="G30" s="300">
        <v>10560</v>
      </c>
      <c r="H30" s="300">
        <v>9631</v>
      </c>
      <c r="I30" s="300">
        <v>10171</v>
      </c>
      <c r="J30" s="300">
        <v>12016</v>
      </c>
      <c r="K30" s="300">
        <v>14263</v>
      </c>
      <c r="L30" s="300">
        <v>15485</v>
      </c>
      <c r="M30" s="300">
        <v>14563</v>
      </c>
      <c r="N30" s="300">
        <v>17329</v>
      </c>
      <c r="O30" s="300">
        <v>17267</v>
      </c>
      <c r="P30" s="300">
        <v>18354</v>
      </c>
      <c r="Q30" s="300">
        <v>19081</v>
      </c>
      <c r="R30" s="300">
        <v>21152</v>
      </c>
      <c r="S30" s="300">
        <v>20878</v>
      </c>
      <c r="T30" s="300">
        <v>21299</v>
      </c>
      <c r="U30" s="300">
        <v>22960</v>
      </c>
    </row>
    <row r="31" spans="1:21" s="20" customFormat="1">
      <c r="A31" s="17">
        <v>14</v>
      </c>
      <c r="C31" s="20" t="s">
        <v>138</v>
      </c>
      <c r="E31" s="297"/>
      <c r="F31" s="300">
        <v>9056</v>
      </c>
      <c r="G31" s="300">
        <v>9178</v>
      </c>
      <c r="H31" s="300">
        <v>9427</v>
      </c>
      <c r="I31" s="300">
        <v>9752</v>
      </c>
      <c r="J31" s="300">
        <v>10067</v>
      </c>
      <c r="K31" s="300">
        <v>10399</v>
      </c>
      <c r="L31" s="300">
        <v>10776</v>
      </c>
      <c r="M31" s="300">
        <v>11333</v>
      </c>
      <c r="N31" s="300">
        <v>15611</v>
      </c>
      <c r="O31" s="300">
        <v>16809</v>
      </c>
      <c r="P31" s="300">
        <v>17985</v>
      </c>
      <c r="Q31" s="300">
        <v>19240</v>
      </c>
      <c r="R31" s="300">
        <v>20749</v>
      </c>
      <c r="S31" s="300">
        <v>22303</v>
      </c>
      <c r="T31" s="300">
        <v>23794</v>
      </c>
      <c r="U31" s="305">
        <v>24945</v>
      </c>
    </row>
    <row r="32" spans="1:21" s="20" customFormat="1">
      <c r="A32" s="17">
        <v>15</v>
      </c>
      <c r="C32" s="20" t="s">
        <v>68</v>
      </c>
      <c r="E32" s="297"/>
      <c r="F32" s="301">
        <v>11693</v>
      </c>
      <c r="G32" s="301">
        <v>15462</v>
      </c>
      <c r="H32" s="301">
        <v>16996</v>
      </c>
      <c r="I32" s="301">
        <v>17286</v>
      </c>
      <c r="J32" s="301">
        <v>17401</v>
      </c>
      <c r="K32" s="301">
        <v>14988</v>
      </c>
      <c r="L32" s="301">
        <v>16307</v>
      </c>
      <c r="M32" s="301">
        <v>16156</v>
      </c>
      <c r="N32" s="301">
        <v>17416</v>
      </c>
      <c r="O32" s="301">
        <v>18207</v>
      </c>
      <c r="P32" s="301">
        <v>19990</v>
      </c>
      <c r="Q32" s="301">
        <v>22393.453812</v>
      </c>
      <c r="R32" s="301">
        <v>22594.925350000001</v>
      </c>
      <c r="S32" s="301">
        <v>23288</v>
      </c>
      <c r="T32" s="301">
        <v>25575</v>
      </c>
      <c r="U32" s="301">
        <v>27516</v>
      </c>
    </row>
    <row r="33" spans="1:21" s="20" customFormat="1">
      <c r="A33" s="17">
        <v>16</v>
      </c>
      <c r="B33" s="20" t="s">
        <v>74</v>
      </c>
      <c r="E33" s="297"/>
      <c r="F33" s="302">
        <v>30167</v>
      </c>
      <c r="G33" s="302">
        <v>35200</v>
      </c>
      <c r="H33" s="302">
        <v>36054</v>
      </c>
      <c r="I33" s="302">
        <v>37209</v>
      </c>
      <c r="J33" s="302">
        <v>39484</v>
      </c>
      <c r="K33" s="302">
        <v>39650</v>
      </c>
      <c r="L33" s="302">
        <v>42568</v>
      </c>
      <c r="M33" s="302">
        <v>42052</v>
      </c>
      <c r="N33" s="302">
        <v>50356</v>
      </c>
      <c r="O33" s="302">
        <v>52283</v>
      </c>
      <c r="P33" s="302">
        <v>56329</v>
      </c>
      <c r="Q33" s="302">
        <v>60714.453812</v>
      </c>
      <c r="R33" s="302">
        <v>64495.925350000005</v>
      </c>
      <c r="S33" s="302">
        <f>SUM(S30:S32)</f>
        <v>66469</v>
      </c>
      <c r="T33" s="302">
        <f>SUM(T30:T32)</f>
        <v>70668</v>
      </c>
      <c r="U33" s="302">
        <f>SUM(U30:U32)</f>
        <v>75421</v>
      </c>
    </row>
    <row r="34" spans="1:21" s="20" customFormat="1">
      <c r="E34" s="297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1:21" s="20" customFormat="1">
      <c r="A35" s="17">
        <v>17</v>
      </c>
      <c r="B35" s="20" t="s">
        <v>73</v>
      </c>
      <c r="E35" s="297"/>
      <c r="F35" s="300">
        <v>5768</v>
      </c>
      <c r="G35" s="300">
        <v>6196</v>
      </c>
      <c r="H35" s="300">
        <v>7113</v>
      </c>
      <c r="I35" s="300">
        <v>7129</v>
      </c>
      <c r="J35" s="300">
        <v>7352</v>
      </c>
      <c r="K35" s="300">
        <v>7156</v>
      </c>
      <c r="L35" s="300">
        <v>7097</v>
      </c>
      <c r="M35" s="300">
        <v>7514</v>
      </c>
      <c r="N35" s="300">
        <v>7919</v>
      </c>
      <c r="O35" s="300">
        <v>9646</v>
      </c>
      <c r="P35" s="300">
        <v>9261</v>
      </c>
      <c r="Q35" s="300">
        <v>10274.701588</v>
      </c>
      <c r="R35" s="300">
        <v>10335.791302</v>
      </c>
      <c r="S35" s="300">
        <v>11334</v>
      </c>
      <c r="T35" s="300">
        <v>11166</v>
      </c>
      <c r="U35" s="300">
        <v>11631</v>
      </c>
    </row>
    <row r="36" spans="1:21" s="20" customFormat="1">
      <c r="A36" s="17">
        <v>18</v>
      </c>
      <c r="B36" s="20" t="s">
        <v>72</v>
      </c>
      <c r="E36" s="297"/>
      <c r="F36" s="300">
        <v>5704</v>
      </c>
      <c r="G36" s="300">
        <v>5381</v>
      </c>
      <c r="H36" s="300">
        <v>6261</v>
      </c>
      <c r="I36" s="300">
        <v>6620</v>
      </c>
      <c r="J36" s="300">
        <v>266</v>
      </c>
      <c r="K36" s="300">
        <v>7127</v>
      </c>
      <c r="L36" s="300">
        <v>1159</v>
      </c>
      <c r="M36" s="300">
        <v>7472</v>
      </c>
      <c r="N36" s="300">
        <v>12847</v>
      </c>
      <c r="O36" s="300">
        <v>19736</v>
      </c>
      <c r="P36" s="300">
        <v>20832</v>
      </c>
      <c r="Q36" s="300">
        <v>21292</v>
      </c>
      <c r="R36" s="300">
        <v>18487</v>
      </c>
      <c r="S36" s="300">
        <v>1516</v>
      </c>
      <c r="T36" s="300">
        <v>1383</v>
      </c>
      <c r="U36" s="300">
        <v>1519</v>
      </c>
    </row>
    <row r="37" spans="1:21" s="20" customFormat="1">
      <c r="A37" s="17">
        <v>19</v>
      </c>
      <c r="B37" s="20" t="s">
        <v>71</v>
      </c>
      <c r="E37" s="297"/>
      <c r="F37" s="300">
        <v>1071</v>
      </c>
      <c r="G37" s="300">
        <v>734</v>
      </c>
      <c r="H37" s="300">
        <v>628</v>
      </c>
      <c r="I37" s="300">
        <v>734</v>
      </c>
      <c r="J37" s="300">
        <v>686</v>
      </c>
      <c r="K37" s="300">
        <v>430</v>
      </c>
      <c r="L37" s="300">
        <v>657</v>
      </c>
      <c r="M37" s="300">
        <v>682</v>
      </c>
      <c r="N37" s="300">
        <v>571</v>
      </c>
      <c r="O37" s="300">
        <v>660</v>
      </c>
      <c r="P37" s="300">
        <v>176</v>
      </c>
      <c r="Q37" s="300">
        <v>4</v>
      </c>
      <c r="R37" s="300">
        <v>5</v>
      </c>
      <c r="S37" s="300">
        <v>5</v>
      </c>
      <c r="T37" s="300">
        <v>0</v>
      </c>
      <c r="U37" s="300">
        <v>0</v>
      </c>
    </row>
    <row r="38" spans="1:21" s="20" customFormat="1">
      <c r="A38" s="17"/>
      <c r="E38" s="297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</row>
    <row r="39" spans="1:21" s="20" customFormat="1">
      <c r="B39" s="20" t="s">
        <v>70</v>
      </c>
      <c r="E39" s="297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</row>
    <row r="40" spans="1:21" s="20" customFormat="1">
      <c r="A40" s="17">
        <v>20</v>
      </c>
      <c r="C40" s="20" t="s">
        <v>69</v>
      </c>
      <c r="E40" s="297"/>
      <c r="F40" s="300">
        <v>30350</v>
      </c>
      <c r="G40" s="300">
        <v>25102</v>
      </c>
      <c r="H40" s="300">
        <v>30304</v>
      </c>
      <c r="I40" s="300">
        <v>30153</v>
      </c>
      <c r="J40" s="300">
        <v>31927</v>
      </c>
      <c r="K40" s="300">
        <v>33143</v>
      </c>
      <c r="L40" s="300">
        <v>33148</v>
      </c>
      <c r="M40" s="300">
        <v>35844</v>
      </c>
      <c r="N40" s="300">
        <v>35982</v>
      </c>
      <c r="O40" s="300">
        <v>38461</v>
      </c>
      <c r="P40" s="300">
        <v>44662</v>
      </c>
      <c r="Q40" s="300">
        <v>44779.252</v>
      </c>
      <c r="R40" s="300">
        <v>49333.396000000001</v>
      </c>
      <c r="S40" s="300">
        <v>43310</v>
      </c>
      <c r="T40" s="300">
        <v>46210</v>
      </c>
      <c r="U40" s="305">
        <v>49261</v>
      </c>
    </row>
    <row r="41" spans="1:21" s="20" customFormat="1">
      <c r="A41" s="17">
        <v>21</v>
      </c>
      <c r="C41" s="20" t="s">
        <v>138</v>
      </c>
      <c r="E41" s="297"/>
      <c r="F41" s="300">
        <v>3998</v>
      </c>
      <c r="G41" s="300">
        <v>4414</v>
      </c>
      <c r="H41" s="300">
        <v>6606</v>
      </c>
      <c r="I41" s="300">
        <v>6659</v>
      </c>
      <c r="J41" s="300">
        <v>6072</v>
      </c>
      <c r="K41" s="300">
        <v>6537</v>
      </c>
      <c r="L41" s="300">
        <v>6459</v>
      </c>
      <c r="M41" s="300">
        <v>6739</v>
      </c>
      <c r="N41" s="300">
        <v>7187</v>
      </c>
      <c r="O41" s="300">
        <v>7688</v>
      </c>
      <c r="P41" s="300">
        <v>9277</v>
      </c>
      <c r="Q41" s="300">
        <v>10906</v>
      </c>
      <c r="R41" s="300">
        <v>12517</v>
      </c>
      <c r="S41" s="300">
        <v>14721</v>
      </c>
      <c r="T41" s="300">
        <v>16947</v>
      </c>
      <c r="U41" s="305">
        <v>20268</v>
      </c>
    </row>
    <row r="42" spans="1:21" s="20" customFormat="1">
      <c r="A42" s="79">
        <v>22</v>
      </c>
      <c r="C42" s="20" t="s">
        <v>68</v>
      </c>
      <c r="E42" s="297"/>
      <c r="F42" s="301">
        <v>5</v>
      </c>
      <c r="G42" s="301">
        <v>2</v>
      </c>
      <c r="H42" s="301">
        <v>1</v>
      </c>
      <c r="I42" s="301">
        <v>2</v>
      </c>
      <c r="J42" s="301">
        <v>3</v>
      </c>
      <c r="K42" s="301">
        <v>-4</v>
      </c>
      <c r="L42" s="301">
        <v>0</v>
      </c>
      <c r="M42" s="301">
        <v>-9</v>
      </c>
      <c r="N42" s="301">
        <v>-3</v>
      </c>
      <c r="O42" s="301">
        <v>-3</v>
      </c>
      <c r="P42" s="301">
        <v>2</v>
      </c>
      <c r="Q42" s="301">
        <v>0</v>
      </c>
      <c r="R42" s="301">
        <v>-4</v>
      </c>
      <c r="S42" s="301">
        <v>0</v>
      </c>
      <c r="T42" s="301">
        <v>0</v>
      </c>
      <c r="U42" s="643">
        <v>0</v>
      </c>
    </row>
    <row r="43" spans="1:21" s="20" customFormat="1">
      <c r="A43" s="17">
        <v>23</v>
      </c>
      <c r="B43" s="20" t="s">
        <v>67</v>
      </c>
      <c r="E43" s="297"/>
      <c r="F43" s="304">
        <v>34353</v>
      </c>
      <c r="G43" s="304">
        <v>29518</v>
      </c>
      <c r="H43" s="304">
        <v>36911</v>
      </c>
      <c r="I43" s="304">
        <v>36814</v>
      </c>
      <c r="J43" s="304">
        <v>38002</v>
      </c>
      <c r="K43" s="304">
        <v>39676</v>
      </c>
      <c r="L43" s="304">
        <v>39607</v>
      </c>
      <c r="M43" s="304">
        <v>42574</v>
      </c>
      <c r="N43" s="304">
        <v>43166</v>
      </c>
      <c r="O43" s="304">
        <v>46146</v>
      </c>
      <c r="P43" s="304">
        <v>53941</v>
      </c>
      <c r="Q43" s="304">
        <v>55685.252</v>
      </c>
      <c r="R43" s="304">
        <v>61846.396000000001</v>
      </c>
      <c r="S43" s="304">
        <f>SUM(S40:S42)</f>
        <v>58031</v>
      </c>
      <c r="T43" s="304">
        <f>SUM(T40:T42)</f>
        <v>63157</v>
      </c>
      <c r="U43" s="304">
        <f>SUM(U40:U42)</f>
        <v>69529</v>
      </c>
    </row>
    <row r="44" spans="1:21" s="20" customFormat="1" ht="18" customHeight="1">
      <c r="A44" s="17">
        <v>24</v>
      </c>
      <c r="B44" s="20" t="s">
        <v>66</v>
      </c>
      <c r="E44" s="297"/>
      <c r="F44" s="304">
        <v>343205</v>
      </c>
      <c r="G44" s="304">
        <v>270636</v>
      </c>
      <c r="H44" s="304">
        <v>260183</v>
      </c>
      <c r="I44" s="304">
        <v>288832</v>
      </c>
      <c r="J44" s="304">
        <v>268539</v>
      </c>
      <c r="K44" s="304">
        <v>278171</v>
      </c>
      <c r="L44" s="304">
        <v>309354</v>
      </c>
      <c r="M44" s="304">
        <v>298938</v>
      </c>
      <c r="N44" s="304">
        <v>334636</v>
      </c>
      <c r="O44" s="304">
        <v>352219</v>
      </c>
      <c r="P44" s="304">
        <v>461927</v>
      </c>
      <c r="Q44" s="304">
        <v>421153.40740000003</v>
      </c>
      <c r="R44" s="304">
        <v>417640.11265200004</v>
      </c>
      <c r="S44" s="304">
        <f>S27+S33+S35+S36+S37+S43</f>
        <v>435119</v>
      </c>
      <c r="T44" s="304">
        <f>T27+T33+T35+T36+T37+T43</f>
        <v>427968</v>
      </c>
      <c r="U44" s="304">
        <f>U27+U33+U35+U36+U37+U43</f>
        <v>427510</v>
      </c>
    </row>
    <row r="45" spans="1:21" s="20" customFormat="1">
      <c r="E45" s="297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</row>
    <row r="46" spans="1:21" s="20" customFormat="1">
      <c r="A46" s="17">
        <v>25</v>
      </c>
      <c r="B46" s="20" t="s">
        <v>65</v>
      </c>
      <c r="E46" s="297"/>
      <c r="F46" s="299">
        <v>50049</v>
      </c>
      <c r="G46" s="299">
        <v>93786</v>
      </c>
      <c r="H46" s="299">
        <v>78118</v>
      </c>
      <c r="I46" s="299">
        <v>87772</v>
      </c>
      <c r="J46" s="299">
        <v>66659</v>
      </c>
      <c r="K46" s="299">
        <v>66735</v>
      </c>
      <c r="L46" s="299">
        <v>58866</v>
      </c>
      <c r="M46" s="299">
        <v>73260</v>
      </c>
      <c r="N46" s="299">
        <v>89384</v>
      </c>
      <c r="O46" s="299">
        <v>92156.549100000004</v>
      </c>
      <c r="P46" s="299">
        <v>99867.970363199944</v>
      </c>
      <c r="Q46" s="299">
        <v>97773.592599999974</v>
      </c>
      <c r="R46" s="299">
        <v>110079.88734799996</v>
      </c>
      <c r="S46" s="299">
        <f>S18-S44</f>
        <v>122528</v>
      </c>
      <c r="T46" s="299">
        <f>T18-T44</f>
        <v>139487</v>
      </c>
      <c r="U46" s="299">
        <f>U18-U44</f>
        <v>151302</v>
      </c>
    </row>
    <row r="47" spans="1:21" s="20" customFormat="1">
      <c r="A47" s="17"/>
      <c r="E47" s="297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</row>
    <row r="48" spans="1:21" s="20" customFormat="1">
      <c r="A48" s="19"/>
      <c r="B48" s="20" t="s">
        <v>64</v>
      </c>
      <c r="E48" s="297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</row>
    <row r="49" spans="1:22" s="20" customFormat="1">
      <c r="A49" s="79">
        <v>26</v>
      </c>
      <c r="B49" s="20" t="s">
        <v>139</v>
      </c>
      <c r="D49" s="68"/>
      <c r="E49" s="297"/>
      <c r="F49" s="305">
        <v>13500</v>
      </c>
      <c r="G49" s="305">
        <v>7802.6454399910144</v>
      </c>
      <c r="H49" s="305">
        <v>12532.4934614427</v>
      </c>
      <c r="I49" s="305">
        <v>18199.38094551977</v>
      </c>
      <c r="J49" s="305">
        <v>10602.745932108257</v>
      </c>
      <c r="K49" s="305">
        <v>6760.4768703774607</v>
      </c>
      <c r="L49" s="305">
        <v>3583.5198936206907</v>
      </c>
      <c r="M49" s="305">
        <v>5069.5165750000015</v>
      </c>
      <c r="N49" s="305">
        <v>-6217.1202000000012</v>
      </c>
      <c r="O49" s="305">
        <v>-1846</v>
      </c>
      <c r="P49" s="305">
        <v>9263</v>
      </c>
      <c r="Q49" s="305">
        <v>6568.9074099999998</v>
      </c>
      <c r="R49" s="305">
        <v>11499.260571799998</v>
      </c>
      <c r="S49" s="305">
        <v>19267</v>
      </c>
      <c r="T49" s="305">
        <v>-7683</v>
      </c>
      <c r="U49" s="305">
        <v>-2975</v>
      </c>
    </row>
    <row r="50" spans="1:22" s="21" customFormat="1">
      <c r="A50" s="17">
        <v>27</v>
      </c>
      <c r="B50" s="21" t="s">
        <v>140</v>
      </c>
      <c r="E50" s="297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>
        <v>206.8288</v>
      </c>
      <c r="R50" s="305">
        <v>70.410550000000001</v>
      </c>
      <c r="S50" s="305">
        <v>1</v>
      </c>
      <c r="T50" s="305">
        <v>-136</v>
      </c>
      <c r="U50" s="305">
        <v>-54</v>
      </c>
    </row>
    <row r="51" spans="1:22" s="20" customFormat="1">
      <c r="A51" s="17">
        <v>28</v>
      </c>
      <c r="B51" s="20" t="s">
        <v>63</v>
      </c>
      <c r="E51" s="297"/>
      <c r="F51" s="305">
        <v>3549</v>
      </c>
      <c r="G51" s="305">
        <v>16107</v>
      </c>
      <c r="H51" s="305">
        <v>3470</v>
      </c>
      <c r="I51" s="305">
        <v>1284</v>
      </c>
      <c r="J51" s="305">
        <v>608</v>
      </c>
      <c r="K51" s="305">
        <v>3867</v>
      </c>
      <c r="L51" s="305">
        <v>3975</v>
      </c>
      <c r="M51" s="305">
        <v>6497</v>
      </c>
      <c r="N51" s="305">
        <v>26634</v>
      </c>
      <c r="O51" s="305">
        <v>23983</v>
      </c>
      <c r="P51" s="305">
        <v>13823</v>
      </c>
      <c r="Q51" s="305">
        <v>16402</v>
      </c>
      <c r="R51" s="305">
        <v>15684</v>
      </c>
      <c r="S51" s="305">
        <v>10613</v>
      </c>
      <c r="T51" s="305">
        <v>46085</v>
      </c>
      <c r="U51" s="305">
        <v>44788</v>
      </c>
    </row>
    <row r="52" spans="1:22" s="20" customFormat="1">
      <c r="A52" s="19">
        <v>29</v>
      </c>
      <c r="B52" s="20" t="s">
        <v>62</v>
      </c>
      <c r="E52" s="297"/>
      <c r="F52" s="305"/>
      <c r="G52" s="305"/>
      <c r="H52" s="305"/>
      <c r="I52" s="305"/>
      <c r="J52" s="305"/>
      <c r="K52" s="305"/>
      <c r="L52" s="305"/>
      <c r="M52" s="305"/>
      <c r="N52" s="305"/>
      <c r="O52" s="305">
        <v>-58</v>
      </c>
      <c r="P52" s="305">
        <v>-83</v>
      </c>
      <c r="Q52" s="305">
        <v>-99</v>
      </c>
      <c r="R52" s="305">
        <v>-128</v>
      </c>
      <c r="S52" s="305">
        <v>-130</v>
      </c>
      <c r="T52" s="305">
        <v>-128</v>
      </c>
      <c r="U52" s="305">
        <v>-128</v>
      </c>
    </row>
    <row r="53" spans="1:22">
      <c r="B53" s="306" t="s">
        <v>296</v>
      </c>
      <c r="F53" s="305">
        <v>5683</v>
      </c>
      <c r="G53" s="305">
        <v>5369</v>
      </c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</row>
    <row r="54" spans="1:22" s="18" customFormat="1" ht="13.5" thickBot="1">
      <c r="A54" s="22">
        <v>30</v>
      </c>
      <c r="B54" s="18" t="s">
        <v>61</v>
      </c>
      <c r="E54" s="297"/>
      <c r="F54" s="307">
        <v>27317</v>
      </c>
      <c r="G54" s="307">
        <v>64507.354560008986</v>
      </c>
      <c r="H54" s="307">
        <v>62115.506538557296</v>
      </c>
      <c r="I54" s="307">
        <v>68288.619054480223</v>
      </c>
      <c r="J54" s="307">
        <v>55448.254067891743</v>
      </c>
      <c r="K54" s="307">
        <v>56107.523129622539</v>
      </c>
      <c r="L54" s="307">
        <v>51307.480106379313</v>
      </c>
      <c r="M54" s="307">
        <v>61693.483424999999</v>
      </c>
      <c r="N54" s="307">
        <v>68967.120200000005</v>
      </c>
      <c r="O54" s="307">
        <v>70077.549100000004</v>
      </c>
      <c r="P54" s="307">
        <v>76864.970363199944</v>
      </c>
      <c r="Q54" s="307">
        <v>74694.856389999972</v>
      </c>
      <c r="R54" s="307">
        <v>82954.216226199962</v>
      </c>
      <c r="S54" s="307">
        <f>S46-S49-S50-S51-S52</f>
        <v>92777</v>
      </c>
      <c r="T54" s="307">
        <f>T46-T49-T50-T51-T52</f>
        <v>101349</v>
      </c>
      <c r="U54" s="307">
        <f>U46-U49-U50-U51-U52</f>
        <v>109671</v>
      </c>
    </row>
    <row r="55" spans="1:22" ht="13.5" thickTop="1">
      <c r="A55" s="22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</row>
    <row r="56" spans="1:22">
      <c r="A56" s="22"/>
      <c r="B56" s="11" t="s">
        <v>60</v>
      </c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</row>
    <row r="57" spans="1:22">
      <c r="B57" s="11" t="s">
        <v>59</v>
      </c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</row>
    <row r="58" spans="1:22" s="18" customFormat="1">
      <c r="A58" s="80">
        <v>31</v>
      </c>
      <c r="C58" s="18" t="s">
        <v>58</v>
      </c>
      <c r="E58" s="297"/>
      <c r="F58" s="299">
        <v>15127</v>
      </c>
      <c r="G58" s="299">
        <v>16340</v>
      </c>
      <c r="H58" s="299">
        <v>20910</v>
      </c>
      <c r="I58" s="299">
        <v>21299</v>
      </c>
      <c r="J58" s="299">
        <v>21374</v>
      </c>
      <c r="K58" s="299">
        <v>22459</v>
      </c>
      <c r="L58" s="299">
        <v>23458</v>
      </c>
      <c r="M58" s="299">
        <v>20632</v>
      </c>
      <c r="N58" s="299">
        <v>23321</v>
      </c>
      <c r="O58" s="299">
        <v>57116</v>
      </c>
      <c r="P58" s="299">
        <v>81955</v>
      </c>
      <c r="Q58" s="299">
        <v>84081</v>
      </c>
      <c r="R58" s="299">
        <v>85247</v>
      </c>
      <c r="S58" s="299">
        <v>91466</v>
      </c>
      <c r="T58" s="299">
        <v>102620</v>
      </c>
      <c r="U58" s="448">
        <v>132877</v>
      </c>
      <c r="V58" s="675"/>
    </row>
    <row r="59" spans="1:22" s="20" customFormat="1">
      <c r="A59" s="22">
        <v>32</v>
      </c>
      <c r="C59" s="20" t="s">
        <v>57</v>
      </c>
      <c r="E59" s="297"/>
      <c r="F59" s="305">
        <v>369323</v>
      </c>
      <c r="G59" s="305">
        <v>382522</v>
      </c>
      <c r="H59" s="305">
        <v>598523</v>
      </c>
      <c r="I59" s="305">
        <v>609668</v>
      </c>
      <c r="J59" s="305">
        <v>651608</v>
      </c>
      <c r="K59" s="305">
        <v>669043</v>
      </c>
      <c r="L59" s="305">
        <v>703455</v>
      </c>
      <c r="M59" s="305">
        <v>712962</v>
      </c>
      <c r="N59" s="305">
        <v>724416</v>
      </c>
      <c r="O59" s="305">
        <v>751055</v>
      </c>
      <c r="P59" s="305">
        <v>767632</v>
      </c>
      <c r="Q59" s="305">
        <v>706894</v>
      </c>
      <c r="R59" s="305">
        <v>717448</v>
      </c>
      <c r="S59" s="305">
        <v>738315</v>
      </c>
      <c r="T59" s="305">
        <v>746101</v>
      </c>
      <c r="U59" s="305">
        <v>762834</v>
      </c>
      <c r="V59" s="21"/>
    </row>
    <row r="60" spans="1:22" s="20" customFormat="1">
      <c r="A60" s="22">
        <v>33</v>
      </c>
      <c r="C60" s="20" t="s">
        <v>56</v>
      </c>
      <c r="E60" s="297"/>
      <c r="F60" s="305">
        <v>181627</v>
      </c>
      <c r="G60" s="305">
        <v>191517</v>
      </c>
      <c r="H60" s="305">
        <v>186550</v>
      </c>
      <c r="I60" s="305">
        <v>196937</v>
      </c>
      <c r="J60" s="305">
        <v>213539</v>
      </c>
      <c r="K60" s="305">
        <v>224696</v>
      </c>
      <c r="L60" s="305">
        <v>244435</v>
      </c>
      <c r="M60" s="305">
        <v>259532</v>
      </c>
      <c r="N60" s="305">
        <v>289302</v>
      </c>
      <c r="O60" s="305">
        <v>301090</v>
      </c>
      <c r="P60" s="305">
        <v>312505</v>
      </c>
      <c r="Q60" s="305">
        <v>328012</v>
      </c>
      <c r="R60" s="305">
        <v>342382</v>
      </c>
      <c r="S60" s="305">
        <v>359941</v>
      </c>
      <c r="T60" s="305">
        <v>371971</v>
      </c>
      <c r="U60" s="305">
        <v>390240</v>
      </c>
      <c r="V60" s="21"/>
    </row>
    <row r="61" spans="1:22" s="20" customFormat="1">
      <c r="A61" s="22">
        <v>34</v>
      </c>
      <c r="C61" s="20" t="s">
        <v>55</v>
      </c>
      <c r="E61" s="297"/>
      <c r="F61" s="305">
        <v>398104</v>
      </c>
      <c r="G61" s="305">
        <v>416427</v>
      </c>
      <c r="H61" s="305">
        <v>429742</v>
      </c>
      <c r="I61" s="305">
        <v>443424</v>
      </c>
      <c r="J61" s="305">
        <v>459516</v>
      </c>
      <c r="K61" s="305">
        <v>480638</v>
      </c>
      <c r="L61" s="305">
        <v>502571</v>
      </c>
      <c r="M61" s="305">
        <v>528809</v>
      </c>
      <c r="N61" s="305">
        <v>561016</v>
      </c>
      <c r="O61" s="305">
        <v>598884</v>
      </c>
      <c r="P61" s="305">
        <v>638445</v>
      </c>
      <c r="Q61" s="305">
        <v>696082</v>
      </c>
      <c r="R61" s="305">
        <v>743732</v>
      </c>
      <c r="S61" s="305">
        <v>796640</v>
      </c>
      <c r="T61" s="305">
        <v>842795</v>
      </c>
      <c r="U61" s="305">
        <v>880960</v>
      </c>
      <c r="V61" s="21"/>
    </row>
    <row r="62" spans="1:22" s="20" customFormat="1">
      <c r="A62" s="22">
        <v>35</v>
      </c>
      <c r="C62" s="20" t="s">
        <v>54</v>
      </c>
      <c r="E62" s="297"/>
      <c r="F62" s="305">
        <v>58402</v>
      </c>
      <c r="G62" s="305">
        <v>59846</v>
      </c>
      <c r="H62" s="305">
        <v>59771</v>
      </c>
      <c r="I62" s="305">
        <v>60444</v>
      </c>
      <c r="J62" s="305">
        <v>63155</v>
      </c>
      <c r="K62" s="305">
        <v>65299</v>
      </c>
      <c r="L62" s="305">
        <v>80110</v>
      </c>
      <c r="M62" s="305">
        <v>81368</v>
      </c>
      <c r="N62" s="305">
        <v>91205</v>
      </c>
      <c r="O62" s="305">
        <v>98727</v>
      </c>
      <c r="P62" s="305">
        <v>120996</v>
      </c>
      <c r="Q62" s="305">
        <v>140218</v>
      </c>
      <c r="R62" s="305">
        <v>155104</v>
      </c>
      <c r="S62" s="305">
        <v>179134</v>
      </c>
      <c r="T62" s="305">
        <v>196867</v>
      </c>
      <c r="U62" s="305">
        <v>207659</v>
      </c>
      <c r="V62" s="21"/>
    </row>
    <row r="63" spans="1:22" s="20" customFormat="1">
      <c r="A63" s="22">
        <v>36</v>
      </c>
      <c r="B63" s="20" t="s">
        <v>53</v>
      </c>
      <c r="E63" s="297"/>
      <c r="F63" s="308">
        <v>1022583</v>
      </c>
      <c r="G63" s="308">
        <v>1066652</v>
      </c>
      <c r="H63" s="308">
        <v>1295496</v>
      </c>
      <c r="I63" s="308">
        <v>1331772</v>
      </c>
      <c r="J63" s="308">
        <v>1409192</v>
      </c>
      <c r="K63" s="308">
        <v>1462135</v>
      </c>
      <c r="L63" s="308">
        <v>1554029</v>
      </c>
      <c r="M63" s="308">
        <v>1603303</v>
      </c>
      <c r="N63" s="308">
        <v>1689260</v>
      </c>
      <c r="O63" s="308">
        <v>1806872</v>
      </c>
      <c r="P63" s="308">
        <v>1921533</v>
      </c>
      <c r="Q63" s="308">
        <v>1955287</v>
      </c>
      <c r="R63" s="308">
        <v>2043913</v>
      </c>
      <c r="S63" s="308">
        <f>SUM(S58:S62)</f>
        <v>2165496</v>
      </c>
      <c r="T63" s="308">
        <f>SUM(T58:T62)</f>
        <v>2260354</v>
      </c>
      <c r="U63" s="308">
        <f>SUM(U58:U62)</f>
        <v>2374570</v>
      </c>
      <c r="V63" s="21"/>
    </row>
    <row r="64" spans="1:22" s="20" customFormat="1" ht="18" customHeight="1">
      <c r="A64" s="22"/>
      <c r="B64" s="20" t="s">
        <v>141</v>
      </c>
      <c r="E64" s="297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21"/>
    </row>
    <row r="65" spans="1:22" s="20" customFormat="1">
      <c r="A65" s="22">
        <v>37</v>
      </c>
      <c r="C65" s="18" t="s">
        <v>58</v>
      </c>
      <c r="E65" s="297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10">
        <v>3744</v>
      </c>
      <c r="R65" s="310">
        <v>4369</v>
      </c>
      <c r="S65" s="310">
        <v>17667</v>
      </c>
      <c r="T65" s="310">
        <v>20242</v>
      </c>
      <c r="U65" s="310">
        <v>23450</v>
      </c>
      <c r="V65" s="21"/>
    </row>
    <row r="66" spans="1:22" s="20" customFormat="1">
      <c r="A66" s="22">
        <v>38</v>
      </c>
      <c r="C66" s="20" t="s">
        <v>57</v>
      </c>
      <c r="E66" s="297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10">
        <v>286300</v>
      </c>
      <c r="R66" s="310">
        <v>300170</v>
      </c>
      <c r="S66" s="310">
        <v>314599</v>
      </c>
      <c r="T66" s="310">
        <v>325531</v>
      </c>
      <c r="U66" s="310">
        <v>334622</v>
      </c>
      <c r="V66" s="21"/>
    </row>
    <row r="67" spans="1:22" s="20" customFormat="1">
      <c r="A67" s="22">
        <v>39</v>
      </c>
      <c r="C67" s="20" t="s">
        <v>56</v>
      </c>
      <c r="E67" s="297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10">
        <v>111144</v>
      </c>
      <c r="R67" s="310">
        <v>116316</v>
      </c>
      <c r="S67" s="310">
        <v>122308</v>
      </c>
      <c r="T67" s="310">
        <v>123869</v>
      </c>
      <c r="U67" s="310">
        <v>126839</v>
      </c>
      <c r="V67" s="21"/>
    </row>
    <row r="68" spans="1:22" s="20" customFormat="1">
      <c r="A68" s="22">
        <v>40</v>
      </c>
      <c r="C68" s="20" t="s">
        <v>55</v>
      </c>
      <c r="E68" s="297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10">
        <v>209101</v>
      </c>
      <c r="R68" s="310">
        <v>221408</v>
      </c>
      <c r="S68" s="310">
        <v>236201</v>
      </c>
      <c r="T68" s="310">
        <v>252722</v>
      </c>
      <c r="U68" s="310">
        <v>268267</v>
      </c>
      <c r="V68" s="21"/>
    </row>
    <row r="69" spans="1:22" s="20" customFormat="1">
      <c r="A69" s="22">
        <v>41</v>
      </c>
      <c r="C69" s="20" t="s">
        <v>54</v>
      </c>
      <c r="E69" s="297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416">
        <v>56694</v>
      </c>
      <c r="R69" s="416">
        <v>61871</v>
      </c>
      <c r="S69" s="416">
        <v>58357</v>
      </c>
      <c r="T69" s="416">
        <v>65720</v>
      </c>
      <c r="U69" s="416">
        <v>70794</v>
      </c>
      <c r="V69" s="21"/>
    </row>
    <row r="70" spans="1:22" s="20" customFormat="1">
      <c r="A70" s="22">
        <v>42</v>
      </c>
      <c r="B70" s="20" t="s">
        <v>142</v>
      </c>
      <c r="E70" s="297"/>
      <c r="F70" s="305">
        <v>348345</v>
      </c>
      <c r="G70" s="305">
        <v>359654</v>
      </c>
      <c r="H70" s="305">
        <v>418593</v>
      </c>
      <c r="I70" s="305">
        <v>450096</v>
      </c>
      <c r="J70" s="305">
        <v>475935</v>
      </c>
      <c r="K70" s="305">
        <v>503194</v>
      </c>
      <c r="L70" s="305">
        <v>536682</v>
      </c>
      <c r="M70" s="305">
        <v>567320</v>
      </c>
      <c r="N70" s="305">
        <v>600292</v>
      </c>
      <c r="O70" s="305">
        <v>632110</v>
      </c>
      <c r="P70" s="305">
        <v>676635</v>
      </c>
      <c r="Q70" s="305">
        <v>666983</v>
      </c>
      <c r="R70" s="305">
        <v>704134</v>
      </c>
      <c r="S70" s="305">
        <f>SUM(S65:S69)</f>
        <v>749132</v>
      </c>
      <c r="T70" s="305">
        <f>SUM(T65:T69)</f>
        <v>788084</v>
      </c>
      <c r="U70" s="305">
        <f>SUM(U65:U69)</f>
        <v>823972</v>
      </c>
      <c r="V70" s="21"/>
    </row>
    <row r="71" spans="1:22" s="20" customFormat="1">
      <c r="A71" s="22">
        <v>43</v>
      </c>
      <c r="B71" s="20" t="s">
        <v>143</v>
      </c>
      <c r="E71" s="297"/>
      <c r="F71" s="308">
        <v>674238</v>
      </c>
      <c r="G71" s="308">
        <v>706998</v>
      </c>
      <c r="H71" s="308">
        <v>876903</v>
      </c>
      <c r="I71" s="308">
        <v>881676</v>
      </c>
      <c r="J71" s="308">
        <v>933257</v>
      </c>
      <c r="K71" s="308">
        <v>958941</v>
      </c>
      <c r="L71" s="308">
        <v>1017347</v>
      </c>
      <c r="M71" s="308">
        <v>1035983</v>
      </c>
      <c r="N71" s="308">
        <v>1088968</v>
      </c>
      <c r="O71" s="308">
        <v>1174762</v>
      </c>
      <c r="P71" s="308">
        <v>1244898</v>
      </c>
      <c r="Q71" s="308">
        <v>1288304</v>
      </c>
      <c r="R71" s="308">
        <v>1339779</v>
      </c>
      <c r="S71" s="308">
        <f>S63-S70</f>
        <v>1416364</v>
      </c>
      <c r="T71" s="308">
        <f>T63-T70</f>
        <v>1472270</v>
      </c>
      <c r="U71" s="308">
        <f>U63-U70</f>
        <v>1550598</v>
      </c>
      <c r="V71" s="21"/>
    </row>
    <row r="72" spans="1:22" s="20" customFormat="1" ht="6.75" customHeight="1">
      <c r="A72" s="22"/>
      <c r="E72" s="297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21"/>
    </row>
    <row r="73" spans="1:22" s="20" customFormat="1">
      <c r="A73" s="19">
        <v>44</v>
      </c>
      <c r="B73" s="20" t="s">
        <v>51</v>
      </c>
      <c r="E73" s="297"/>
      <c r="F73" s="305">
        <v>-104246</v>
      </c>
      <c r="G73" s="305">
        <v>-108113</v>
      </c>
      <c r="H73" s="305">
        <v>-113807</v>
      </c>
      <c r="I73" s="305">
        <v>-138127</v>
      </c>
      <c r="J73" s="305">
        <v>-154531</v>
      </c>
      <c r="K73" s="305">
        <v>-138256</v>
      </c>
      <c r="L73" s="305">
        <v>-142383</v>
      </c>
      <c r="M73" s="305">
        <v>-143546</v>
      </c>
      <c r="N73" s="305">
        <v>-151677</v>
      </c>
      <c r="O73" s="305">
        <v>-169421</v>
      </c>
      <c r="P73" s="305">
        <v>-190931</v>
      </c>
      <c r="Q73" s="305">
        <v>-201163</v>
      </c>
      <c r="R73" s="305">
        <v>-208209</v>
      </c>
      <c r="S73" s="305">
        <v>-221354</v>
      </c>
      <c r="T73" s="305">
        <v>-257766</v>
      </c>
      <c r="U73" s="305">
        <v>-300583</v>
      </c>
      <c r="V73" s="21"/>
    </row>
    <row r="74" spans="1:22" s="20" customFormat="1">
      <c r="A74" s="19">
        <v>45</v>
      </c>
      <c r="C74" s="20" t="s">
        <v>144</v>
      </c>
      <c r="E74" s="297"/>
      <c r="F74" s="308">
        <v>569992</v>
      </c>
      <c r="G74" s="308">
        <v>598885</v>
      </c>
      <c r="H74" s="308">
        <v>763096</v>
      </c>
      <c r="I74" s="308">
        <v>743549</v>
      </c>
      <c r="J74" s="308">
        <v>778726</v>
      </c>
      <c r="K74" s="308">
        <v>820685</v>
      </c>
      <c r="L74" s="308">
        <v>874964</v>
      </c>
      <c r="M74" s="308">
        <v>892437</v>
      </c>
      <c r="N74" s="308">
        <v>937291</v>
      </c>
      <c r="O74" s="308">
        <v>1005341</v>
      </c>
      <c r="P74" s="308">
        <v>1053967</v>
      </c>
      <c r="Q74" s="308">
        <v>1087141</v>
      </c>
      <c r="R74" s="308">
        <v>1131570</v>
      </c>
      <c r="S74" s="308">
        <f>S71+S73</f>
        <v>1195010</v>
      </c>
      <c r="T74" s="308">
        <f>T71+T73</f>
        <v>1214504</v>
      </c>
      <c r="U74" s="308">
        <f>U71+U73</f>
        <v>1250015</v>
      </c>
      <c r="V74" s="21"/>
    </row>
    <row r="75" spans="1:22" s="20" customFormat="1">
      <c r="A75" s="22">
        <v>46</v>
      </c>
      <c r="B75" s="20" t="s">
        <v>145</v>
      </c>
      <c r="E75" s="297"/>
      <c r="F75" s="305">
        <v>-1500</v>
      </c>
      <c r="G75" s="305">
        <v>-1370</v>
      </c>
      <c r="H75" s="305">
        <v>-1238</v>
      </c>
      <c r="I75" s="305">
        <v>-1106</v>
      </c>
      <c r="J75" s="305">
        <v>-715</v>
      </c>
      <c r="K75" s="305">
        <v>-843</v>
      </c>
      <c r="L75" s="305">
        <v>-453</v>
      </c>
      <c r="M75" s="305">
        <v>-582</v>
      </c>
      <c r="N75" s="305">
        <v>-451</v>
      </c>
      <c r="O75" s="305">
        <v>-322</v>
      </c>
      <c r="P75" s="305">
        <v>-127</v>
      </c>
      <c r="Q75" s="305">
        <v>32534</v>
      </c>
      <c r="R75" s="305">
        <v>16438</v>
      </c>
      <c r="S75" s="305">
        <v>14761</v>
      </c>
      <c r="T75" s="305">
        <v>10846</v>
      </c>
      <c r="U75" s="305">
        <v>8204</v>
      </c>
      <c r="V75" s="21"/>
    </row>
    <row r="76" spans="1:22" s="20" customFormat="1">
      <c r="A76" s="22">
        <v>47</v>
      </c>
      <c r="B76" s="20" t="s">
        <v>52</v>
      </c>
      <c r="E76" s="297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>
        <v>18188</v>
      </c>
      <c r="Q76" s="305">
        <v>18188</v>
      </c>
      <c r="R76" s="305">
        <v>10967</v>
      </c>
      <c r="S76" s="305">
        <v>16281</v>
      </c>
      <c r="T76" s="305">
        <v>47807</v>
      </c>
      <c r="U76" s="305">
        <v>56566</v>
      </c>
      <c r="V76" s="21"/>
    </row>
    <row r="77" spans="1:22" s="20" customFormat="1">
      <c r="A77" s="19"/>
      <c r="E77" s="297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21"/>
    </row>
    <row r="78" spans="1:22" s="18" customFormat="1" ht="13.5" thickBot="1">
      <c r="A78" s="17">
        <v>48</v>
      </c>
      <c r="B78" s="18" t="s">
        <v>50</v>
      </c>
      <c r="E78" s="297"/>
      <c r="F78" s="311">
        <v>568492</v>
      </c>
      <c r="G78" s="311">
        <v>597515</v>
      </c>
      <c r="H78" s="311">
        <v>761858</v>
      </c>
      <c r="I78" s="311">
        <v>742443</v>
      </c>
      <c r="J78" s="311">
        <v>778011</v>
      </c>
      <c r="K78" s="311">
        <v>819842</v>
      </c>
      <c r="L78" s="311">
        <v>874511</v>
      </c>
      <c r="M78" s="311">
        <v>891855</v>
      </c>
      <c r="N78" s="311">
        <v>936840</v>
      </c>
      <c r="O78" s="311">
        <v>1005019</v>
      </c>
      <c r="P78" s="311">
        <v>1072028</v>
      </c>
      <c r="Q78" s="311">
        <v>1137863</v>
      </c>
      <c r="R78" s="311">
        <v>1158975</v>
      </c>
      <c r="S78" s="311">
        <f>SUM(S74:S76)</f>
        <v>1226052</v>
      </c>
      <c r="T78" s="311">
        <f>SUM(T74:T76)</f>
        <v>1273157</v>
      </c>
      <c r="U78" s="311">
        <f>SUM(U74:U76)</f>
        <v>1314785</v>
      </c>
      <c r="V78" s="675"/>
    </row>
    <row r="79" spans="1:22" ht="18" customHeight="1" thickTop="1">
      <c r="A79" s="17">
        <v>49</v>
      </c>
      <c r="B79" s="11" t="s">
        <v>49</v>
      </c>
      <c r="F79" s="41">
        <f>F54/F78</f>
        <v>4.8051687622693018E-2</v>
      </c>
      <c r="G79" s="41">
        <f t="shared" ref="G79:R79" si="0">G54/G78</f>
        <v>0.10795938940446513</v>
      </c>
      <c r="H79" s="41">
        <f t="shared" si="0"/>
        <v>8.1531606334195206E-2</v>
      </c>
      <c r="I79" s="41">
        <f t="shared" si="0"/>
        <v>9.1978265071500739E-2</v>
      </c>
      <c r="J79" s="41">
        <f t="shared" si="0"/>
        <v>7.1269241781789394E-2</v>
      </c>
      <c r="K79" s="41">
        <f t="shared" si="0"/>
        <v>6.8436995335226222E-2</v>
      </c>
      <c r="L79" s="41">
        <f t="shared" si="0"/>
        <v>5.8669908218855239E-2</v>
      </c>
      <c r="M79" s="41">
        <f t="shared" si="0"/>
        <v>6.9174342718266987E-2</v>
      </c>
      <c r="N79" s="41">
        <f t="shared" si="0"/>
        <v>7.3616754408436874E-2</v>
      </c>
      <c r="O79" s="41">
        <f t="shared" si="0"/>
        <v>6.9727586344138767E-2</v>
      </c>
      <c r="P79" s="41">
        <f t="shared" si="0"/>
        <v>7.1700524951960151E-2</v>
      </c>
      <c r="Q79" s="41">
        <f t="shared" si="0"/>
        <v>6.5644859170216424E-2</v>
      </c>
      <c r="R79" s="41">
        <f t="shared" si="0"/>
        <v>7.1575500960935276E-2</v>
      </c>
      <c r="S79" s="41">
        <f t="shared" ref="S79:T79" si="1">S54/S78</f>
        <v>7.5671341835419709E-2</v>
      </c>
      <c r="T79" s="41">
        <f t="shared" si="1"/>
        <v>7.9604479259038755E-2</v>
      </c>
      <c r="U79" s="41">
        <f t="shared" ref="U79" si="2">U54/U78</f>
        <v>8.3413637971227236E-2</v>
      </c>
    </row>
    <row r="83" spans="1:15" s="14" customFormat="1">
      <c r="A83" s="81"/>
      <c r="E83" s="297"/>
      <c r="F83" s="12"/>
      <c r="K83" s="12"/>
      <c r="N83" s="70"/>
      <c r="O83" s="12"/>
    </row>
    <row r="84" spans="1:15">
      <c r="D84" s="43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Z54"/>
  <sheetViews>
    <sheetView workbookViewId="0">
      <selection activeCell="T13" sqref="T13"/>
    </sheetView>
  </sheetViews>
  <sheetFormatPr defaultColWidth="8.85546875" defaultRowHeight="12.75"/>
  <cols>
    <col min="1" max="1" width="34.7109375" style="297" customWidth="1"/>
    <col min="2" max="3" width="0" style="297" hidden="1" customWidth="1"/>
    <col min="4" max="4" width="5.5703125" style="297" hidden="1" customWidth="1"/>
    <col min="5" max="7" width="13.42578125" style="16" hidden="1" customWidth="1"/>
    <col min="8" max="9" width="13.42578125" style="16" customWidth="1"/>
    <col min="10" max="10" width="13.42578125" style="36" customWidth="1"/>
    <col min="11" max="15" width="13.42578125" style="16" customWidth="1"/>
    <col min="16" max="16" width="12.85546875" style="16" customWidth="1"/>
    <col min="17" max="17" width="12.28515625" style="16" customWidth="1"/>
    <col min="18" max="18" width="12.85546875" style="297" customWidth="1"/>
    <col min="19" max="19" width="13.42578125" style="635" customWidth="1"/>
    <col min="20" max="20" width="13.42578125" style="36" customWidth="1"/>
    <col min="21" max="16384" width="8.85546875" style="297"/>
  </cols>
  <sheetData>
    <row r="1" spans="1:21">
      <c r="A1" s="938" t="s">
        <v>6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</row>
    <row r="2" spans="1:21">
      <c r="A2" s="939" t="s">
        <v>7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</row>
    <row r="3" spans="1:21">
      <c r="D3" s="55"/>
    </row>
    <row r="4" spans="1:21">
      <c r="D4" s="55"/>
      <c r="E4" s="940" t="s">
        <v>29</v>
      </c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</row>
    <row r="5" spans="1:21">
      <c r="D5" s="55"/>
      <c r="E5" s="941" t="s">
        <v>292</v>
      </c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S5" s="111"/>
      <c r="T5" s="111" t="s">
        <v>539</v>
      </c>
    </row>
    <row r="6" spans="1:21">
      <c r="D6" s="56"/>
      <c r="E6" s="317">
        <v>2000</v>
      </c>
      <c r="F6" s="248">
        <v>2001</v>
      </c>
      <c r="G6" s="248">
        <v>2002</v>
      </c>
      <c r="H6" s="248">
        <v>2003</v>
      </c>
      <c r="I6" s="248">
        <v>2004</v>
      </c>
      <c r="J6" s="248">
        <v>2005</v>
      </c>
      <c r="K6" s="248">
        <v>2006</v>
      </c>
      <c r="L6" s="248">
        <v>2007</v>
      </c>
      <c r="M6" s="248">
        <v>2008</v>
      </c>
      <c r="N6" s="248">
        <v>2009</v>
      </c>
      <c r="O6" s="248">
        <v>2010</v>
      </c>
      <c r="P6" s="318">
        <v>2011</v>
      </c>
      <c r="Q6" s="318">
        <v>2012</v>
      </c>
      <c r="R6" s="318">
        <v>2013</v>
      </c>
      <c r="S6" s="318">
        <v>2014</v>
      </c>
      <c r="T6" s="679">
        <v>9.2014999999999993</v>
      </c>
    </row>
    <row r="7" spans="1:21">
      <c r="A7" s="297" t="s">
        <v>9</v>
      </c>
      <c r="D7" s="1"/>
      <c r="E7" s="183">
        <v>0.66290000000000004</v>
      </c>
      <c r="F7" s="183">
        <v>0.67479999999999996</v>
      </c>
      <c r="G7" s="183">
        <v>0.64119999999999999</v>
      </c>
      <c r="H7" s="183">
        <v>0.65480000000000005</v>
      </c>
      <c r="I7" s="183">
        <v>0.65159999999999996</v>
      </c>
      <c r="J7" s="183">
        <v>0.65369999999999995</v>
      </c>
      <c r="K7" s="183">
        <v>0.6583</v>
      </c>
      <c r="L7" s="183">
        <v>0.64590000000000003</v>
      </c>
      <c r="M7" s="183">
        <v>0.64419999999999999</v>
      </c>
      <c r="N7" s="183">
        <v>0.64870000000000005</v>
      </c>
      <c r="O7" s="183">
        <v>0.65159999999999996</v>
      </c>
      <c r="P7" s="319">
        <v>0.65239999999999998</v>
      </c>
      <c r="Q7" s="319">
        <v>0.65010000000000001</v>
      </c>
      <c r="R7" s="319">
        <v>0.65190000000000003</v>
      </c>
      <c r="S7" s="319">
        <v>0.64710000000000001</v>
      </c>
      <c r="T7" s="680">
        <v>0.64710000000000001</v>
      </c>
    </row>
    <row r="8" spans="1:21"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680"/>
    </row>
    <row r="9" spans="1:21">
      <c r="A9" s="297" t="s">
        <v>10</v>
      </c>
      <c r="D9" s="57"/>
      <c r="E9" s="249">
        <v>135976.0367</v>
      </c>
      <c r="F9" s="249">
        <v>90880</v>
      </c>
      <c r="G9" s="249">
        <v>31728</v>
      </c>
      <c r="H9" s="249">
        <v>35221</v>
      </c>
      <c r="I9" s="249">
        <v>40439</v>
      </c>
      <c r="J9" s="249">
        <v>44689.546799999996</v>
      </c>
      <c r="K9" s="249">
        <v>35381</v>
      </c>
      <c r="L9" s="249">
        <v>34954</v>
      </c>
      <c r="M9" s="249">
        <v>46849</v>
      </c>
      <c r="N9" s="249">
        <v>30933.259500000004</v>
      </c>
      <c r="O9" s="249">
        <v>132773.274</v>
      </c>
      <c r="P9" s="249">
        <v>52603.011999999995</v>
      </c>
      <c r="Q9" s="249">
        <v>54547.940699999999</v>
      </c>
      <c r="R9" s="249">
        <v>75350</v>
      </c>
      <c r="S9" s="249">
        <v>60998</v>
      </c>
      <c r="T9" s="559">
        <f>'09.2015 CB Power Supply'!F11</f>
        <v>65944</v>
      </c>
    </row>
    <row r="10" spans="1:21">
      <c r="A10" s="297" t="s">
        <v>11</v>
      </c>
      <c r="D10" s="58"/>
      <c r="E10" s="250">
        <v>300.2937</v>
      </c>
      <c r="F10" s="250">
        <v>281</v>
      </c>
      <c r="G10" s="250">
        <v>38</v>
      </c>
      <c r="H10" s="250">
        <v>297</v>
      </c>
      <c r="I10" s="250">
        <v>238</v>
      </c>
      <c r="J10" s="250">
        <v>124.85669999999999</v>
      </c>
      <c r="K10" s="250">
        <v>153</v>
      </c>
      <c r="L10" s="250">
        <v>200</v>
      </c>
      <c r="M10" s="250">
        <v>198</v>
      </c>
      <c r="N10" s="250">
        <v>247.15470000000002</v>
      </c>
      <c r="O10" s="250">
        <v>183.75119999999998</v>
      </c>
      <c r="P10" s="250">
        <v>330.76679999999999</v>
      </c>
      <c r="Q10" s="250">
        <v>303.5967</v>
      </c>
      <c r="R10" s="250">
        <v>282</v>
      </c>
      <c r="S10" s="250">
        <v>307</v>
      </c>
      <c r="T10" s="541">
        <f>'09.2015 CB Power Supply'!F12</f>
        <v>270</v>
      </c>
    </row>
    <row r="11" spans="1:21">
      <c r="A11" s="297" t="s">
        <v>12</v>
      </c>
      <c r="D11" s="58"/>
      <c r="E11" s="250">
        <v>43.751400000000004</v>
      </c>
      <c r="F11" s="250">
        <v>0</v>
      </c>
      <c r="G11" s="250">
        <v>30</v>
      </c>
      <c r="H11" s="250">
        <v>16</v>
      </c>
      <c r="I11" s="250">
        <v>16</v>
      </c>
      <c r="J11" s="250">
        <v>12.420299999999999</v>
      </c>
      <c r="K11" s="250">
        <v>14</v>
      </c>
      <c r="L11" s="250">
        <v>14</v>
      </c>
      <c r="M11" s="250">
        <v>16</v>
      </c>
      <c r="N11" s="250">
        <v>18.8123</v>
      </c>
      <c r="O11" s="250">
        <v>0</v>
      </c>
      <c r="P11" s="250">
        <v>0</v>
      </c>
      <c r="Q11" s="250">
        <v>0</v>
      </c>
      <c r="R11" s="250">
        <v>0</v>
      </c>
      <c r="S11" s="250">
        <v>0</v>
      </c>
      <c r="T11" s="541">
        <f>'09.2015 CB Power Supply'!F13</f>
        <v>0</v>
      </c>
    </row>
    <row r="12" spans="1:21">
      <c r="A12" s="439" t="s">
        <v>13</v>
      </c>
      <c r="D12" s="60"/>
      <c r="E12" s="339">
        <v>10967.6805</v>
      </c>
      <c r="F12" s="339">
        <v>11862</v>
      </c>
      <c r="G12" s="339">
        <v>25225</v>
      </c>
      <c r="H12" s="339">
        <v>46826</v>
      </c>
      <c r="I12" s="339">
        <v>31</v>
      </c>
      <c r="J12" s="339">
        <v>41.836799999999997</v>
      </c>
      <c r="K12" s="339">
        <v>31</v>
      </c>
      <c r="L12" s="339">
        <v>7</v>
      </c>
      <c r="M12" s="339">
        <v>2</v>
      </c>
      <c r="N12" s="339">
        <v>93.412800000000004</v>
      </c>
      <c r="O12" s="339">
        <v>456.11999999999995</v>
      </c>
      <c r="P12" s="339">
        <v>1420.9271999999999</v>
      </c>
      <c r="Q12" s="339">
        <v>1122.7227</v>
      </c>
      <c r="R12" s="339">
        <v>0</v>
      </c>
      <c r="S12" s="339">
        <v>2592</v>
      </c>
      <c r="T12" s="556">
        <f>'09.2015 CB Power Supply'!F17</f>
        <v>0</v>
      </c>
      <c r="U12" s="508" t="s">
        <v>581</v>
      </c>
    </row>
    <row r="13" spans="1:21" s="336" customFormat="1">
      <c r="A13" s="336" t="s">
        <v>392</v>
      </c>
      <c r="D13" s="60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>
        <v>63</v>
      </c>
      <c r="R13" s="339">
        <v>0</v>
      </c>
      <c r="S13" s="339">
        <v>163</v>
      </c>
      <c r="T13" s="556">
        <f>'09.2015 CB Power Supply'!F18</f>
        <v>0</v>
      </c>
      <c r="U13" s="508" t="s">
        <v>581</v>
      </c>
    </row>
    <row r="14" spans="1:21">
      <c r="A14" s="297" t="s">
        <v>14</v>
      </c>
      <c r="D14" s="60"/>
      <c r="E14" s="340">
        <f>SUM(E9:E12)</f>
        <v>147287.7623</v>
      </c>
      <c r="F14" s="340">
        <f t="shared" ref="F14:Q14" si="0">SUM(F9:F12)</f>
        <v>103023</v>
      </c>
      <c r="G14" s="340">
        <f t="shared" si="0"/>
        <v>57021</v>
      </c>
      <c r="H14" s="340">
        <f t="shared" si="0"/>
        <v>82360</v>
      </c>
      <c r="I14" s="340">
        <f t="shared" si="0"/>
        <v>40724</v>
      </c>
      <c r="J14" s="340">
        <f t="shared" si="0"/>
        <v>44868.660599999988</v>
      </c>
      <c r="K14" s="340">
        <f t="shared" si="0"/>
        <v>35579</v>
      </c>
      <c r="L14" s="340">
        <f t="shared" si="0"/>
        <v>35175</v>
      </c>
      <c r="M14" s="340">
        <f t="shared" si="0"/>
        <v>47065</v>
      </c>
      <c r="N14" s="340">
        <f t="shared" si="0"/>
        <v>31292.639300000003</v>
      </c>
      <c r="O14" s="340">
        <f t="shared" si="0"/>
        <v>133413.1452</v>
      </c>
      <c r="P14" s="340">
        <f t="shared" si="0"/>
        <v>54354.705999999991</v>
      </c>
      <c r="Q14" s="340">
        <f t="shared" si="0"/>
        <v>55974.2601</v>
      </c>
      <c r="R14" s="340">
        <f>SUM(R9:R13)</f>
        <v>75632</v>
      </c>
      <c r="S14" s="340">
        <v>64060</v>
      </c>
      <c r="T14" s="681">
        <f>SUM(T9:T13)</f>
        <v>66214</v>
      </c>
    </row>
    <row r="15" spans="1:21">
      <c r="D15" s="6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541"/>
    </row>
    <row r="16" spans="1:21">
      <c r="D16" s="6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541"/>
    </row>
    <row r="17" spans="1:26">
      <c r="A17" s="297" t="s">
        <v>15</v>
      </c>
      <c r="D17" s="60"/>
      <c r="E17" s="250">
        <v>18358.352600000002</v>
      </c>
      <c r="F17" s="250">
        <v>10164</v>
      </c>
      <c r="G17" s="250">
        <v>9430</v>
      </c>
      <c r="H17" s="250">
        <v>12014</v>
      </c>
      <c r="I17" s="250">
        <v>12358</v>
      </c>
      <c r="J17" s="250">
        <v>12956.9877</v>
      </c>
      <c r="K17" s="250">
        <v>15914</v>
      </c>
      <c r="L17" s="250">
        <v>16710</v>
      </c>
      <c r="M17" s="250">
        <v>18086</v>
      </c>
      <c r="N17" s="250">
        <v>16203.228600000002</v>
      </c>
      <c r="O17" s="250">
        <v>19974.797999999999</v>
      </c>
      <c r="P17" s="250">
        <v>21546.8148</v>
      </c>
      <c r="Q17" s="250">
        <v>16459.231800000001</v>
      </c>
      <c r="R17" s="250">
        <v>18925</v>
      </c>
      <c r="S17" s="250">
        <v>17743</v>
      </c>
      <c r="T17" s="541">
        <f>'09.2015 CB Power Supply'!F22</f>
        <v>17773</v>
      </c>
    </row>
    <row r="18" spans="1:26">
      <c r="A18" s="297" t="s">
        <v>16</v>
      </c>
      <c r="D18" s="60"/>
      <c r="E18" s="250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541">
        <f>'09.2015 CB Power Supply'!F23</f>
        <v>0</v>
      </c>
    </row>
    <row r="19" spans="1:26">
      <c r="A19" s="297" t="s">
        <v>17</v>
      </c>
      <c r="D19" s="60"/>
      <c r="E19" s="250">
        <v>23060.302300000003</v>
      </c>
      <c r="F19" s="250">
        <v>3582</v>
      </c>
      <c r="G19" s="250">
        <v>8111</v>
      </c>
      <c r="H19" s="250">
        <v>15447</v>
      </c>
      <c r="I19" s="250">
        <v>45629</v>
      </c>
      <c r="J19" s="250">
        <v>55227.190799999997</v>
      </c>
      <c r="K19" s="250">
        <v>47155</v>
      </c>
      <c r="L19" s="250">
        <v>43656</v>
      </c>
      <c r="M19" s="250">
        <v>52704</v>
      </c>
      <c r="N19" s="250">
        <v>15927.531100000002</v>
      </c>
      <c r="O19" s="250">
        <v>74448.55799999999</v>
      </c>
      <c r="P19" s="250">
        <v>62923.979999999996</v>
      </c>
      <c r="Q19" s="250">
        <v>50012.192999999999</v>
      </c>
      <c r="R19" s="250">
        <v>60338</v>
      </c>
      <c r="S19" s="250">
        <v>36097</v>
      </c>
      <c r="T19" s="541">
        <f>'09.2015 CB Power Supply'!F24</f>
        <v>51114</v>
      </c>
    </row>
    <row r="20" spans="1:26">
      <c r="A20" s="297" t="s">
        <v>18</v>
      </c>
      <c r="D20" s="60"/>
      <c r="E20" s="250">
        <v>548.88120000000004</v>
      </c>
      <c r="F20" s="250">
        <v>528</v>
      </c>
      <c r="G20" s="250">
        <v>392</v>
      </c>
      <c r="H20" s="250">
        <v>528</v>
      </c>
      <c r="I20" s="250">
        <v>490</v>
      </c>
      <c r="J20" s="250">
        <v>497.46569999999997</v>
      </c>
      <c r="K20" s="250">
        <v>450</v>
      </c>
      <c r="L20" s="250">
        <v>420</v>
      </c>
      <c r="M20" s="250">
        <v>421</v>
      </c>
      <c r="N20" s="250">
        <v>464.46920000000006</v>
      </c>
      <c r="O20" s="250">
        <v>555.81479999999999</v>
      </c>
      <c r="P20" s="250">
        <v>635.43759999999997</v>
      </c>
      <c r="Q20" s="250">
        <v>673.50360000000001</v>
      </c>
      <c r="R20" s="250">
        <v>671</v>
      </c>
      <c r="S20" s="250">
        <v>636</v>
      </c>
      <c r="T20" s="541">
        <f>'09.2015 CB Power Supply'!F25</f>
        <v>645</v>
      </c>
    </row>
    <row r="21" spans="1:26">
      <c r="A21" s="297" t="s">
        <v>19</v>
      </c>
      <c r="D21" s="60"/>
      <c r="E21" s="250">
        <v>180040.32550000001</v>
      </c>
      <c r="F21" s="250">
        <v>131649</v>
      </c>
      <c r="G21" s="250">
        <v>50729</v>
      </c>
      <c r="H21" s="250">
        <v>53591</v>
      </c>
      <c r="I21" s="250">
        <v>51029</v>
      </c>
      <c r="J21" s="250">
        <v>55379.502899999992</v>
      </c>
      <c r="K21" s="250">
        <v>79145</v>
      </c>
      <c r="L21" s="250">
        <v>65642</v>
      </c>
      <c r="M21" s="250">
        <v>72581</v>
      </c>
      <c r="N21" s="250">
        <v>104870.13940000001</v>
      </c>
      <c r="O21" s="250">
        <v>142281.42119999998</v>
      </c>
      <c r="P21" s="250">
        <v>91141.584799999997</v>
      </c>
      <c r="Q21" s="250">
        <v>101282.32950000001</v>
      </c>
      <c r="R21" s="250">
        <v>109035</v>
      </c>
      <c r="S21" s="250">
        <v>116641</v>
      </c>
      <c r="T21" s="541">
        <f>'09.2015 CB Power Supply'!F26</f>
        <v>96496</v>
      </c>
    </row>
    <row r="22" spans="1:26">
      <c r="A22" s="297" t="s">
        <v>20</v>
      </c>
      <c r="D22" s="60"/>
      <c r="E22" s="250">
        <v>0</v>
      </c>
      <c r="F22" s="250">
        <v>0</v>
      </c>
      <c r="G22" s="250">
        <v>85</v>
      </c>
      <c r="H22" s="250">
        <v>87</v>
      </c>
      <c r="I22" s="250">
        <v>87</v>
      </c>
      <c r="J22" s="250">
        <v>86.942099999999996</v>
      </c>
      <c r="K22" s="250">
        <v>115</v>
      </c>
      <c r="L22" s="250">
        <v>100</v>
      </c>
      <c r="M22" s="250">
        <v>113</v>
      </c>
      <c r="N22" s="250">
        <v>103.792</v>
      </c>
      <c r="O22" s="250">
        <v>104.256</v>
      </c>
      <c r="P22" s="250">
        <v>104.384</v>
      </c>
      <c r="Q22" s="250">
        <v>104.01600000000001</v>
      </c>
      <c r="R22" s="250">
        <v>104</v>
      </c>
      <c r="S22" s="250">
        <v>0</v>
      </c>
      <c r="T22" s="541">
        <f>'09.2015 CB Power Supply'!F27</f>
        <v>0</v>
      </c>
    </row>
    <row r="23" spans="1:26">
      <c r="A23" s="297" t="s">
        <v>21</v>
      </c>
      <c r="D23" s="60"/>
      <c r="E23" s="250">
        <v>3013.5434</v>
      </c>
      <c r="F23" s="250">
        <v>3056</v>
      </c>
      <c r="G23" s="250">
        <v>3059</v>
      </c>
      <c r="H23" s="250">
        <v>3066</v>
      </c>
      <c r="I23" s="250">
        <v>4385</v>
      </c>
      <c r="J23" s="250">
        <v>2320.6349999999998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541">
        <f>'09.2015 CB Power Supply'!F28</f>
        <v>0</v>
      </c>
    </row>
    <row r="24" spans="1:26">
      <c r="A24" s="297" t="s">
        <v>22</v>
      </c>
      <c r="D24" s="60"/>
      <c r="E24" s="250">
        <v>109.3785</v>
      </c>
      <c r="F24" s="250">
        <v>171</v>
      </c>
      <c r="G24" s="250">
        <v>150</v>
      </c>
      <c r="H24" s="250">
        <v>173</v>
      </c>
      <c r="I24" s="250">
        <v>99</v>
      </c>
      <c r="J24" s="250">
        <v>141.19919999999999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541">
        <f>'09.2015 CB Power Supply'!F29</f>
        <v>0</v>
      </c>
    </row>
    <row r="25" spans="1:26">
      <c r="A25" s="297" t="s">
        <v>23</v>
      </c>
      <c r="D25" s="60"/>
      <c r="E25" s="250">
        <v>1984.7226000000001</v>
      </c>
      <c r="F25" s="250">
        <v>25</v>
      </c>
      <c r="G25" s="250">
        <v>46700</v>
      </c>
      <c r="H25" s="250">
        <v>63438</v>
      </c>
      <c r="I25" s="250">
        <v>51</v>
      </c>
      <c r="J25" s="250">
        <v>73.868099999999998</v>
      </c>
      <c r="K25" s="250">
        <v>291</v>
      </c>
      <c r="L25" s="250">
        <v>243</v>
      </c>
      <c r="M25" s="250">
        <v>297</v>
      </c>
      <c r="N25" s="250">
        <v>307.48380000000003</v>
      </c>
      <c r="O25" s="250">
        <v>465.89399999999995</v>
      </c>
      <c r="P25" s="250">
        <v>820.7192</v>
      </c>
      <c r="Q25" s="250">
        <v>891.93719999999996</v>
      </c>
      <c r="R25" s="250">
        <v>711</v>
      </c>
      <c r="S25" s="250">
        <v>376</v>
      </c>
      <c r="T25" s="541">
        <f>'09.2015 CB Power Supply'!F30</f>
        <v>264</v>
      </c>
    </row>
    <row r="26" spans="1:26" s="336" customFormat="1">
      <c r="A26" s="336" t="s">
        <v>393</v>
      </c>
      <c r="D26" s="6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>
        <v>0</v>
      </c>
      <c r="R26" s="250">
        <v>0</v>
      </c>
      <c r="S26" s="250">
        <v>2396</v>
      </c>
      <c r="T26" s="541">
        <f>'09.2015 CB Power Supply'!F31</f>
        <v>0</v>
      </c>
    </row>
    <row r="27" spans="1:26">
      <c r="A27" s="297" t="s">
        <v>24</v>
      </c>
      <c r="D27" s="60"/>
      <c r="E27" s="250">
        <v>7669.7530000000006</v>
      </c>
      <c r="F27" s="250">
        <v>7010</v>
      </c>
      <c r="G27" s="250">
        <v>5723</v>
      </c>
      <c r="H27" s="250">
        <v>5938</v>
      </c>
      <c r="I27" s="250">
        <v>8671</v>
      </c>
      <c r="J27" s="250">
        <v>6436.3301999999994</v>
      </c>
      <c r="K27" s="250">
        <v>9054</v>
      </c>
      <c r="L27" s="250">
        <v>8948</v>
      </c>
      <c r="M27" s="250">
        <v>8782</v>
      </c>
      <c r="N27" s="250">
        <v>8661.4423999999999</v>
      </c>
      <c r="O27" s="250">
        <v>11537.8812</v>
      </c>
      <c r="P27" s="250">
        <v>11410.475999999999</v>
      </c>
      <c r="Q27" s="250">
        <v>11410.555200000001</v>
      </c>
      <c r="R27" s="250">
        <v>11687</v>
      </c>
      <c r="S27" s="250">
        <v>12228</v>
      </c>
      <c r="T27" s="541">
        <f>'09.2015 CB Power Supply'!F34</f>
        <v>11230</v>
      </c>
    </row>
    <row r="28" spans="1:26" ht="15.6" customHeight="1">
      <c r="A28" s="16"/>
      <c r="B28" s="16"/>
      <c r="C28" s="16"/>
      <c r="D28" s="33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541"/>
      <c r="U28" s="250"/>
      <c r="V28" s="16"/>
      <c r="W28" s="16"/>
      <c r="X28" s="16"/>
      <c r="Y28" s="16"/>
      <c r="Z28" s="16"/>
    </row>
    <row r="29" spans="1:26">
      <c r="A29" s="297" t="s">
        <v>25</v>
      </c>
      <c r="D29" s="60"/>
      <c r="E29" s="252">
        <f>SUM(E17:E28)</f>
        <v>234785.2591</v>
      </c>
      <c r="F29" s="252">
        <f t="shared" ref="F29:Q29" si="1">SUM(F17:F28)</f>
        <v>156185</v>
      </c>
      <c r="G29" s="252">
        <f t="shared" si="1"/>
        <v>124379</v>
      </c>
      <c r="H29" s="252">
        <f t="shared" si="1"/>
        <v>154282</v>
      </c>
      <c r="I29" s="252">
        <f t="shared" si="1"/>
        <v>122799</v>
      </c>
      <c r="J29" s="252">
        <f t="shared" si="1"/>
        <v>133120.12169999999</v>
      </c>
      <c r="K29" s="252">
        <f t="shared" si="1"/>
        <v>152124</v>
      </c>
      <c r="L29" s="252">
        <f t="shared" si="1"/>
        <v>135719</v>
      </c>
      <c r="M29" s="252">
        <f t="shared" si="1"/>
        <v>152984</v>
      </c>
      <c r="N29" s="252">
        <f t="shared" si="1"/>
        <v>146538.0865</v>
      </c>
      <c r="O29" s="252">
        <f t="shared" si="1"/>
        <v>249368.62319999994</v>
      </c>
      <c r="P29" s="252">
        <f t="shared" si="1"/>
        <v>188583.39639999997</v>
      </c>
      <c r="Q29" s="252">
        <f t="shared" si="1"/>
        <v>180833.76630000002</v>
      </c>
      <c r="R29" s="252">
        <f t="shared" ref="R29:T29" si="2">SUM(R17:R28)</f>
        <v>201471</v>
      </c>
      <c r="S29" s="252">
        <v>186117</v>
      </c>
      <c r="T29" s="682">
        <f t="shared" si="2"/>
        <v>177522</v>
      </c>
    </row>
    <row r="30" spans="1:26"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680"/>
    </row>
    <row r="31" spans="1:26">
      <c r="A31" s="297" t="s">
        <v>26</v>
      </c>
      <c r="D31" s="58"/>
      <c r="E31" s="250">
        <f>E14-E29</f>
        <v>-87497.496799999994</v>
      </c>
      <c r="F31" s="250">
        <f t="shared" ref="F31:Q31" si="3">F14-F29</f>
        <v>-53162</v>
      </c>
      <c r="G31" s="250">
        <f t="shared" si="3"/>
        <v>-67358</v>
      </c>
      <c r="H31" s="250">
        <f t="shared" si="3"/>
        <v>-71922</v>
      </c>
      <c r="I31" s="250">
        <f t="shared" si="3"/>
        <v>-82075</v>
      </c>
      <c r="J31" s="250">
        <f t="shared" si="3"/>
        <v>-88251.4611</v>
      </c>
      <c r="K31" s="250">
        <f t="shared" si="3"/>
        <v>-116545</v>
      </c>
      <c r="L31" s="250">
        <f t="shared" si="3"/>
        <v>-100544</v>
      </c>
      <c r="M31" s="250">
        <f t="shared" si="3"/>
        <v>-105919</v>
      </c>
      <c r="N31" s="250">
        <f t="shared" si="3"/>
        <v>-115245.4472</v>
      </c>
      <c r="O31" s="250">
        <f t="shared" si="3"/>
        <v>-115955.47799999994</v>
      </c>
      <c r="P31" s="250">
        <f t="shared" si="3"/>
        <v>-134228.69039999996</v>
      </c>
      <c r="Q31" s="250">
        <f t="shared" si="3"/>
        <v>-124859.50620000002</v>
      </c>
      <c r="R31" s="250">
        <f t="shared" ref="R31:T31" si="4">R14-R29</f>
        <v>-125839</v>
      </c>
      <c r="S31" s="250">
        <v>-122057</v>
      </c>
      <c r="T31" s="541">
        <f t="shared" si="4"/>
        <v>-111308</v>
      </c>
    </row>
    <row r="32" spans="1:26">
      <c r="D32" s="58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541"/>
    </row>
    <row r="33" spans="1:20">
      <c r="A33" s="297" t="s">
        <v>27</v>
      </c>
      <c r="C33" s="62">
        <v>0.35</v>
      </c>
      <c r="D33" s="63"/>
      <c r="E33" s="251">
        <f>E31*0.35</f>
        <v>-30624.123879999996</v>
      </c>
      <c r="F33" s="251">
        <f t="shared" ref="F33:Q33" si="5">F31*0.35</f>
        <v>-18606.699999999997</v>
      </c>
      <c r="G33" s="251">
        <f t="shared" si="5"/>
        <v>-23575.3</v>
      </c>
      <c r="H33" s="251">
        <f t="shared" si="5"/>
        <v>-25172.699999999997</v>
      </c>
      <c r="I33" s="251">
        <f t="shared" si="5"/>
        <v>-28726.249999999996</v>
      </c>
      <c r="J33" s="251">
        <f t="shared" si="5"/>
        <v>-30888.011384999998</v>
      </c>
      <c r="K33" s="251">
        <f t="shared" si="5"/>
        <v>-40790.75</v>
      </c>
      <c r="L33" s="251">
        <f t="shared" si="5"/>
        <v>-35190.399999999994</v>
      </c>
      <c r="M33" s="251">
        <f t="shared" si="5"/>
        <v>-37071.649999999994</v>
      </c>
      <c r="N33" s="251">
        <f t="shared" si="5"/>
        <v>-40335.906519999997</v>
      </c>
      <c r="O33" s="251">
        <f t="shared" si="5"/>
        <v>-40584.417299999979</v>
      </c>
      <c r="P33" s="251">
        <f t="shared" si="5"/>
        <v>-46980.041639999981</v>
      </c>
      <c r="Q33" s="251">
        <f t="shared" si="5"/>
        <v>-43700.827170000004</v>
      </c>
      <c r="R33" s="251">
        <f t="shared" ref="R33:T33" si="6">R31*0.35</f>
        <v>-44043.649999999994</v>
      </c>
      <c r="S33" s="251">
        <v>-42719.95</v>
      </c>
      <c r="T33" s="683">
        <f t="shared" si="6"/>
        <v>-38957.799999999996</v>
      </c>
    </row>
    <row r="34" spans="1:20">
      <c r="D34" s="63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559"/>
    </row>
    <row r="35" spans="1:20">
      <c r="A35" s="297" t="s">
        <v>28</v>
      </c>
      <c r="D35" s="58"/>
      <c r="E35" s="320">
        <f>E31-E33</f>
        <v>-56873.372919999994</v>
      </c>
      <c r="F35" s="320">
        <f t="shared" ref="F35:Q35" si="7">F31-F33</f>
        <v>-34555.300000000003</v>
      </c>
      <c r="G35" s="320">
        <f t="shared" si="7"/>
        <v>-43782.7</v>
      </c>
      <c r="H35" s="320">
        <f t="shared" si="7"/>
        <v>-46749.3</v>
      </c>
      <c r="I35" s="320">
        <f t="shared" si="7"/>
        <v>-53348.75</v>
      </c>
      <c r="J35" s="320">
        <f t="shared" si="7"/>
        <v>-57363.449715000002</v>
      </c>
      <c r="K35" s="320">
        <f t="shared" si="7"/>
        <v>-75754.25</v>
      </c>
      <c r="L35" s="320">
        <f t="shared" si="7"/>
        <v>-65353.600000000006</v>
      </c>
      <c r="M35" s="320">
        <f t="shared" si="7"/>
        <v>-68847.350000000006</v>
      </c>
      <c r="N35" s="320">
        <f t="shared" si="7"/>
        <v>-74909.540680000006</v>
      </c>
      <c r="O35" s="320">
        <f t="shared" si="7"/>
        <v>-75371.060699999973</v>
      </c>
      <c r="P35" s="320">
        <f t="shared" si="7"/>
        <v>-87248.648759999982</v>
      </c>
      <c r="Q35" s="320">
        <f t="shared" si="7"/>
        <v>-81158.679030000014</v>
      </c>
      <c r="R35" s="320">
        <f t="shared" ref="R35:T35" si="8">R31-R33</f>
        <v>-81795.350000000006</v>
      </c>
      <c r="S35" s="320">
        <v>-79337.05</v>
      </c>
      <c r="T35" s="684">
        <f t="shared" si="8"/>
        <v>-72350.200000000012</v>
      </c>
    </row>
    <row r="36" spans="1:20">
      <c r="E36" s="250"/>
      <c r="F36" s="250"/>
      <c r="J36" s="16"/>
      <c r="R36" s="16"/>
      <c r="S36" s="16"/>
    </row>
    <row r="37" spans="1:20">
      <c r="J37" s="16"/>
      <c r="R37" s="16"/>
      <c r="S37" s="16"/>
    </row>
    <row r="38" spans="1:20">
      <c r="J38" s="16"/>
      <c r="R38" s="16"/>
      <c r="S38" s="16"/>
    </row>
    <row r="39" spans="1:20"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1:20"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321"/>
    </row>
    <row r="41" spans="1:20"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321"/>
    </row>
    <row r="42" spans="1:20"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</row>
    <row r="44" spans="1:20">
      <c r="J44" s="317"/>
    </row>
    <row r="45" spans="1:20">
      <c r="J45" s="317"/>
    </row>
    <row r="54" spans="1:22">
      <c r="A54" s="539" t="s">
        <v>579</v>
      </c>
      <c r="B54" s="539"/>
      <c r="C54" s="539"/>
      <c r="D54" s="60"/>
      <c r="E54" s="505"/>
      <c r="F54" s="505"/>
      <c r="G54" s="505"/>
      <c r="H54" s="505"/>
      <c r="I54" s="505"/>
      <c r="J54" s="540">
        <f>ROUND(9555*J33,0)</f>
        <v>-295134949</v>
      </c>
      <c r="K54" s="540">
        <f>ROUND(12757*K33,0)</f>
        <v>-520367598</v>
      </c>
      <c r="L54" s="540">
        <f>ROUND(14241*L33,0)</f>
        <v>-501146486</v>
      </c>
      <c r="M54" s="540">
        <f>ROUND(15869*M33,0)</f>
        <v>-588290014</v>
      </c>
      <c r="N54" s="540">
        <f>ROUND(16051*N33,0)</f>
        <v>-647431636</v>
      </c>
      <c r="O54" s="540">
        <f>ROUND(15132*O33,0)</f>
        <v>-614123403</v>
      </c>
      <c r="P54" s="540">
        <f>ROUND(16369*P33,0)</f>
        <v>-769016302</v>
      </c>
      <c r="Q54" s="540">
        <f>ROUND(21605*Q33,0)</f>
        <v>-944156371</v>
      </c>
      <c r="R54" s="540">
        <f>ROUND(17902*R33,0)</f>
        <v>-788469422</v>
      </c>
      <c r="S54" s="540">
        <v>-800700023</v>
      </c>
      <c r="T54" s="541">
        <f>ROUND(18743*T33,0)</f>
        <v>-730186045</v>
      </c>
      <c r="U54" s="505">
        <f>'09.2015 CB Power Supply'!F57+'09.2015 CB Power Supply'!F58</f>
        <v>0</v>
      </c>
      <c r="V54" s="539" t="s">
        <v>580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U26"/>
  <sheetViews>
    <sheetView topLeftCell="E1" workbookViewId="0">
      <selection activeCell="T21" sqref="T21"/>
    </sheetView>
  </sheetViews>
  <sheetFormatPr defaultColWidth="9.140625" defaultRowHeight="15"/>
  <cols>
    <col min="1" max="4" width="9.140625" style="263"/>
    <col min="5" max="5" width="11.5703125" style="263" bestFit="1" customWidth="1"/>
    <col min="6" max="14" width="10.5703125" style="263" bestFit="1" customWidth="1"/>
    <col min="15" max="15" width="11.5703125" style="263" bestFit="1" customWidth="1"/>
    <col min="16" max="19" width="10.5703125" style="263" bestFit="1" customWidth="1"/>
    <col min="20" max="20" width="10.5703125" style="440" bestFit="1" customWidth="1"/>
    <col min="21" max="16384" width="9.140625" style="263"/>
  </cols>
  <sheetData>
    <row r="1" spans="1:21">
      <c r="A1" s="263" t="s">
        <v>348</v>
      </c>
    </row>
    <row r="2" spans="1:21">
      <c r="P2" s="264"/>
      <c r="Q2" s="264"/>
      <c r="R2" s="264"/>
      <c r="S2" s="111"/>
      <c r="T2" s="111" t="s">
        <v>539</v>
      </c>
    </row>
    <row r="3" spans="1:21">
      <c r="D3" s="265"/>
      <c r="E3" s="266">
        <v>2000</v>
      </c>
      <c r="F3" s="267">
        <v>2001</v>
      </c>
      <c r="G3" s="267">
        <v>2002</v>
      </c>
      <c r="H3" s="267">
        <v>2003</v>
      </c>
      <c r="I3" s="267">
        <v>2004</v>
      </c>
      <c r="J3" s="267">
        <v>2005</v>
      </c>
      <c r="K3" s="267">
        <v>2006</v>
      </c>
      <c r="L3" s="267">
        <v>2007</v>
      </c>
      <c r="M3" s="267">
        <v>2008</v>
      </c>
      <c r="N3" s="267">
        <v>2009</v>
      </c>
      <c r="O3" s="267">
        <v>2010</v>
      </c>
      <c r="P3" s="267">
        <v>2011</v>
      </c>
      <c r="Q3" s="267">
        <v>2012</v>
      </c>
      <c r="R3" s="267">
        <v>2013</v>
      </c>
      <c r="S3" s="267">
        <v>2014</v>
      </c>
      <c r="T3" s="267">
        <v>9.2014999999999993</v>
      </c>
    </row>
    <row r="4" spans="1:21">
      <c r="A4" s="263" t="s">
        <v>9</v>
      </c>
      <c r="D4" s="268"/>
      <c r="E4" s="269">
        <v>0.66290000000000004</v>
      </c>
      <c r="F4" s="269">
        <v>0.67479999999999996</v>
      </c>
      <c r="G4" s="269">
        <v>0.64119999999999999</v>
      </c>
      <c r="H4" s="269">
        <v>0.65480000000000005</v>
      </c>
      <c r="I4" s="269">
        <v>0.65159999999999996</v>
      </c>
      <c r="J4" s="269">
        <v>0.65369999999999995</v>
      </c>
      <c r="K4" s="269">
        <v>0.6583</v>
      </c>
      <c r="L4" s="269">
        <v>0.64590000000000003</v>
      </c>
      <c r="M4" s="269">
        <v>0.64419999999999999</v>
      </c>
      <c r="N4" s="269">
        <v>0.64870000000000005</v>
      </c>
      <c r="O4" s="269">
        <v>0.65159999999999996</v>
      </c>
      <c r="P4" s="270">
        <v>0.65239999999999998</v>
      </c>
      <c r="Q4" s="270">
        <v>0.65010000000000001</v>
      </c>
      <c r="R4" s="270">
        <v>0.65190000000000003</v>
      </c>
      <c r="S4" s="270">
        <v>0.64710000000000001</v>
      </c>
      <c r="T4" s="270">
        <v>0.64710000000000001</v>
      </c>
    </row>
    <row r="5" spans="1:21">
      <c r="A5" s="263" t="s">
        <v>349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</row>
    <row r="6" spans="1:21">
      <c r="A6" s="263" t="s">
        <v>10</v>
      </c>
      <c r="D6" s="271"/>
      <c r="E6" s="272">
        <v>135976.0367</v>
      </c>
      <c r="F6" s="272">
        <v>90880</v>
      </c>
      <c r="G6" s="272">
        <v>31728</v>
      </c>
      <c r="H6" s="272">
        <v>35221</v>
      </c>
      <c r="I6" s="272">
        <v>40439</v>
      </c>
      <c r="J6" s="272">
        <v>44689.546799999996</v>
      </c>
      <c r="K6" s="272">
        <v>35381</v>
      </c>
      <c r="L6" s="272">
        <v>34954</v>
      </c>
      <c r="M6" s="272">
        <v>46849</v>
      </c>
      <c r="N6" s="272">
        <v>30933.259500000004</v>
      </c>
      <c r="O6" s="272">
        <v>132773.274</v>
      </c>
      <c r="P6" s="272">
        <v>52603.011999999995</v>
      </c>
      <c r="Q6" s="272">
        <v>54547.940699999999</v>
      </c>
      <c r="R6" s="249">
        <v>75350</v>
      </c>
      <c r="S6" s="249">
        <f>'PS Consolidated'!S9</f>
        <v>60998</v>
      </c>
      <c r="T6" s="249">
        <f>'PS Consolidated'!T9</f>
        <v>65944</v>
      </c>
    </row>
    <row r="7" spans="1:21">
      <c r="A7" s="263" t="s">
        <v>11</v>
      </c>
      <c r="D7" s="273"/>
      <c r="E7" s="274">
        <v>300.2937</v>
      </c>
      <c r="F7" s="274">
        <v>281</v>
      </c>
      <c r="G7" s="274">
        <v>38</v>
      </c>
      <c r="H7" s="274">
        <v>297</v>
      </c>
      <c r="I7" s="274">
        <v>238</v>
      </c>
      <c r="J7" s="274">
        <v>124.85669999999999</v>
      </c>
      <c r="K7" s="274">
        <v>153</v>
      </c>
      <c r="L7" s="274">
        <v>200</v>
      </c>
      <c r="M7" s="274">
        <v>198</v>
      </c>
      <c r="N7" s="274">
        <v>247.15470000000002</v>
      </c>
      <c r="O7" s="274">
        <v>183.75119999999998</v>
      </c>
      <c r="P7" s="274">
        <v>330.76679999999999</v>
      </c>
      <c r="Q7" s="274">
        <v>303.5967</v>
      </c>
      <c r="R7" s="274">
        <v>282</v>
      </c>
      <c r="S7" s="274">
        <f>475*S4</f>
        <v>307.3725</v>
      </c>
      <c r="T7" s="274">
        <f>418*T4</f>
        <v>270.48779999999999</v>
      </c>
    </row>
    <row r="8" spans="1:21">
      <c r="A8" s="263" t="s">
        <v>12</v>
      </c>
      <c r="D8" s="273"/>
      <c r="E8" s="274">
        <v>43.751400000000004</v>
      </c>
      <c r="F8" s="274">
        <v>0</v>
      </c>
      <c r="G8" s="274">
        <v>30</v>
      </c>
      <c r="H8" s="274">
        <v>16</v>
      </c>
      <c r="I8" s="274">
        <v>16</v>
      </c>
      <c r="J8" s="274">
        <v>12.420299999999999</v>
      </c>
      <c r="K8" s="274">
        <v>14</v>
      </c>
      <c r="L8" s="274">
        <v>14</v>
      </c>
      <c r="M8" s="274">
        <v>16</v>
      </c>
      <c r="N8" s="274">
        <v>18.8123</v>
      </c>
      <c r="O8" s="274">
        <v>0</v>
      </c>
      <c r="P8" s="274">
        <v>0</v>
      </c>
      <c r="Q8" s="274">
        <v>0</v>
      </c>
      <c r="R8" s="274">
        <v>0</v>
      </c>
      <c r="S8" s="274">
        <v>0</v>
      </c>
      <c r="T8" s="274">
        <v>0</v>
      </c>
    </row>
    <row r="9" spans="1:21">
      <c r="A9" s="263" t="s">
        <v>13</v>
      </c>
      <c r="D9" s="275"/>
      <c r="E9" s="276">
        <v>10967.6805</v>
      </c>
      <c r="F9" s="276">
        <v>11862</v>
      </c>
      <c r="G9" s="276">
        <v>25225</v>
      </c>
      <c r="H9" s="276">
        <v>46826</v>
      </c>
      <c r="I9" s="276">
        <v>31</v>
      </c>
      <c r="J9" s="276">
        <v>41.836799999999997</v>
      </c>
      <c r="K9" s="276">
        <v>31</v>
      </c>
      <c r="L9" s="276">
        <v>7</v>
      </c>
      <c r="M9" s="276">
        <v>2</v>
      </c>
      <c r="N9" s="276">
        <v>93.412800000000004</v>
      </c>
      <c r="O9" s="276">
        <v>456.11999999999995</v>
      </c>
      <c r="P9" s="276">
        <v>1420.9271999999999</v>
      </c>
      <c r="Q9" s="276">
        <f>'PS Consolidated'!Q12+'PS Consolidated'!Q13</f>
        <v>1185.7227</v>
      </c>
      <c r="R9" s="276">
        <f>'PS Consolidated'!R12+'PS Consolidated'!R13</f>
        <v>0</v>
      </c>
      <c r="S9" s="276">
        <f>'PS Consolidated'!S12+'PS Consolidated'!S13</f>
        <v>2755</v>
      </c>
      <c r="T9" s="276">
        <f>'PS Consolidated'!T12+'PS Consolidated'!T13</f>
        <v>0</v>
      </c>
    </row>
    <row r="10" spans="1:21">
      <c r="A10" s="263" t="s">
        <v>14</v>
      </c>
      <c r="D10" s="275"/>
      <c r="E10" s="274">
        <f t="shared" ref="E10:R10" si="0">SUM(E6:E9)</f>
        <v>147287.7623</v>
      </c>
      <c r="F10" s="274">
        <f t="shared" si="0"/>
        <v>103023</v>
      </c>
      <c r="G10" s="274">
        <f t="shared" si="0"/>
        <v>57021</v>
      </c>
      <c r="H10" s="274">
        <f t="shared" si="0"/>
        <v>82360</v>
      </c>
      <c r="I10" s="274">
        <f t="shared" si="0"/>
        <v>40724</v>
      </c>
      <c r="J10" s="274">
        <f t="shared" si="0"/>
        <v>44868.660599999988</v>
      </c>
      <c r="K10" s="274">
        <f t="shared" si="0"/>
        <v>35579</v>
      </c>
      <c r="L10" s="274">
        <f t="shared" si="0"/>
        <v>35175</v>
      </c>
      <c r="M10" s="274">
        <f t="shared" si="0"/>
        <v>47065</v>
      </c>
      <c r="N10" s="274">
        <f t="shared" si="0"/>
        <v>31292.639300000003</v>
      </c>
      <c r="O10" s="274">
        <f t="shared" si="0"/>
        <v>133413.1452</v>
      </c>
      <c r="P10" s="274">
        <f t="shared" si="0"/>
        <v>54354.705999999991</v>
      </c>
      <c r="Q10" s="274">
        <f t="shared" si="0"/>
        <v>56037.2601</v>
      </c>
      <c r="R10" s="274">
        <f t="shared" si="0"/>
        <v>75632</v>
      </c>
      <c r="S10" s="274">
        <f t="shared" ref="S10:T10" si="1">SUM(S6:S9)</f>
        <v>64060.372499999998</v>
      </c>
      <c r="T10" s="274">
        <f t="shared" si="1"/>
        <v>66214.487800000003</v>
      </c>
    </row>
    <row r="11" spans="1:21">
      <c r="R11" s="440"/>
      <c r="S11" s="440"/>
    </row>
    <row r="12" spans="1:21">
      <c r="A12" s="263" t="s">
        <v>350</v>
      </c>
      <c r="R12" s="440"/>
      <c r="S12" s="440"/>
    </row>
    <row r="13" spans="1:21">
      <c r="A13" s="263" t="s">
        <v>351</v>
      </c>
      <c r="E13" s="277">
        <f>'CBR Hist'!F15</f>
        <v>137117</v>
      </c>
      <c r="F13" s="277">
        <f>'CBR Hist'!G15</f>
        <v>91388</v>
      </c>
      <c r="G13" s="277">
        <f>'CBR Hist'!H15</f>
        <v>29918</v>
      </c>
      <c r="H13" s="277">
        <f>'CBR Hist'!I15</f>
        <v>35252</v>
      </c>
      <c r="I13" s="277">
        <f>'CBR Hist'!J15</f>
        <v>40460</v>
      </c>
      <c r="J13" s="277">
        <f>'CBR Hist'!K15</f>
        <v>44718</v>
      </c>
      <c r="K13" s="277">
        <f>'CBR Hist'!L15</f>
        <v>35380</v>
      </c>
      <c r="L13" s="277">
        <f>'CBR Hist'!M15</f>
        <v>34954</v>
      </c>
      <c r="M13" s="277">
        <f>'CBR Hist'!N15</f>
        <v>46848</v>
      </c>
      <c r="N13" s="277">
        <f>'CBR Hist'!O15</f>
        <v>31491</v>
      </c>
      <c r="O13" s="277">
        <f>'CBR Hist'!P15</f>
        <v>133479</v>
      </c>
      <c r="P13" s="277">
        <f>'CBR Hist'!Q15</f>
        <v>52604</v>
      </c>
      <c r="Q13" s="277">
        <f>'CBR Hist'!R15</f>
        <v>54549</v>
      </c>
      <c r="R13" s="278">
        <f>'CBR Hist'!S15+1</f>
        <v>75350</v>
      </c>
      <c r="S13" s="278">
        <f>'CBR Hist'!T15</f>
        <v>60998</v>
      </c>
      <c r="T13" s="278">
        <f>'CBR Hist'!U15</f>
        <v>65944</v>
      </c>
    </row>
    <row r="14" spans="1:21">
      <c r="A14" s="263" t="s">
        <v>1</v>
      </c>
      <c r="E14" s="277">
        <f>'CBR Hist'!F17</f>
        <v>13062</v>
      </c>
      <c r="F14" s="277">
        <f>'CBR Hist'!G17</f>
        <v>14305</v>
      </c>
      <c r="G14" s="277">
        <f>'CBR Hist'!H17</f>
        <v>34274</v>
      </c>
      <c r="H14" s="277">
        <f>'CBR Hist'!I17</f>
        <v>57244</v>
      </c>
      <c r="I14" s="277">
        <f>'CBR Hist'!J17</f>
        <v>8587</v>
      </c>
      <c r="J14" s="277">
        <f>'CBR Hist'!K17</f>
        <v>10259</v>
      </c>
      <c r="K14" s="277">
        <f>'CBR Hist'!L17</f>
        <v>10178</v>
      </c>
      <c r="L14" s="277">
        <f>'CBR Hist'!M17</f>
        <v>10170</v>
      </c>
      <c r="M14" s="277">
        <f>'CBR Hist'!N17</f>
        <v>10927</v>
      </c>
      <c r="N14" s="277">
        <f>'CBR Hist'!O17</f>
        <v>9395</v>
      </c>
      <c r="O14" s="277">
        <f>'CBR Hist'!P17</f>
        <v>11786</v>
      </c>
      <c r="P14" s="277">
        <f>'CBR Hist'!Q17</f>
        <v>13666</v>
      </c>
      <c r="Q14" s="277">
        <f>'CBR Hist'!R17</f>
        <v>13089</v>
      </c>
      <c r="R14" s="278">
        <f>'CBR Hist'!S17</f>
        <v>13408</v>
      </c>
      <c r="S14" s="278">
        <f>'CBR Hist'!T17</f>
        <v>17163</v>
      </c>
      <c r="T14" s="278">
        <f>'CBR Hist'!U17</f>
        <v>12625</v>
      </c>
    </row>
    <row r="15" spans="1:21">
      <c r="R15" s="440"/>
      <c r="S15" s="440"/>
    </row>
    <row r="16" spans="1:21">
      <c r="A16" s="341" t="s">
        <v>391</v>
      </c>
      <c r="E16" s="277">
        <v>7824</v>
      </c>
      <c r="F16" s="277">
        <v>9892</v>
      </c>
      <c r="G16" s="277">
        <f>ROUND(11097*G4,0)</f>
        <v>7115</v>
      </c>
      <c r="H16" s="277">
        <f>ROUND(11559*H4,0)</f>
        <v>7569</v>
      </c>
      <c r="I16" s="277">
        <f>ROUND(8476*I4,0)</f>
        <v>5523</v>
      </c>
      <c r="J16" s="278">
        <f>ROUND(10033*J4,0)+78</f>
        <v>6637</v>
      </c>
      <c r="K16" s="278">
        <f>ROUND(10539*K4,0)+86</f>
        <v>7024</v>
      </c>
      <c r="L16" s="278">
        <f>ROUND(10488*L4,0)+102</f>
        <v>6876</v>
      </c>
      <c r="M16" s="278">
        <f>ROUND(9486*M4,0)+102</f>
        <v>6213</v>
      </c>
      <c r="N16" s="278">
        <f>ROUND(9315*N4,0)+90</f>
        <v>6133</v>
      </c>
      <c r="O16" s="278">
        <f>ROUND(12659*O4,0)+84</f>
        <v>8333</v>
      </c>
      <c r="P16" s="184">
        <f>ROUND((13812)*P4,0)+91</f>
        <v>9102</v>
      </c>
      <c r="Q16" s="184">
        <f>ROUND((12594)*Q4,0)+98</f>
        <v>8285</v>
      </c>
      <c r="R16" s="184">
        <f>ROUND((14822)*R4,0)</f>
        <v>9662</v>
      </c>
      <c r="S16" s="184">
        <f>ROUND((16264)*S4,0)+98</f>
        <v>10622</v>
      </c>
      <c r="T16" s="184">
        <f>'09.2015 CB Power Supply'!D14*T4+'09.2015 CB Power Supply'!D15</f>
        <v>11045.996999999999</v>
      </c>
      <c r="U16" s="533"/>
    </row>
    <row r="17" spans="1:20">
      <c r="A17" s="341" t="s">
        <v>394</v>
      </c>
      <c r="E17" s="279">
        <f>E9-E16</f>
        <v>3143.6805000000004</v>
      </c>
      <c r="F17" s="279">
        <f>F9-F16</f>
        <v>1970</v>
      </c>
      <c r="G17" s="279">
        <f>G9</f>
        <v>25225</v>
      </c>
      <c r="H17" s="279">
        <f>H9</f>
        <v>46826</v>
      </c>
      <c r="I17" s="279">
        <f>I9</f>
        <v>31</v>
      </c>
      <c r="J17" s="279">
        <f t="shared" ref="J17:Q17" si="2">J9</f>
        <v>41.836799999999997</v>
      </c>
      <c r="K17" s="279">
        <f t="shared" si="2"/>
        <v>31</v>
      </c>
      <c r="L17" s="279">
        <f t="shared" si="2"/>
        <v>7</v>
      </c>
      <c r="M17" s="279">
        <f>M9+1623</f>
        <v>1625</v>
      </c>
      <c r="N17" s="279">
        <f>N9+89</f>
        <v>182.4128</v>
      </c>
      <c r="O17" s="279">
        <f t="shared" si="2"/>
        <v>456.11999999999995</v>
      </c>
      <c r="P17" s="279">
        <f t="shared" si="2"/>
        <v>1420.9271999999999</v>
      </c>
      <c r="Q17" s="279">
        <f t="shared" si="2"/>
        <v>1185.7227</v>
      </c>
      <c r="R17" s="441">
        <f>R9</f>
        <v>0</v>
      </c>
      <c r="S17" s="441">
        <f>S9</f>
        <v>2755</v>
      </c>
      <c r="T17" s="441">
        <f>T9</f>
        <v>0</v>
      </c>
    </row>
    <row r="18" spans="1:20">
      <c r="A18" s="341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441"/>
      <c r="S18" s="441"/>
      <c r="T18" s="441"/>
    </row>
    <row r="19" spans="1:20">
      <c r="A19" s="373" t="s">
        <v>451</v>
      </c>
      <c r="E19" s="279">
        <f t="shared" ref="E19:R19" si="3">E17+E7+E8</f>
        <v>3487.7256000000007</v>
      </c>
      <c r="F19" s="279">
        <f t="shared" si="3"/>
        <v>2251</v>
      </c>
      <c r="G19" s="279">
        <f t="shared" si="3"/>
        <v>25293</v>
      </c>
      <c r="H19" s="279">
        <f t="shared" si="3"/>
        <v>47139</v>
      </c>
      <c r="I19" s="279">
        <f t="shared" si="3"/>
        <v>285</v>
      </c>
      <c r="J19" s="279">
        <f t="shared" si="3"/>
        <v>179.11379999999997</v>
      </c>
      <c r="K19" s="279">
        <f t="shared" si="3"/>
        <v>198</v>
      </c>
      <c r="L19" s="279">
        <f t="shared" si="3"/>
        <v>221</v>
      </c>
      <c r="M19" s="279">
        <f t="shared" si="3"/>
        <v>1839</v>
      </c>
      <c r="N19" s="279">
        <f t="shared" si="3"/>
        <v>448.37979999999999</v>
      </c>
      <c r="O19" s="279">
        <f t="shared" si="3"/>
        <v>639.87119999999993</v>
      </c>
      <c r="P19" s="279">
        <f t="shared" si="3"/>
        <v>1751.694</v>
      </c>
      <c r="Q19" s="279">
        <f t="shared" si="3"/>
        <v>1489.3194000000001</v>
      </c>
      <c r="R19" s="441">
        <f t="shared" si="3"/>
        <v>282</v>
      </c>
      <c r="S19" s="441">
        <f>S17+S7+S8</f>
        <v>3062.3724999999999</v>
      </c>
      <c r="T19" s="441">
        <f>T17+T7+T8</f>
        <v>270.48779999999999</v>
      </c>
    </row>
    <row r="20" spans="1:20">
      <c r="R20" s="440"/>
      <c r="S20" s="440"/>
    </row>
    <row r="21" spans="1:20">
      <c r="A21" s="263" t="s">
        <v>352</v>
      </c>
      <c r="E21" s="279">
        <f>E14-E9-E7-E8</f>
        <v>1750.2743999999996</v>
      </c>
      <c r="F21" s="279">
        <f>F14-F9-F7-F8</f>
        <v>2162</v>
      </c>
      <c r="G21" s="279">
        <f t="shared" ref="G21:Q21" si="4">G14-G16-G17-G7-G8</f>
        <v>1866</v>
      </c>
      <c r="H21" s="279">
        <f t="shared" si="4"/>
        <v>2536</v>
      </c>
      <c r="I21" s="279">
        <f t="shared" si="4"/>
        <v>2779</v>
      </c>
      <c r="J21" s="279">
        <f t="shared" si="4"/>
        <v>3442.8861999999999</v>
      </c>
      <c r="K21" s="279">
        <f t="shared" si="4"/>
        <v>2956</v>
      </c>
      <c r="L21" s="279">
        <f t="shared" si="4"/>
        <v>3073</v>
      </c>
      <c r="M21" s="279">
        <f t="shared" si="4"/>
        <v>2875</v>
      </c>
      <c r="N21" s="279">
        <f t="shared" si="4"/>
        <v>2813.6201999999998</v>
      </c>
      <c r="O21" s="279">
        <f t="shared" si="4"/>
        <v>2813.1288</v>
      </c>
      <c r="P21" s="279">
        <f t="shared" si="4"/>
        <v>2812.306</v>
      </c>
      <c r="Q21" s="279">
        <f t="shared" si="4"/>
        <v>3314.6805999999997</v>
      </c>
      <c r="R21" s="441">
        <f>R14-R16-R17-R7-R8</f>
        <v>3464</v>
      </c>
      <c r="S21" s="441">
        <f>S14-S16-S17-S7-S8</f>
        <v>3478.6275000000001</v>
      </c>
      <c r="T21" s="441">
        <f>T14-T16-T17-T7-T8</f>
        <v>1308.5152000000007</v>
      </c>
    </row>
    <row r="23" spans="1:20">
      <c r="A23" s="342" t="s">
        <v>395</v>
      </c>
      <c r="E23" s="279" t="str">
        <f t="shared" ref="E23:R23" si="5">IF(E7+E8+E16+E17+E21=E14,"","footing error")</f>
        <v/>
      </c>
      <c r="F23" s="279" t="str">
        <f t="shared" si="5"/>
        <v/>
      </c>
      <c r="G23" s="279" t="str">
        <f t="shared" si="5"/>
        <v/>
      </c>
      <c r="H23" s="279" t="str">
        <f t="shared" si="5"/>
        <v/>
      </c>
      <c r="I23" s="279" t="str">
        <f t="shared" si="5"/>
        <v/>
      </c>
      <c r="J23" s="279" t="str">
        <f t="shared" si="5"/>
        <v/>
      </c>
      <c r="K23" s="279" t="str">
        <f t="shared" si="5"/>
        <v/>
      </c>
      <c r="L23" s="279" t="str">
        <f t="shared" si="5"/>
        <v/>
      </c>
      <c r="M23" s="279" t="str">
        <f t="shared" si="5"/>
        <v/>
      </c>
      <c r="N23" s="279" t="str">
        <f t="shared" si="5"/>
        <v/>
      </c>
      <c r="O23" s="279" t="str">
        <f t="shared" si="5"/>
        <v/>
      </c>
      <c r="P23" s="279" t="str">
        <f t="shared" si="5"/>
        <v/>
      </c>
      <c r="Q23" s="279" t="str">
        <f t="shared" si="5"/>
        <v/>
      </c>
      <c r="R23" s="279" t="str">
        <f t="shared" si="5"/>
        <v/>
      </c>
      <c r="S23" s="279" t="str">
        <f t="shared" ref="S23:T23" si="6">IF(S7+S8+S16+S17+S21=S14,"","footing error")</f>
        <v/>
      </c>
      <c r="T23" s="441" t="str">
        <f t="shared" si="6"/>
        <v/>
      </c>
    </row>
    <row r="24" spans="1:20">
      <c r="I24" s="429" t="s">
        <v>490</v>
      </c>
      <c r="M24" s="279">
        <v>1623</v>
      </c>
      <c r="N24" s="279">
        <v>89</v>
      </c>
      <c r="O24" s="279"/>
      <c r="P24" s="279"/>
    </row>
    <row r="25" spans="1:20">
      <c r="I25" s="280" t="s">
        <v>353</v>
      </c>
      <c r="M25" s="279"/>
      <c r="N25" s="279"/>
      <c r="O25" s="279">
        <v>-767</v>
      </c>
      <c r="P25" s="279"/>
    </row>
    <row r="26" spans="1:20">
      <c r="I26" s="280" t="s">
        <v>354</v>
      </c>
      <c r="M26" s="279"/>
      <c r="N26" s="279"/>
      <c r="O26" s="279"/>
      <c r="P26" s="279">
        <v>-1044</v>
      </c>
    </row>
  </sheetData>
  <pageMargins left="0.7" right="0.7" top="0.75" bottom="0.75" header="0.3" footer="0.56000000000000005"/>
  <pageSetup scale="60" orientation="landscape" r:id="rId1"/>
  <headerFooter>
    <oddFooter>&amp;C&amp;F / 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view="pageBreakPreview" zoomScale="130" zoomScaleNormal="100" zoomScaleSheetLayoutView="130" workbookViewId="0">
      <selection activeCell="A17" sqref="A17"/>
    </sheetView>
  </sheetViews>
  <sheetFormatPr defaultColWidth="9.140625" defaultRowHeight="15"/>
  <cols>
    <col min="1" max="3" width="9.140625" style="139"/>
    <col min="4" max="5" width="9.28515625" style="139" bestFit="1" customWidth="1"/>
    <col min="6" max="6" width="11" style="139" customWidth="1"/>
    <col min="7" max="7" width="1.85546875" style="139" customWidth="1"/>
    <col min="8" max="8" width="9.28515625" style="139" bestFit="1" customWidth="1"/>
    <col min="9" max="9" width="2.85546875" style="139" customWidth="1"/>
    <col min="10" max="10" width="29.140625" style="139" customWidth="1"/>
    <col min="11" max="11" width="4.42578125" style="139" customWidth="1"/>
    <col min="12" max="12" width="11.85546875" style="139" bestFit="1" customWidth="1"/>
    <col min="13" max="16384" width="9.140625" style="139"/>
  </cols>
  <sheetData>
    <row r="1" spans="1:12">
      <c r="H1" s="344"/>
      <c r="I1" s="344"/>
      <c r="J1" s="344"/>
      <c r="K1" s="344"/>
      <c r="L1" s="345"/>
    </row>
    <row r="2" spans="1:12">
      <c r="A2" s="911"/>
      <c r="B2" s="911"/>
      <c r="C2" s="911"/>
      <c r="D2" s="911"/>
      <c r="E2" s="911"/>
      <c r="F2" s="911"/>
      <c r="G2" s="911"/>
      <c r="H2" s="908" t="s">
        <v>94</v>
      </c>
      <c r="I2" s="908"/>
      <c r="J2" s="908"/>
      <c r="K2" s="908"/>
      <c r="L2" s="908"/>
    </row>
    <row r="3" spans="1:12">
      <c r="A3" s="912" t="s">
        <v>635</v>
      </c>
      <c r="B3" s="912"/>
      <c r="C3" s="912"/>
      <c r="D3" s="912"/>
      <c r="E3" s="912"/>
      <c r="F3" s="912"/>
      <c r="G3" s="912"/>
      <c r="H3" s="898" t="s">
        <v>270</v>
      </c>
      <c r="I3" s="898"/>
      <c r="J3" s="898"/>
      <c r="K3" s="898"/>
      <c r="L3" s="898"/>
    </row>
    <row r="4" spans="1:12" ht="15.75">
      <c r="A4" s="911" t="s">
        <v>270</v>
      </c>
      <c r="B4" s="911"/>
      <c r="C4" s="911"/>
      <c r="D4" s="911"/>
      <c r="E4" s="911"/>
      <c r="F4" s="911"/>
      <c r="G4" s="911"/>
      <c r="H4" s="909" t="s">
        <v>633</v>
      </c>
      <c r="I4" s="910"/>
      <c r="J4" s="909"/>
      <c r="K4" s="909"/>
      <c r="L4" s="909"/>
    </row>
    <row r="5" spans="1:12" ht="15.75" thickBot="1">
      <c r="A5" s="911" t="s">
        <v>633</v>
      </c>
      <c r="B5" s="911"/>
      <c r="C5" s="911"/>
      <c r="D5" s="911"/>
      <c r="E5" s="911"/>
      <c r="F5" s="911"/>
      <c r="G5" s="911"/>
      <c r="H5" s="346"/>
      <c r="I5" s="346"/>
      <c r="J5" s="346"/>
      <c r="K5" s="346"/>
      <c r="L5" s="347"/>
    </row>
    <row r="6" spans="1:12">
      <c r="A6" s="156" t="s">
        <v>745</v>
      </c>
      <c r="B6" s="157"/>
      <c r="C6" s="157"/>
      <c r="D6" s="157"/>
      <c r="E6" s="157"/>
      <c r="F6" s="157"/>
      <c r="G6" s="158"/>
      <c r="H6" s="348" t="s">
        <v>396</v>
      </c>
      <c r="I6" s="348"/>
      <c r="J6" s="348"/>
      <c r="K6" s="348"/>
      <c r="L6" s="349"/>
    </row>
    <row r="7" spans="1:12">
      <c r="A7" s="159"/>
      <c r="B7" s="160"/>
      <c r="C7" s="160"/>
      <c r="D7" s="161"/>
      <c r="E7" s="162"/>
      <c r="F7" s="161"/>
      <c r="G7" s="163"/>
      <c r="H7" s="350" t="s">
        <v>89</v>
      </c>
      <c r="I7" s="348"/>
      <c r="J7" s="350" t="s">
        <v>397</v>
      </c>
      <c r="K7" s="351"/>
      <c r="L7" s="352" t="s">
        <v>398</v>
      </c>
    </row>
    <row r="8" spans="1:12">
      <c r="A8" s="159"/>
      <c r="B8" s="164"/>
      <c r="C8" s="161"/>
      <c r="D8" s="161" t="s">
        <v>96</v>
      </c>
      <c r="E8" s="161"/>
      <c r="F8" s="161" t="s">
        <v>271</v>
      </c>
      <c r="G8" s="163"/>
      <c r="H8" s="346"/>
      <c r="I8" s="346"/>
      <c r="J8" s="346"/>
      <c r="K8" s="346"/>
      <c r="L8" s="347"/>
    </row>
    <row r="9" spans="1:12">
      <c r="A9" s="159"/>
      <c r="B9" s="165" t="s">
        <v>272</v>
      </c>
      <c r="C9" s="161"/>
      <c r="D9" s="165" t="s">
        <v>273</v>
      </c>
      <c r="E9" s="165" t="s">
        <v>274</v>
      </c>
      <c r="F9" s="165" t="s">
        <v>274</v>
      </c>
      <c r="G9" s="163"/>
      <c r="H9" s="353">
        <v>1</v>
      </c>
      <c r="I9" s="346"/>
      <c r="J9" s="354" t="s">
        <v>399</v>
      </c>
      <c r="K9" s="346"/>
      <c r="L9" s="355">
        <v>1</v>
      </c>
    </row>
    <row r="10" spans="1:12">
      <c r="A10" s="159"/>
      <c r="B10" s="160"/>
      <c r="C10" s="160"/>
      <c r="D10" s="160"/>
      <c r="E10" s="162"/>
      <c r="F10" s="160"/>
      <c r="G10" s="166"/>
      <c r="H10" s="353"/>
      <c r="I10" s="346"/>
      <c r="J10" s="346"/>
      <c r="K10" s="346"/>
      <c r="L10" s="355"/>
    </row>
    <row r="11" spans="1:12">
      <c r="A11" s="159"/>
      <c r="B11" s="164" t="s">
        <v>275</v>
      </c>
      <c r="C11" s="167"/>
      <c r="D11" s="168">
        <f>100%-D13</f>
        <v>0.51500000000000001</v>
      </c>
      <c r="E11" s="168">
        <v>5.5100000000000003E-2</v>
      </c>
      <c r="F11" s="168">
        <f>ROUND(D11*E11,4)</f>
        <v>2.8400000000000002E-2</v>
      </c>
      <c r="G11" s="181"/>
      <c r="H11" s="353"/>
      <c r="I11" s="346"/>
      <c r="J11" s="356" t="s">
        <v>400</v>
      </c>
      <c r="K11" s="357"/>
      <c r="L11" s="355"/>
    </row>
    <row r="12" spans="1:12">
      <c r="A12" s="159"/>
      <c r="B12" s="164"/>
      <c r="C12" s="170"/>
      <c r="D12" s="168"/>
      <c r="E12" s="168"/>
      <c r="F12" s="168"/>
      <c r="G12" s="171"/>
      <c r="H12" s="353">
        <v>2</v>
      </c>
      <c r="I12" s="346"/>
      <c r="J12" s="357" t="s">
        <v>401</v>
      </c>
      <c r="K12" s="357"/>
      <c r="L12" s="357">
        <v>5.8552999999999999E-3</v>
      </c>
    </row>
    <row r="13" spans="1:12">
      <c r="A13" s="159"/>
      <c r="B13" s="164" t="s">
        <v>90</v>
      </c>
      <c r="C13" s="170"/>
      <c r="D13" s="168">
        <v>0.48499999999999999</v>
      </c>
      <c r="E13" s="168">
        <v>9.9000000000000005E-2</v>
      </c>
      <c r="F13" s="168">
        <f>ROUND(D13*E13,4)</f>
        <v>4.8000000000000001E-2</v>
      </c>
      <c r="G13" s="166"/>
      <c r="H13" s="353"/>
      <c r="I13" s="346"/>
      <c r="J13" s="357"/>
      <c r="K13" s="357"/>
      <c r="L13" s="357"/>
    </row>
    <row r="14" spans="1:12">
      <c r="A14" s="159"/>
      <c r="B14" s="164"/>
      <c r="C14" s="170"/>
      <c r="D14" s="172"/>
      <c r="E14" s="172"/>
      <c r="F14" s="168"/>
      <c r="G14" s="163"/>
      <c r="H14" s="353">
        <v>3</v>
      </c>
      <c r="I14" s="346"/>
      <c r="J14" s="357" t="s">
        <v>402</v>
      </c>
      <c r="K14" s="357"/>
      <c r="L14" s="357">
        <v>2E-3</v>
      </c>
    </row>
    <row r="15" spans="1:12" ht="15.75" thickBot="1">
      <c r="A15" s="159"/>
      <c r="B15" s="164" t="s">
        <v>8</v>
      </c>
      <c r="C15" s="167"/>
      <c r="D15" s="174">
        <f>SUM(D11:D13)</f>
        <v>1</v>
      </c>
      <c r="E15" s="173"/>
      <c r="F15" s="174">
        <f>SUM(F11:F13)</f>
        <v>7.6399999999999996E-2</v>
      </c>
      <c r="G15" s="163"/>
      <c r="H15" s="353"/>
      <c r="I15" s="346"/>
      <c r="J15" s="357"/>
      <c r="K15" s="357"/>
      <c r="L15" s="357"/>
    </row>
    <row r="16" spans="1:12" ht="16.5" thickTop="1" thickBot="1">
      <c r="A16" s="175"/>
      <c r="B16" s="176"/>
      <c r="C16" s="177"/>
      <c r="D16" s="178"/>
      <c r="E16" s="179"/>
      <c r="F16" s="178"/>
      <c r="G16" s="180"/>
      <c r="H16" s="353">
        <v>4</v>
      </c>
      <c r="I16" s="346"/>
      <c r="J16" s="357" t="s">
        <v>403</v>
      </c>
      <c r="K16" s="357"/>
      <c r="L16" s="357">
        <v>3.8507300000000001E-2</v>
      </c>
    </row>
    <row r="17" spans="1:21">
      <c r="A17" s="895" t="s">
        <v>746</v>
      </c>
      <c r="B17" s="164"/>
      <c r="C17" s="170"/>
      <c r="D17" s="168"/>
      <c r="E17" s="169"/>
      <c r="F17" s="168"/>
      <c r="G17" s="160"/>
      <c r="H17" s="353"/>
      <c r="I17" s="346"/>
      <c r="J17" s="357"/>
      <c r="K17" s="357"/>
      <c r="L17" s="357"/>
    </row>
    <row r="18" spans="1:21">
      <c r="A18" s="160"/>
      <c r="B18" s="164"/>
      <c r="C18" s="170"/>
      <c r="D18" s="168"/>
      <c r="E18" s="169"/>
      <c r="F18" s="168"/>
      <c r="G18" s="160"/>
      <c r="H18" s="353">
        <v>5</v>
      </c>
      <c r="I18" s="346"/>
      <c r="J18" s="357" t="s">
        <v>404</v>
      </c>
      <c r="K18" s="357"/>
      <c r="L18" s="358">
        <f>SUM(L12:L16)</f>
        <v>4.6362600000000004E-2</v>
      </c>
    </row>
    <row r="19" spans="1:21">
      <c r="H19" s="353"/>
      <c r="I19" s="346"/>
      <c r="J19" s="357"/>
      <c r="K19" s="357"/>
      <c r="L19" s="359"/>
    </row>
    <row r="20" spans="1:21">
      <c r="H20" s="353">
        <v>6</v>
      </c>
      <c r="I20" s="346"/>
      <c r="J20" s="357" t="s">
        <v>405</v>
      </c>
      <c r="K20" s="357"/>
      <c r="L20" s="359">
        <f>L9-L18</f>
        <v>0.95363739999999997</v>
      </c>
    </row>
    <row r="21" spans="1:21">
      <c r="H21" s="346"/>
      <c r="I21" s="346"/>
      <c r="J21" s="357"/>
      <c r="K21" s="357"/>
      <c r="L21" s="359"/>
      <c r="U21" s="428"/>
    </row>
    <row r="22" spans="1:21">
      <c r="H22" s="353">
        <v>7</v>
      </c>
      <c r="I22" s="346"/>
      <c r="J22" s="357" t="s">
        <v>406</v>
      </c>
      <c r="K22" s="360"/>
      <c r="L22" s="361">
        <f>ROUND(L20*0.35,6)</f>
        <v>0.33377299999999999</v>
      </c>
    </row>
    <row r="23" spans="1:21">
      <c r="H23" s="346"/>
      <c r="I23" s="346"/>
      <c r="J23" s="357"/>
      <c r="K23" s="357"/>
      <c r="L23" s="359"/>
    </row>
    <row r="24" spans="1:21" ht="15.75" thickBot="1">
      <c r="H24" s="353">
        <v>8</v>
      </c>
      <c r="I24" s="346"/>
      <c r="J24" s="356" t="s">
        <v>407</v>
      </c>
      <c r="K24" s="357"/>
      <c r="L24" s="572">
        <f>ROUND(L20-L22,6)</f>
        <v>0.61986399999999997</v>
      </c>
      <c r="M24" s="428"/>
    </row>
    <row r="25" spans="1:21" ht="15.75" thickTop="1">
      <c r="C25" s="428"/>
      <c r="D25" s="428"/>
    </row>
    <row r="26" spans="1:21">
      <c r="C26" s="645"/>
      <c r="D26" s="645"/>
    </row>
    <row r="28" spans="1:21">
      <c r="A28" s="912" t="s">
        <v>116</v>
      </c>
      <c r="B28" s="912"/>
      <c r="C28" s="912"/>
      <c r="D28" s="912"/>
      <c r="E28" s="912"/>
      <c r="F28" s="912"/>
      <c r="G28" s="912"/>
    </row>
    <row r="29" spans="1:21">
      <c r="A29" s="897" t="s">
        <v>634</v>
      </c>
      <c r="B29" s="897"/>
      <c r="C29" s="897"/>
      <c r="D29" s="897"/>
      <c r="E29" s="897"/>
      <c r="F29" s="897"/>
      <c r="G29" s="897"/>
    </row>
    <row r="30" spans="1:21">
      <c r="A30" s="912" t="s">
        <v>270</v>
      </c>
      <c r="B30" s="912"/>
      <c r="C30" s="912"/>
      <c r="D30" s="912"/>
      <c r="E30" s="912"/>
      <c r="F30" s="912"/>
      <c r="G30" s="912"/>
    </row>
    <row r="31" spans="1:21" ht="15.75" thickBot="1">
      <c r="A31" s="912"/>
      <c r="B31" s="912"/>
      <c r="C31" s="912"/>
      <c r="D31" s="912"/>
      <c r="E31" s="912"/>
      <c r="F31" s="912"/>
      <c r="G31" s="912"/>
    </row>
    <row r="32" spans="1:21">
      <c r="A32" s="646" t="s">
        <v>460</v>
      </c>
      <c r="B32" s="647"/>
      <c r="C32" s="647"/>
      <c r="D32" s="647"/>
      <c r="E32" s="647"/>
      <c r="F32" s="647"/>
      <c r="G32" s="648"/>
    </row>
    <row r="33" spans="1:12">
      <c r="A33" s="649"/>
      <c r="B33" s="650"/>
      <c r="C33" s="650"/>
      <c r="D33" s="651"/>
      <c r="E33" s="652"/>
      <c r="F33" s="651"/>
      <c r="G33" s="653"/>
    </row>
    <row r="34" spans="1:12">
      <c r="A34" s="649"/>
      <c r="B34" s="654"/>
      <c r="C34" s="651"/>
      <c r="D34" s="651" t="s">
        <v>96</v>
      </c>
      <c r="E34" s="651"/>
      <c r="F34" s="651" t="s">
        <v>271</v>
      </c>
      <c r="G34" s="653"/>
    </row>
    <row r="35" spans="1:12">
      <c r="A35" s="649"/>
      <c r="B35" s="655" t="s">
        <v>272</v>
      </c>
      <c r="C35" s="651"/>
      <c r="D35" s="655" t="s">
        <v>273</v>
      </c>
      <c r="E35" s="655" t="s">
        <v>274</v>
      </c>
      <c r="F35" s="655" t="s">
        <v>274</v>
      </c>
      <c r="G35" s="653"/>
    </row>
    <row r="36" spans="1:12">
      <c r="A36" s="649"/>
      <c r="B36" s="650"/>
      <c r="C36" s="650"/>
      <c r="D36" s="650"/>
      <c r="E36" s="652"/>
      <c r="F36" s="650"/>
      <c r="G36" s="656"/>
    </row>
    <row r="37" spans="1:12">
      <c r="A37" s="649"/>
      <c r="B37" s="654" t="s">
        <v>275</v>
      </c>
      <c r="C37" s="657"/>
      <c r="D37" s="658">
        <f>100%-D39</f>
        <v>0.51629999999999998</v>
      </c>
      <c r="E37" s="659">
        <v>5.3199999999999997E-2</v>
      </c>
      <c r="F37" s="660">
        <f>ROUND(D37*E37,5)</f>
        <v>2.7470000000000001E-2</v>
      </c>
      <c r="G37" s="661"/>
    </row>
    <row r="38" spans="1:12">
      <c r="A38" s="649"/>
      <c r="B38" s="654"/>
      <c r="C38" s="662"/>
      <c r="D38" s="658"/>
      <c r="E38" s="659"/>
      <c r="F38" s="658"/>
      <c r="G38" s="663"/>
    </row>
    <row r="39" spans="1:12">
      <c r="A39" s="649"/>
      <c r="B39" s="654" t="s">
        <v>90</v>
      </c>
      <c r="C39" s="662"/>
      <c r="D39" s="664">
        <v>0.48370000000000002</v>
      </c>
      <c r="E39" s="659">
        <v>9.8000000000000004E-2</v>
      </c>
      <c r="F39" s="658">
        <f>ROUND(D39*E39,4)</f>
        <v>4.7399999999999998E-2</v>
      </c>
      <c r="G39" s="656"/>
    </row>
    <row r="40" spans="1:12">
      <c r="A40" s="649"/>
      <c r="B40" s="654"/>
      <c r="C40" s="662"/>
      <c r="D40" s="660"/>
      <c r="E40" s="665"/>
      <c r="F40" s="658"/>
      <c r="G40" s="653"/>
    </row>
    <row r="41" spans="1:12" ht="15.75" thickBot="1">
      <c r="A41" s="649"/>
      <c r="B41" s="654" t="s">
        <v>8</v>
      </c>
      <c r="C41" s="657"/>
      <c r="D41" s="666">
        <f>SUM(D37:D39)</f>
        <v>1</v>
      </c>
      <c r="E41" s="665"/>
      <c r="F41" s="666">
        <f>SUM(F37:F39)</f>
        <v>7.4869999999999992E-2</v>
      </c>
      <c r="G41" s="653"/>
    </row>
    <row r="42" spans="1:12" ht="16.5" thickTop="1" thickBot="1">
      <c r="A42" s="667"/>
      <c r="B42" s="668"/>
      <c r="C42" s="669"/>
      <c r="D42" s="670"/>
      <c r="E42" s="671"/>
      <c r="F42" s="670"/>
      <c r="G42" s="672"/>
      <c r="H42" s="344"/>
      <c r="I42" s="344"/>
      <c r="J42" s="344"/>
      <c r="K42" s="344"/>
      <c r="L42" s="345"/>
    </row>
    <row r="43" spans="1:12">
      <c r="A43" s="428"/>
      <c r="B43" s="428"/>
      <c r="C43" s="428"/>
      <c r="D43" s="428"/>
      <c r="E43" s="428"/>
      <c r="F43" s="428"/>
    </row>
    <row r="44" spans="1:12">
      <c r="A44" s="911"/>
      <c r="B44" s="911"/>
      <c r="C44" s="911"/>
      <c r="D44" s="911"/>
      <c r="E44" s="911"/>
      <c r="F44" s="911"/>
      <c r="G44" s="911"/>
    </row>
    <row r="94" spans="21:21">
      <c r="U94" s="594"/>
    </row>
    <row r="104" spans="21:21">
      <c r="U104" s="594"/>
    </row>
    <row r="150" spans="21:21">
      <c r="U150" s="594" t="s">
        <v>595</v>
      </c>
    </row>
    <row r="164" spans="21:21">
      <c r="U164" s="594" t="s">
        <v>595</v>
      </c>
    </row>
    <row r="184" spans="14:21">
      <c r="N184" s="594"/>
      <c r="O184" s="594"/>
      <c r="P184" s="594"/>
      <c r="Q184" s="594"/>
      <c r="R184" s="594"/>
      <c r="S184" s="594"/>
      <c r="T184" s="594"/>
      <c r="U184" s="594" t="s">
        <v>595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60" type="noConversion"/>
  <printOptions horizontalCentered="1"/>
  <pageMargins left="0.7" right="0.7" top="0.75" bottom="0.75" header="0.3" footer="0.3"/>
  <pageSetup fitToWidth="2" fitToHeight="2" orientation="portrait" r:id="rId1"/>
  <headerFooter scaleWithDoc="0">
    <oddHeader>&amp;RExhibit No. __(EMA-2)</oddHeader>
    <oddFooter>&amp;RPage &amp;P of &amp;N</oddFooter>
  </headerFooter>
  <colBreaks count="1" manualBreakCount="1">
    <brk id="7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zoomScale="85" zoomScaleNormal="115" zoomScaleSheetLayoutView="85" workbookViewId="0">
      <pane xSplit="4" ySplit="5" topLeftCell="E6" activePane="bottomRight" state="frozen"/>
      <selection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12.42578125" defaultRowHeight="11.1" customHeight="1"/>
  <cols>
    <col min="1" max="1" width="7.42578125" style="49" customWidth="1"/>
    <col min="2" max="2" width="2.42578125" style="49" customWidth="1"/>
    <col min="3" max="3" width="33.7109375" style="188" customWidth="1"/>
    <col min="4" max="4" width="1.28515625" style="46" customWidth="1"/>
    <col min="5" max="5" width="11.85546875" style="186" customWidth="1"/>
    <col min="6" max="6" width="11.5703125" style="138" customWidth="1"/>
    <col min="7" max="7" width="11.140625" style="190" customWidth="1"/>
    <col min="8" max="8" width="11.42578125" style="190" customWidth="1"/>
    <col min="9" max="9" width="9.5703125" style="190" customWidth="1"/>
    <col min="10" max="10" width="12.5703125" style="190" customWidth="1"/>
    <col min="11" max="11" width="11.28515625" style="191" customWidth="1"/>
    <col min="12" max="12" width="0.7109375" style="191" customWidth="1"/>
    <col min="13" max="13" width="9.5703125" style="189" customWidth="1"/>
    <col min="14" max="14" width="0.85546875" style="189" customWidth="1"/>
    <col min="15" max="15" width="12.140625" style="189" customWidth="1"/>
    <col min="16" max="16" width="12.5703125" style="188" customWidth="1"/>
    <col min="17" max="17" width="0.85546875" style="188" customWidth="1"/>
    <col min="18" max="18" width="11.85546875" style="49" customWidth="1"/>
    <col min="19" max="19" width="8.5703125" style="188" customWidth="1"/>
    <col min="20" max="20" width="9.5703125" style="188" customWidth="1"/>
    <col min="21" max="21" width="10.85546875" style="188" customWidth="1"/>
    <col min="22" max="22" width="12.5703125" style="188" customWidth="1"/>
    <col min="23" max="23" width="12.5703125" style="186" customWidth="1"/>
    <col min="24" max="24" width="15.7109375" style="49" customWidth="1"/>
    <col min="25" max="25" width="14.28515625" style="49" customWidth="1"/>
    <col min="26" max="16384" width="12.42578125" style="49"/>
  </cols>
  <sheetData>
    <row r="1" spans="1:28" s="48" customFormat="1" ht="6" customHeight="1"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785"/>
    </row>
    <row r="2" spans="1:28" s="48" customFormat="1" ht="19.5" thickBot="1">
      <c r="A2" s="246" t="s">
        <v>95</v>
      </c>
      <c r="B2" s="919" t="s">
        <v>638</v>
      </c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20"/>
      <c r="U2" s="920"/>
      <c r="V2" s="920"/>
      <c r="W2" s="786"/>
    </row>
    <row r="3" spans="1:28" s="122" customFormat="1" ht="21" thickBot="1">
      <c r="B3" s="497"/>
      <c r="C3" s="489" t="s">
        <v>471</v>
      </c>
      <c r="D3" s="498"/>
      <c r="E3" s="921" t="s">
        <v>245</v>
      </c>
      <c r="F3" s="922"/>
      <c r="G3" s="922"/>
      <c r="H3" s="922"/>
      <c r="I3" s="922"/>
      <c r="J3" s="922"/>
      <c r="K3" s="923"/>
      <c r="L3" s="487"/>
      <c r="M3" s="488"/>
      <c r="N3" s="488"/>
      <c r="O3" s="489" t="s">
        <v>251</v>
      </c>
      <c r="P3" s="490"/>
      <c r="Q3" s="491"/>
      <c r="R3" s="921" t="s">
        <v>591</v>
      </c>
      <c r="S3" s="922"/>
      <c r="T3" s="922"/>
      <c r="U3" s="924"/>
      <c r="V3" s="784"/>
      <c r="W3" s="240"/>
      <c r="Z3" s="244"/>
    </row>
    <row r="4" spans="1:28" s="48" customFormat="1" ht="94.5" customHeight="1">
      <c r="A4" s="208" t="s">
        <v>726</v>
      </c>
      <c r="B4" s="50"/>
      <c r="C4" s="820" t="s">
        <v>4</v>
      </c>
      <c r="D4" s="814"/>
      <c r="E4" s="821" t="s">
        <v>735</v>
      </c>
      <c r="F4" s="632" t="s">
        <v>636</v>
      </c>
      <c r="G4" s="632" t="s">
        <v>717</v>
      </c>
      <c r="H4" s="632" t="s">
        <v>719</v>
      </c>
      <c r="I4" s="632" t="s">
        <v>637</v>
      </c>
      <c r="J4" s="632" t="s">
        <v>493</v>
      </c>
      <c r="K4" s="822" t="s">
        <v>734</v>
      </c>
      <c r="L4" s="822"/>
      <c r="M4" s="822" t="s">
        <v>409</v>
      </c>
      <c r="N4" s="822"/>
      <c r="O4" s="822" t="s">
        <v>727</v>
      </c>
      <c r="P4" s="823" t="s">
        <v>728</v>
      </c>
      <c r="Q4" s="823"/>
      <c r="R4" s="823" t="s">
        <v>736</v>
      </c>
      <c r="S4" s="823" t="s">
        <v>474</v>
      </c>
      <c r="T4" s="823" t="s">
        <v>730</v>
      </c>
      <c r="U4" s="823" t="s">
        <v>731</v>
      </c>
      <c r="V4" s="824" t="s">
        <v>733</v>
      </c>
      <c r="W4" s="873"/>
      <c r="X4" s="787" t="s">
        <v>722</v>
      </c>
      <c r="Y4" s="787" t="s">
        <v>616</v>
      </c>
    </row>
    <row r="5" spans="1:28" ht="15.75">
      <c r="B5" s="45"/>
      <c r="C5" s="45"/>
      <c r="D5" s="83"/>
      <c r="E5" s="241" t="s">
        <v>120</v>
      </c>
      <c r="F5" s="504" t="s">
        <v>121</v>
      </c>
      <c r="G5" s="504" t="s">
        <v>281</v>
      </c>
      <c r="H5" s="504" t="s">
        <v>122</v>
      </c>
      <c r="I5" s="240" t="s">
        <v>282</v>
      </c>
      <c r="J5" s="240" t="s">
        <v>283</v>
      </c>
      <c r="K5" s="242" t="s">
        <v>284</v>
      </c>
      <c r="L5" s="47"/>
      <c r="M5" s="242" t="s">
        <v>285</v>
      </c>
      <c r="N5" s="48"/>
      <c r="O5" s="242" t="s">
        <v>286</v>
      </c>
      <c r="P5" s="242" t="s">
        <v>287</v>
      </c>
      <c r="Q5" s="49"/>
      <c r="R5" s="242" t="s">
        <v>389</v>
      </c>
      <c r="S5" s="242" t="s">
        <v>613</v>
      </c>
      <c r="T5" s="242" t="s">
        <v>614</v>
      </c>
      <c r="U5" s="242" t="s">
        <v>718</v>
      </c>
      <c r="V5" s="242" t="s">
        <v>732</v>
      </c>
      <c r="W5" s="242"/>
      <c r="X5" s="495" t="s">
        <v>721</v>
      </c>
      <c r="Y5" s="495">
        <v>2017</v>
      </c>
    </row>
    <row r="6" spans="1:28" ht="15.75" customHeight="1">
      <c r="B6" s="794" t="s">
        <v>0</v>
      </c>
      <c r="C6" s="795"/>
      <c r="D6" s="796"/>
      <c r="E6" s="797"/>
      <c r="F6" s="798"/>
      <c r="G6" s="798"/>
      <c r="H6" s="798"/>
      <c r="I6" s="798"/>
      <c r="J6" s="798"/>
      <c r="K6" s="886"/>
      <c r="L6" s="886"/>
      <c r="M6" s="794"/>
      <c r="N6" s="794"/>
      <c r="O6" s="794"/>
      <c r="P6" s="795"/>
      <c r="Q6" s="795"/>
      <c r="R6" s="795"/>
      <c r="S6" s="795"/>
      <c r="T6" s="795"/>
      <c r="U6" s="795"/>
      <c r="V6" s="795"/>
      <c r="W6" s="796"/>
    </row>
    <row r="7" spans="1:28" ht="15.75" customHeight="1">
      <c r="A7" s="787">
        <v>1</v>
      </c>
      <c r="B7" s="794" t="s">
        <v>84</v>
      </c>
      <c r="C7" s="794"/>
      <c r="D7" s="796"/>
      <c r="E7" s="799">
        <f>'CBR Hist'!U13</f>
        <v>499323</v>
      </c>
      <c r="F7" s="799"/>
      <c r="G7" s="799"/>
      <c r="H7" s="799"/>
      <c r="I7" s="799"/>
      <c r="J7" s="799">
        <v>-5179</v>
      </c>
      <c r="K7" s="800">
        <f>SUM(E7:J7)</f>
        <v>494144</v>
      </c>
      <c r="L7" s="800"/>
      <c r="M7" s="801">
        <f>'Weighted Revenue Growth'!J25</f>
        <v>1.5631666381604074E-2</v>
      </c>
      <c r="N7" s="801"/>
      <c r="O7" s="800"/>
      <c r="P7" s="802">
        <f>K7</f>
        <v>494144</v>
      </c>
      <c r="Q7" s="802"/>
      <c r="R7" s="799"/>
      <c r="S7" s="799">
        <f>'incremental load expense'!E10</f>
        <v>7724.2941524713633</v>
      </c>
      <c r="T7" s="799"/>
      <c r="U7" s="799"/>
      <c r="V7" s="802">
        <f>P7+R7+S7+U7+T7</f>
        <v>501868.29415247135</v>
      </c>
      <c r="W7" s="799"/>
      <c r="X7" s="196">
        <f>V7/$V$90</f>
        <v>494144</v>
      </c>
      <c r="Y7" s="196">
        <v>494144</v>
      </c>
      <c r="Z7" s="196">
        <f>X7-Y7</f>
        <v>0</v>
      </c>
    </row>
    <row r="8" spans="1:28" ht="15.75" customHeight="1">
      <c r="A8" s="787">
        <v>2</v>
      </c>
      <c r="B8" s="794" t="s">
        <v>83</v>
      </c>
      <c r="C8" s="794"/>
      <c r="D8" s="796"/>
      <c r="E8" s="799">
        <f>'CBR Hist'!U14</f>
        <v>920</v>
      </c>
      <c r="F8" s="799"/>
      <c r="G8" s="799"/>
      <c r="H8" s="799"/>
      <c r="I8" s="799"/>
      <c r="J8" s="799">
        <v>0</v>
      </c>
      <c r="K8" s="800">
        <f>SUM(E8:J8)</f>
        <v>920</v>
      </c>
      <c r="L8" s="800"/>
      <c r="M8" s="801">
        <f>M7</f>
        <v>1.5631666381604074E-2</v>
      </c>
      <c r="N8" s="801"/>
      <c r="O8" s="800"/>
      <c r="P8" s="802">
        <f>K8</f>
        <v>920</v>
      </c>
      <c r="Q8" s="802"/>
      <c r="R8" s="802"/>
      <c r="S8" s="799">
        <f>'incremental load expense'!E11</f>
        <v>14.381133071075748</v>
      </c>
      <c r="T8" s="799"/>
      <c r="U8" s="799"/>
      <c r="V8" s="802">
        <f>P8+R8+S8+U8+T8</f>
        <v>934.38113307107574</v>
      </c>
      <c r="W8" s="799"/>
      <c r="X8" s="196">
        <f>V8/$V$90</f>
        <v>920</v>
      </c>
      <c r="Y8" s="196">
        <v>920</v>
      </c>
      <c r="Z8" s="196">
        <f t="shared" ref="Z8:Z41" si="0">X8-Y8</f>
        <v>0</v>
      </c>
    </row>
    <row r="9" spans="1:28" ht="15.75" customHeight="1">
      <c r="A9" s="787">
        <v>3</v>
      </c>
      <c r="B9" s="794" t="s">
        <v>82</v>
      </c>
      <c r="C9" s="794"/>
      <c r="D9" s="796"/>
      <c r="E9" s="799">
        <f>'CBR Hist'!U15</f>
        <v>65944</v>
      </c>
      <c r="F9" s="803">
        <f>-ROUND('09.2015 CB Power Supply'!F11,0)</f>
        <v>-65944</v>
      </c>
      <c r="G9" s="799"/>
      <c r="H9" s="799"/>
      <c r="I9" s="799"/>
      <c r="J9" s="799">
        <v>0</v>
      </c>
      <c r="K9" s="800">
        <f>SUM(E9:J9)</f>
        <v>0</v>
      </c>
      <c r="L9" s="804"/>
      <c r="M9" s="805"/>
      <c r="N9" s="805"/>
      <c r="O9" s="806"/>
      <c r="P9" s="803"/>
      <c r="Q9" s="803"/>
      <c r="R9" s="803">
        <f>ROUND('PF Power Supply 09.2015 load'!F11,0)</f>
        <v>37211</v>
      </c>
      <c r="S9" s="799">
        <f>'incremental load expense'!E12</f>
        <v>-2489</v>
      </c>
      <c r="T9" s="799"/>
      <c r="U9" s="803"/>
      <c r="V9" s="803">
        <f>P9+R9+S9+U9+T9</f>
        <v>34722</v>
      </c>
      <c r="W9" s="799"/>
      <c r="X9" s="789">
        <f>V9/$V$90</f>
        <v>34187.590983357419</v>
      </c>
      <c r="Y9" s="789">
        <v>39092</v>
      </c>
      <c r="Z9" s="789">
        <f>X9-Y9</f>
        <v>-4904.4090166425813</v>
      </c>
    </row>
    <row r="10" spans="1:28" ht="15.75" customHeight="1">
      <c r="A10" s="787">
        <v>4</v>
      </c>
      <c r="B10" s="794" t="s">
        <v>249</v>
      </c>
      <c r="C10" s="794"/>
      <c r="D10" s="796"/>
      <c r="E10" s="807">
        <f>SUM(E7:E9)</f>
        <v>566187</v>
      </c>
      <c r="F10" s="800">
        <f>F9+F8+F7</f>
        <v>-65944</v>
      </c>
      <c r="G10" s="808"/>
      <c r="H10" s="808"/>
      <c r="I10" s="808"/>
      <c r="J10" s="808">
        <f>J9+J8+J7</f>
        <v>-5179</v>
      </c>
      <c r="K10" s="808">
        <f>K9+K8+K7</f>
        <v>495064</v>
      </c>
      <c r="L10" s="800"/>
      <c r="M10" s="801"/>
      <c r="N10" s="801"/>
      <c r="O10" s="802"/>
      <c r="P10" s="808">
        <f>P9+P8+P7</f>
        <v>495064</v>
      </c>
      <c r="Q10" s="802"/>
      <c r="R10" s="802">
        <f>R7+R8+R9</f>
        <v>37211</v>
      </c>
      <c r="S10" s="807">
        <f>S7+S8+S9</f>
        <v>5249.6752855424393</v>
      </c>
      <c r="T10" s="807">
        <f>T7+T8+T9</f>
        <v>0</v>
      </c>
      <c r="U10" s="802"/>
      <c r="V10" s="802">
        <f>V7+V8+V9</f>
        <v>537524.67528554238</v>
      </c>
      <c r="W10" s="799"/>
      <c r="X10" s="196">
        <f>X7+X8+X9</f>
        <v>529251.5909833574</v>
      </c>
      <c r="Y10" s="802">
        <f>Y7+Y8+Y9</f>
        <v>534156</v>
      </c>
      <c r="Z10" s="196">
        <f t="shared" si="0"/>
        <v>-4904.4090166426031</v>
      </c>
    </row>
    <row r="11" spans="1:28" ht="15.75" customHeight="1">
      <c r="A11" s="787">
        <v>5</v>
      </c>
      <c r="B11" s="794" t="s">
        <v>80</v>
      </c>
      <c r="C11" s="794"/>
      <c r="D11" s="796"/>
      <c r="E11" s="799">
        <f>'CBR Hist'!U17</f>
        <v>12625</v>
      </c>
      <c r="F11" s="803">
        <f>-ROUND(SUM('09.2015 CB Power Supply'!F12:F18),0)</f>
        <v>-11316</v>
      </c>
      <c r="G11" s="799"/>
      <c r="H11" s="799"/>
      <c r="I11" s="799"/>
      <c r="J11" s="799">
        <f>382+1500</f>
        <v>1882</v>
      </c>
      <c r="K11" s="800">
        <f>SUM(E11:J11)</f>
        <v>3191</v>
      </c>
      <c r="L11" s="804"/>
      <c r="M11" s="805">
        <v>0</v>
      </c>
      <c r="N11" s="805"/>
      <c r="O11" s="804"/>
      <c r="P11" s="803">
        <f>K11</f>
        <v>3191</v>
      </c>
      <c r="Q11" s="803"/>
      <c r="R11" s="803">
        <f>ROUND('PF Power Supply 09.2015 load'!F19-R9,0)</f>
        <v>10932</v>
      </c>
      <c r="S11" s="799">
        <f>'incremental load expense'!E14</f>
        <v>0</v>
      </c>
      <c r="T11" s="799"/>
      <c r="U11" s="803"/>
      <c r="V11" s="803">
        <f>K11+R11+S11+T11+U11</f>
        <v>14123</v>
      </c>
      <c r="W11" s="799"/>
      <c r="X11" s="789">
        <f>V11/$V$90</f>
        <v>13905.631802832695</v>
      </c>
      <c r="Y11" s="789">
        <v>12240</v>
      </c>
      <c r="Z11" s="789">
        <f t="shared" si="0"/>
        <v>1665.631802832695</v>
      </c>
    </row>
    <row r="12" spans="1:28" ht="15.75">
      <c r="A12" s="787">
        <v>6</v>
      </c>
      <c r="B12" s="794" t="s">
        <v>79</v>
      </c>
      <c r="C12" s="794"/>
      <c r="D12" s="809"/>
      <c r="E12" s="807">
        <f>E10+E11</f>
        <v>578812</v>
      </c>
      <c r="F12" s="799">
        <f>F11+F10</f>
        <v>-77260</v>
      </c>
      <c r="G12" s="807">
        <f>G11+G10</f>
        <v>0</v>
      </c>
      <c r="H12" s="807">
        <f>H11+H10</f>
        <v>0</v>
      </c>
      <c r="I12" s="807">
        <f>I11+I10</f>
        <v>0</v>
      </c>
      <c r="J12" s="807">
        <f>J11+J10</f>
        <v>-3297</v>
      </c>
      <c r="K12" s="808">
        <f>K10+K11</f>
        <v>498255</v>
      </c>
      <c r="L12" s="800"/>
      <c r="M12" s="801"/>
      <c r="N12" s="801"/>
      <c r="O12" s="799"/>
      <c r="P12" s="808">
        <f>P10+P11</f>
        <v>498255</v>
      </c>
      <c r="Q12" s="799"/>
      <c r="R12" s="799">
        <f>R11+R10</f>
        <v>48143</v>
      </c>
      <c r="S12" s="807">
        <f>S11+S10</f>
        <v>5249.6752855424393</v>
      </c>
      <c r="T12" s="807">
        <f>T11+T10</f>
        <v>0</v>
      </c>
      <c r="U12" s="799"/>
      <c r="V12" s="799">
        <f>V11+V10</f>
        <v>551647.67528554238</v>
      </c>
      <c r="W12" s="799"/>
      <c r="X12" s="192">
        <f>X11+X10</f>
        <v>543157.2227861901</v>
      </c>
      <c r="Y12" s="799">
        <f>Y11+Y10</f>
        <v>546396</v>
      </c>
      <c r="Z12" s="192">
        <f>X12-Y12</f>
        <v>-3238.7772138098953</v>
      </c>
      <c r="AB12" s="49" t="s">
        <v>723</v>
      </c>
    </row>
    <row r="13" spans="1:28" ht="6" customHeight="1">
      <c r="A13" s="495"/>
      <c r="B13" s="794"/>
      <c r="C13" s="794"/>
      <c r="D13" s="809"/>
      <c r="E13" s="799"/>
      <c r="F13" s="799"/>
      <c r="G13" s="799"/>
      <c r="H13" s="799"/>
      <c r="I13" s="799"/>
      <c r="J13" s="799"/>
      <c r="K13" s="800"/>
      <c r="L13" s="800"/>
      <c r="M13" s="801"/>
      <c r="N13" s="801"/>
      <c r="O13" s="810"/>
      <c r="P13" s="802"/>
      <c r="Q13" s="802"/>
      <c r="R13" s="799"/>
      <c r="S13" s="799"/>
      <c r="T13" s="799"/>
      <c r="U13" s="799"/>
      <c r="V13" s="802"/>
      <c r="W13" s="799"/>
      <c r="X13" s="196"/>
      <c r="Y13" s="196"/>
      <c r="Z13" s="196">
        <f t="shared" si="0"/>
        <v>0</v>
      </c>
    </row>
    <row r="14" spans="1:28" ht="15.75" customHeight="1">
      <c r="A14" s="787"/>
      <c r="B14" s="794" t="s">
        <v>78</v>
      </c>
      <c r="C14" s="794"/>
      <c r="D14" s="809"/>
      <c r="E14" s="799"/>
      <c r="F14" s="799"/>
      <c r="G14" s="799"/>
      <c r="H14" s="799"/>
      <c r="I14" s="799"/>
      <c r="J14" s="799"/>
      <c r="K14" s="800"/>
      <c r="L14" s="800"/>
      <c r="M14" s="801"/>
      <c r="N14" s="801"/>
      <c r="O14" s="811"/>
      <c r="P14" s="802"/>
      <c r="Q14" s="802"/>
      <c r="R14" s="799"/>
      <c r="S14" s="799"/>
      <c r="T14" s="799"/>
      <c r="U14" s="799"/>
      <c r="V14" s="802"/>
      <c r="W14" s="799"/>
      <c r="X14" s="196"/>
      <c r="Y14" s="196"/>
      <c r="Z14" s="196">
        <f t="shared" si="0"/>
        <v>0</v>
      </c>
      <c r="AB14" s="791">
        <f>Z24+Z30+Z31+Z35</f>
        <v>1799.436186752911</v>
      </c>
    </row>
    <row r="15" spans="1:28" ht="15.75" customHeight="1" thickBot="1">
      <c r="A15" s="787"/>
      <c r="B15" s="794" t="s">
        <v>77</v>
      </c>
      <c r="C15" s="794"/>
      <c r="D15" s="809"/>
      <c r="E15" s="799"/>
      <c r="F15" s="799"/>
      <c r="G15" s="799"/>
      <c r="H15" s="799"/>
      <c r="I15" s="799"/>
      <c r="J15" s="799"/>
      <c r="K15" s="800"/>
      <c r="L15" s="800"/>
      <c r="M15" s="801"/>
      <c r="N15" s="801"/>
      <c r="O15" s="812"/>
      <c r="P15" s="802"/>
      <c r="Q15" s="802"/>
      <c r="R15" s="799"/>
      <c r="S15" s="799"/>
      <c r="T15" s="799"/>
      <c r="U15" s="799"/>
      <c r="V15" s="802"/>
      <c r="W15" s="799"/>
      <c r="X15" s="196"/>
      <c r="Y15" s="196"/>
      <c r="Z15" s="196">
        <f t="shared" si="0"/>
        <v>0</v>
      </c>
      <c r="AB15" s="49" t="s">
        <v>724</v>
      </c>
    </row>
    <row r="16" spans="1:28" ht="15.75" customHeight="1" thickBot="1">
      <c r="A16" s="787">
        <v>7</v>
      </c>
      <c r="B16" s="794"/>
      <c r="C16" s="794" t="s">
        <v>738</v>
      </c>
      <c r="D16" s="809"/>
      <c r="E16" s="799">
        <f>'CBR Hist'!U22</f>
        <v>128239</v>
      </c>
      <c r="F16" s="799">
        <f>-ROUND('09.2015 CB Power Supply'!F36-'09.2015 CB Power Supply'!F26,0)</f>
        <v>-77563</v>
      </c>
      <c r="G16" s="799">
        <f>-363+822</f>
        <v>459</v>
      </c>
      <c r="H16" s="799"/>
      <c r="I16" s="799"/>
      <c r="J16" s="799">
        <v>0</v>
      </c>
      <c r="K16" s="800">
        <f>SUM(E16:J16)</f>
        <v>51135</v>
      </c>
      <c r="L16" s="800"/>
      <c r="M16" s="884">
        <f>'Adj Operating Exp-2007-2015'!B8</f>
        <v>7.9976467748747962E-2</v>
      </c>
      <c r="N16" s="813"/>
      <c r="O16" s="800">
        <f>M16*K16</f>
        <v>4089.5966783322269</v>
      </c>
      <c r="P16" s="802">
        <f>O16+K16</f>
        <v>55224.596678332229</v>
      </c>
      <c r="Q16" s="802"/>
      <c r="R16" s="799">
        <f>ROUND('PF Power Supply 09.2015 load'!F33-R17,0)</f>
        <v>80894</v>
      </c>
      <c r="S16" s="799">
        <f>'incremental load expense'!E19</f>
        <v>0</v>
      </c>
      <c r="T16" s="799"/>
      <c r="U16" s="799"/>
      <c r="V16" s="802">
        <f>P16+R16+S16+U16+T16</f>
        <v>136118.59667833222</v>
      </c>
      <c r="W16" s="799"/>
      <c r="X16" s="196">
        <f>V16/$V$90</f>
        <v>134023.58471480376</v>
      </c>
      <c r="Y16" s="196">
        <v>157021</v>
      </c>
      <c r="Z16" s="196">
        <f t="shared" si="0"/>
        <v>-22997.415285196243</v>
      </c>
      <c r="AB16" s="791">
        <f>Z18+Z25+Z36</f>
        <v>-9031.2604974912574</v>
      </c>
    </row>
    <row r="17" spans="1:28" ht="15.75" customHeight="1" thickBot="1">
      <c r="A17" s="787">
        <v>8</v>
      </c>
      <c r="B17" s="794"/>
      <c r="C17" s="794" t="s">
        <v>76</v>
      </c>
      <c r="D17" s="809"/>
      <c r="E17" s="799">
        <f>'CBR Hist'!U23</f>
        <v>96496</v>
      </c>
      <c r="F17" s="799">
        <f>-ROUND('09.2015 CB Power Supply'!F26,0)</f>
        <v>-96496</v>
      </c>
      <c r="G17" s="799"/>
      <c r="H17" s="799"/>
      <c r="I17" s="799"/>
      <c r="J17" s="799">
        <v>0</v>
      </c>
      <c r="K17" s="800">
        <f>SUM(E17:J17)</f>
        <v>0</v>
      </c>
      <c r="L17" s="800"/>
      <c r="M17" s="801"/>
      <c r="N17" s="801"/>
      <c r="O17" s="800">
        <f>M17*K17</f>
        <v>0</v>
      </c>
      <c r="P17" s="802">
        <f>O17+K17</f>
        <v>0</v>
      </c>
      <c r="Q17" s="802"/>
      <c r="R17" s="799">
        <f>ROUND('PF Power Supply 09.2015 load'!F26,0)</f>
        <v>71041</v>
      </c>
      <c r="S17" s="799">
        <f>'incremental load expense'!E20</f>
        <v>831</v>
      </c>
      <c r="T17" s="799"/>
      <c r="U17" s="799"/>
      <c r="V17" s="802">
        <f>P17+R17+S17+U17+T17</f>
        <v>71872</v>
      </c>
      <c r="W17" s="799"/>
      <c r="X17" s="196">
        <f>V17/$V$90</f>
        <v>70765.812428888443</v>
      </c>
      <c r="Y17" s="196">
        <v>47050</v>
      </c>
      <c r="Z17" s="196">
        <f t="shared" si="0"/>
        <v>23715.812428888443</v>
      </c>
    </row>
    <row r="18" spans="1:28" ht="15.75" customHeight="1" thickBot="1">
      <c r="A18" s="787">
        <v>9</v>
      </c>
      <c r="B18" s="794"/>
      <c r="C18" s="794" t="s">
        <v>136</v>
      </c>
      <c r="D18" s="809"/>
      <c r="E18" s="799">
        <f>'CBR Hist'!U24</f>
        <v>24379</v>
      </c>
      <c r="F18" s="799"/>
      <c r="G18" s="799"/>
      <c r="H18" s="799"/>
      <c r="I18" s="799">
        <f>75+99</f>
        <v>174</v>
      </c>
      <c r="J18" s="799">
        <v>0</v>
      </c>
      <c r="K18" s="800">
        <f>SUM(E18:J18)</f>
        <v>24553</v>
      </c>
      <c r="L18" s="800"/>
      <c r="M18" s="884">
        <f>'Dep-Amort'!B8</f>
        <v>9.0980531708257345E-2</v>
      </c>
      <c r="N18" s="813"/>
      <c r="O18" s="800">
        <f>M18*K18</f>
        <v>2233.8449950328427</v>
      </c>
      <c r="P18" s="802">
        <f>O18+K18</f>
        <v>26786.844995032843</v>
      </c>
      <c r="Q18" s="802"/>
      <c r="R18" s="799">
        <v>0</v>
      </c>
      <c r="S18" s="799"/>
      <c r="T18" s="799">
        <f>1333</f>
        <v>1333</v>
      </c>
      <c r="U18" s="799"/>
      <c r="V18" s="802">
        <f>P18+R18+S18+U18+T18</f>
        <v>28119.844995032843</v>
      </c>
      <c r="W18" s="799"/>
      <c r="X18" s="196">
        <f>V18/$V$90</f>
        <v>27687.050262242759</v>
      </c>
      <c r="Y18" s="196">
        <v>27986</v>
      </c>
      <c r="Z18" s="196">
        <f t="shared" si="0"/>
        <v>-298.94973775724065</v>
      </c>
      <c r="AA18" s="486"/>
      <c r="AB18" s="49" t="s">
        <v>725</v>
      </c>
    </row>
    <row r="19" spans="1:28" ht="15.75" customHeight="1" thickBot="1">
      <c r="A19" s="787">
        <v>10</v>
      </c>
      <c r="B19" s="794"/>
      <c r="C19" s="794" t="s">
        <v>137</v>
      </c>
      <c r="D19" s="809"/>
      <c r="E19" s="799">
        <f>'CBR Hist'!U25</f>
        <v>6584</v>
      </c>
      <c r="F19" s="799"/>
      <c r="G19" s="799">
        <f>-1360-393</f>
        <v>-1753</v>
      </c>
      <c r="H19" s="799"/>
      <c r="I19" s="799"/>
      <c r="J19" s="799">
        <v>0</v>
      </c>
      <c r="K19" s="800">
        <f>SUM(E19:J19)</f>
        <v>4831</v>
      </c>
      <c r="L19" s="800"/>
      <c r="M19" s="813">
        <v>0</v>
      </c>
      <c r="N19" s="813"/>
      <c r="O19" s="800">
        <f>M19*K19</f>
        <v>0</v>
      </c>
      <c r="P19" s="802">
        <f>O19+K19</f>
        <v>4831</v>
      </c>
      <c r="Q19" s="802"/>
      <c r="R19" s="799">
        <v>0</v>
      </c>
      <c r="S19" s="799"/>
      <c r="T19" s="799"/>
      <c r="U19" s="799"/>
      <c r="V19" s="802">
        <f>P19+R19+S19+U19+T19</f>
        <v>4831</v>
      </c>
      <c r="W19" s="799"/>
      <c r="X19" s="196">
        <f>V19/$V$90</f>
        <v>4756.6457013017598</v>
      </c>
      <c r="Y19" s="196">
        <v>4831</v>
      </c>
      <c r="Z19" s="196">
        <f t="shared" si="0"/>
        <v>-74.3542986982402</v>
      </c>
      <c r="AB19" s="51">
        <f>Z16+Z17+Z20+Z26+Z27+Z19</f>
        <v>2216.3399556766972</v>
      </c>
    </row>
    <row r="20" spans="1:28" ht="15.75" customHeight="1" thickBot="1">
      <c r="A20" s="787">
        <v>11</v>
      </c>
      <c r="B20" s="794"/>
      <c r="C20" s="814" t="s">
        <v>68</v>
      </c>
      <c r="D20" s="809"/>
      <c r="E20" s="799">
        <f>'CBR Hist'!U26</f>
        <v>13712</v>
      </c>
      <c r="F20" s="803"/>
      <c r="G20" s="799"/>
      <c r="H20" s="799"/>
      <c r="I20" s="799"/>
      <c r="J20" s="799">
        <v>0</v>
      </c>
      <c r="K20" s="800">
        <f>SUM(E20:J20)</f>
        <v>13712</v>
      </c>
      <c r="L20" s="804"/>
      <c r="M20" s="884">
        <f>'Adj Taxes'!B8</f>
        <v>0.10530222179101581</v>
      </c>
      <c r="N20" s="805"/>
      <c r="O20" s="804">
        <f>M20*K20</f>
        <v>1443.9040651984087</v>
      </c>
      <c r="P20" s="803">
        <f>O20+K20</f>
        <v>15155.904065198409</v>
      </c>
      <c r="Q20" s="803"/>
      <c r="R20" s="803"/>
      <c r="S20" s="803"/>
      <c r="T20" s="803"/>
      <c r="U20" s="803"/>
      <c r="V20" s="803">
        <f>P20+R20+S20+U20+T20</f>
        <v>15155.904065198409</v>
      </c>
      <c r="W20" s="799"/>
      <c r="X20" s="789">
        <f>V20/$V$90</f>
        <v>14922.638360808916</v>
      </c>
      <c r="Y20" s="789">
        <v>15150</v>
      </c>
      <c r="Z20" s="789">
        <f t="shared" si="0"/>
        <v>-227.36163919108367</v>
      </c>
    </row>
    <row r="21" spans="1:28" ht="15.75" customHeight="1">
      <c r="A21" s="787">
        <v>12</v>
      </c>
      <c r="B21" s="794"/>
      <c r="C21" s="815" t="s">
        <v>239</v>
      </c>
      <c r="D21" s="796"/>
      <c r="E21" s="807">
        <f>SUM(E16:E20)</f>
        <v>269410</v>
      </c>
      <c r="F21" s="800">
        <f t="shared" ref="F21:K21" si="1">F16+F17+F18+F19+F20</f>
        <v>-174059</v>
      </c>
      <c r="G21" s="808">
        <f t="shared" si="1"/>
        <v>-1294</v>
      </c>
      <c r="H21" s="808">
        <f t="shared" si="1"/>
        <v>0</v>
      </c>
      <c r="I21" s="808">
        <f t="shared" si="1"/>
        <v>174</v>
      </c>
      <c r="J21" s="808">
        <f t="shared" si="1"/>
        <v>0</v>
      </c>
      <c r="K21" s="808">
        <f t="shared" si="1"/>
        <v>94231</v>
      </c>
      <c r="L21" s="800"/>
      <c r="M21" s="801"/>
      <c r="N21" s="801"/>
      <c r="O21" s="800">
        <f>O16+O17+O18+O19+O20</f>
        <v>7767.3457385634783</v>
      </c>
      <c r="P21" s="800">
        <f>P16+P17+P18+P19+P20</f>
        <v>101998.34573856348</v>
      </c>
      <c r="Q21" s="800"/>
      <c r="R21" s="800">
        <f>R16+R17+R18+R19+R20</f>
        <v>151935</v>
      </c>
      <c r="S21" s="800">
        <f>S16+S17+S18+S19+S20</f>
        <v>831</v>
      </c>
      <c r="T21" s="800">
        <f>T16+T17+T18+T19+T20</f>
        <v>1333</v>
      </c>
      <c r="U21" s="800">
        <f>U16+U17+U18+U19+U20</f>
        <v>0</v>
      </c>
      <c r="V21" s="800">
        <f>V16+V17+V18+V19+V20</f>
        <v>256097.34573856348</v>
      </c>
      <c r="W21" s="839"/>
      <c r="X21" s="193">
        <f>X16+X17+X18+X19+X20</f>
        <v>252155.73146804562</v>
      </c>
      <c r="Y21" s="193">
        <f>Y16+Y17+Y18+Y19+Y20</f>
        <v>252038</v>
      </c>
      <c r="Z21" s="193">
        <f t="shared" si="0"/>
        <v>117.73146804561839</v>
      </c>
    </row>
    <row r="22" spans="1:28" ht="15.75" customHeight="1">
      <c r="A22" s="787"/>
      <c r="B22" s="794"/>
      <c r="C22" s="814"/>
      <c r="D22" s="796"/>
      <c r="E22" s="799"/>
      <c r="F22" s="799"/>
      <c r="G22" s="799"/>
      <c r="H22" s="799"/>
      <c r="I22" s="799"/>
      <c r="J22" s="799"/>
      <c r="K22" s="800"/>
      <c r="L22" s="800"/>
      <c r="M22" s="801"/>
      <c r="N22" s="801"/>
      <c r="O22" s="811"/>
      <c r="P22" s="802"/>
      <c r="Q22" s="802"/>
      <c r="R22" s="799"/>
      <c r="S22" s="799"/>
      <c r="T22" s="799"/>
      <c r="U22" s="799"/>
      <c r="V22" s="802"/>
      <c r="W22" s="799"/>
      <c r="X22" s="51"/>
      <c r="Y22" s="51"/>
      <c r="Z22" s="51">
        <f t="shared" si="0"/>
        <v>0</v>
      </c>
    </row>
    <row r="23" spans="1:28" ht="15.75" customHeight="1">
      <c r="A23" s="787"/>
      <c r="B23" s="794" t="s">
        <v>55</v>
      </c>
      <c r="C23" s="814"/>
      <c r="D23" s="796"/>
      <c r="E23" s="799"/>
      <c r="F23" s="816"/>
      <c r="G23" s="816"/>
      <c r="H23" s="816"/>
      <c r="I23" s="816"/>
      <c r="J23" s="816"/>
      <c r="K23" s="800"/>
      <c r="L23" s="800"/>
      <c r="M23" s="801"/>
      <c r="N23" s="801"/>
      <c r="O23" s="811"/>
      <c r="P23" s="802"/>
      <c r="Q23" s="802"/>
      <c r="R23" s="799"/>
      <c r="S23" s="799"/>
      <c r="T23" s="799"/>
      <c r="U23" s="799"/>
      <c r="V23" s="802"/>
      <c r="W23" s="799"/>
      <c r="X23" s="51"/>
      <c r="Y23" s="51"/>
      <c r="Z23" s="51">
        <f t="shared" si="0"/>
        <v>0</v>
      </c>
    </row>
    <row r="24" spans="1:28" ht="15.75" customHeight="1">
      <c r="A24" s="787">
        <v>13</v>
      </c>
      <c r="B24" s="794"/>
      <c r="C24" s="794" t="s">
        <v>738</v>
      </c>
      <c r="D24" s="796"/>
      <c r="E24" s="799">
        <f>'CBR Hist'!U30</f>
        <v>22960</v>
      </c>
      <c r="F24" s="816"/>
      <c r="G24" s="799"/>
      <c r="H24" s="799"/>
      <c r="I24" s="799"/>
      <c r="J24" s="799">
        <v>0</v>
      </c>
      <c r="K24" s="800">
        <f>SUM(E24:J24)</f>
        <v>22960</v>
      </c>
      <c r="L24" s="800"/>
      <c r="M24" s="801">
        <f>M16</f>
        <v>7.9976467748747962E-2</v>
      </c>
      <c r="N24" s="801"/>
      <c r="O24" s="800">
        <f>M24*K24</f>
        <v>1836.2596995112533</v>
      </c>
      <c r="P24" s="802">
        <f>O24+K24</f>
        <v>24796.259699511254</v>
      </c>
      <c r="Q24" s="802"/>
      <c r="R24" s="799"/>
      <c r="S24" s="799"/>
      <c r="T24" s="799"/>
      <c r="U24" s="799"/>
      <c r="V24" s="802">
        <f>P24+R24+S24+U24+T24</f>
        <v>24796.259699511254</v>
      </c>
      <c r="W24" s="799"/>
      <c r="X24" s="196">
        <f>V24/$V$90</f>
        <v>24414.618527849776</v>
      </c>
      <c r="Y24" s="196">
        <v>23582</v>
      </c>
      <c r="Z24" s="196">
        <f t="shared" si="0"/>
        <v>832.618527849776</v>
      </c>
    </row>
    <row r="25" spans="1:28" ht="15.75" customHeight="1">
      <c r="A25" s="787">
        <v>14</v>
      </c>
      <c r="B25" s="794"/>
      <c r="C25" s="814" t="s">
        <v>138</v>
      </c>
      <c r="D25" s="796"/>
      <c r="E25" s="799">
        <f>'CBR Hist'!U31</f>
        <v>24945</v>
      </c>
      <c r="F25" s="816"/>
      <c r="G25" s="799"/>
      <c r="H25" s="799">
        <f>-918+834</f>
        <v>-84</v>
      </c>
      <c r="I25" s="799">
        <v>142</v>
      </c>
      <c r="J25" s="799">
        <v>0</v>
      </c>
      <c r="K25" s="800">
        <f>SUM(E25:J25)</f>
        <v>25003</v>
      </c>
      <c r="L25" s="800"/>
      <c r="M25" s="801">
        <f>M18</f>
        <v>9.0980531708257345E-2</v>
      </c>
      <c r="N25" s="801"/>
      <c r="O25" s="800">
        <f>M25*K25</f>
        <v>2274.7862343015586</v>
      </c>
      <c r="P25" s="802">
        <f>O25+K25</f>
        <v>27277.786234301559</v>
      </c>
      <c r="Q25" s="802"/>
      <c r="R25" s="799"/>
      <c r="S25" s="799"/>
      <c r="T25" s="799"/>
      <c r="U25" s="799">
        <v>1129</v>
      </c>
      <c r="V25" s="802">
        <f>P25+R25+S25+U25+T25</f>
        <v>28406.786234301559</v>
      </c>
      <c r="W25" s="799"/>
      <c r="X25" s="196">
        <f>V25/$V$90</f>
        <v>27969.575166464194</v>
      </c>
      <c r="Y25" s="196">
        <v>29218</v>
      </c>
      <c r="Z25" s="196">
        <f t="shared" si="0"/>
        <v>-1248.4248335358061</v>
      </c>
    </row>
    <row r="26" spans="1:28" ht="15.75" customHeight="1">
      <c r="A26" s="787">
        <v>15</v>
      </c>
      <c r="B26" s="794"/>
      <c r="C26" s="814" t="s">
        <v>327</v>
      </c>
      <c r="D26" s="796"/>
      <c r="E26" s="799">
        <v>0</v>
      </c>
      <c r="F26" s="816"/>
      <c r="G26" s="799"/>
      <c r="H26" s="799">
        <f>18551/15</f>
        <v>1236.7333333333333</v>
      </c>
      <c r="I26" s="799"/>
      <c r="J26" s="799"/>
      <c r="K26" s="800">
        <f>SUM(E26:J26)</f>
        <v>1236.7333333333333</v>
      </c>
      <c r="L26" s="800"/>
      <c r="M26" s="813">
        <v>0</v>
      </c>
      <c r="N26" s="801"/>
      <c r="O26" s="800">
        <v>0</v>
      </c>
      <c r="P26" s="802">
        <f>O26+K26</f>
        <v>1236.7333333333333</v>
      </c>
      <c r="Q26" s="802"/>
      <c r="R26" s="799"/>
      <c r="S26" s="799"/>
      <c r="T26" s="799"/>
      <c r="U26" s="799"/>
      <c r="V26" s="802">
        <f>P26+R26+S26+U26+T26</f>
        <v>1236.7333333333333</v>
      </c>
      <c r="W26" s="799"/>
      <c r="X26" s="196">
        <f>V26/$V$90</f>
        <v>1217.6986739094591</v>
      </c>
      <c r="Y26" s="196">
        <v>1236.7333333333333</v>
      </c>
      <c r="Z26" s="196">
        <f t="shared" si="0"/>
        <v>-19.034659423874245</v>
      </c>
    </row>
    <row r="27" spans="1:28" ht="15.75" customHeight="1">
      <c r="A27" s="787">
        <v>16</v>
      </c>
      <c r="B27" s="794"/>
      <c r="C27" s="814" t="s">
        <v>68</v>
      </c>
      <c r="D27" s="796"/>
      <c r="E27" s="799">
        <f>'CBR Hist'!U32</f>
        <v>27516</v>
      </c>
      <c r="F27" s="817"/>
      <c r="G27" s="799"/>
      <c r="H27" s="799"/>
      <c r="I27" s="799"/>
      <c r="J27" s="799">
        <f>ROUND(J7*ROR!L16,0)</f>
        <v>-199</v>
      </c>
      <c r="K27" s="800">
        <f>SUM(E27:J27)</f>
        <v>27317</v>
      </c>
      <c r="L27" s="804"/>
      <c r="M27" s="805">
        <f>M20</f>
        <v>0.10530222179101581</v>
      </c>
      <c r="N27" s="805"/>
      <c r="O27" s="804">
        <f>M27*K27</f>
        <v>2876.5407926651787</v>
      </c>
      <c r="P27" s="803">
        <f>O27+K27</f>
        <v>30193.540792665179</v>
      </c>
      <c r="Q27" s="803"/>
      <c r="R27" s="803"/>
      <c r="S27" s="799">
        <f>'incremental load expense'!E29</f>
        <v>297.44171221746052</v>
      </c>
      <c r="T27" s="799"/>
      <c r="U27" s="803"/>
      <c r="V27" s="803">
        <f>P27+R27+S27+U27+T27</f>
        <v>30490.982504882639</v>
      </c>
      <c r="W27" s="799"/>
      <c r="X27" s="789">
        <f>V27/$V$90</f>
        <v>30021.693409297695</v>
      </c>
      <c r="Y27" s="789">
        <v>28203</v>
      </c>
      <c r="Z27" s="789">
        <f t="shared" si="0"/>
        <v>1818.6934092976953</v>
      </c>
    </row>
    <row r="28" spans="1:28" ht="15.75" customHeight="1">
      <c r="A28" s="787">
        <v>17</v>
      </c>
      <c r="B28" s="794"/>
      <c r="C28" s="814" t="s">
        <v>240</v>
      </c>
      <c r="D28" s="796"/>
      <c r="E28" s="807">
        <f>SUM(E24:E27)</f>
        <v>75421</v>
      </c>
      <c r="F28" s="808">
        <f>F24+F25+F27</f>
        <v>0</v>
      </c>
      <c r="G28" s="808">
        <f>G24+G25+G27</f>
        <v>0</v>
      </c>
      <c r="H28" s="808">
        <f>H24+H25+H27+H26</f>
        <v>1152.7333333333333</v>
      </c>
      <c r="I28" s="808">
        <f>I24+I25+I27</f>
        <v>142</v>
      </c>
      <c r="J28" s="808">
        <f>J24+J25+J27</f>
        <v>-199</v>
      </c>
      <c r="K28" s="808">
        <f>SUM(K24:K27)</f>
        <v>76516.733333333337</v>
      </c>
      <c r="L28" s="800"/>
      <c r="M28" s="801"/>
      <c r="N28" s="801"/>
      <c r="O28" s="800">
        <f>O24+O25+O27+O26</f>
        <v>6987.5867264779909</v>
      </c>
      <c r="P28" s="800">
        <f>P24+P25+P27+P26</f>
        <v>83504.320059811333</v>
      </c>
      <c r="Q28" s="800"/>
      <c r="R28" s="800">
        <f>R24+R25+R27</f>
        <v>0</v>
      </c>
      <c r="S28" s="808">
        <f>S24+S25+S27</f>
        <v>297.44171221746052</v>
      </c>
      <c r="T28" s="808">
        <f>T24+T25+T27</f>
        <v>0</v>
      </c>
      <c r="U28" s="808">
        <f>U24+U25+U27</f>
        <v>1129</v>
      </c>
      <c r="V28" s="800">
        <f>V24+V25+V27+V26</f>
        <v>84930.761772028782</v>
      </c>
      <c r="W28" s="839"/>
      <c r="X28" s="193">
        <f>X24+X25+X27+X26</f>
        <v>83623.585777521119</v>
      </c>
      <c r="Y28" s="193">
        <f>Y24+Y25+Y27+Y26</f>
        <v>82239.733333333337</v>
      </c>
      <c r="Z28" s="193">
        <f t="shared" si="0"/>
        <v>1383.8524441877817</v>
      </c>
    </row>
    <row r="29" spans="1:28" ht="15.75" customHeight="1">
      <c r="A29" s="787"/>
      <c r="B29" s="794"/>
      <c r="C29" s="814"/>
      <c r="D29" s="796"/>
      <c r="E29" s="799"/>
      <c r="F29" s="796"/>
      <c r="G29" s="796"/>
      <c r="H29" s="796"/>
      <c r="I29" s="796"/>
      <c r="J29" s="796"/>
      <c r="K29" s="800"/>
      <c r="L29" s="800"/>
      <c r="M29" s="801"/>
      <c r="N29" s="801"/>
      <c r="O29" s="811"/>
      <c r="P29" s="802"/>
      <c r="Q29" s="802"/>
      <c r="R29" s="799"/>
      <c r="S29" s="799"/>
      <c r="T29" s="799"/>
      <c r="U29" s="799"/>
      <c r="V29" s="802"/>
      <c r="W29" s="799"/>
      <c r="X29" s="51"/>
      <c r="Y29" s="51"/>
      <c r="Z29" s="51">
        <f t="shared" si="0"/>
        <v>0</v>
      </c>
    </row>
    <row r="30" spans="1:28" ht="15.75" customHeight="1">
      <c r="A30" s="787">
        <f>A28+1</f>
        <v>18</v>
      </c>
      <c r="B30" s="794" t="s">
        <v>73</v>
      </c>
      <c r="C30" s="814"/>
      <c r="D30" s="796"/>
      <c r="E30" s="799">
        <f>'CBR Hist'!U35</f>
        <v>11631</v>
      </c>
      <c r="F30" s="799"/>
      <c r="G30" s="799"/>
      <c r="H30" s="799"/>
      <c r="I30" s="799"/>
      <c r="J30" s="799">
        <f>ROUND(J7*ROR!L12,0)</f>
        <v>-30</v>
      </c>
      <c r="K30" s="800">
        <f>SUM(E30:J30)</f>
        <v>11601</v>
      </c>
      <c r="L30" s="800"/>
      <c r="M30" s="801">
        <f>M16</f>
        <v>7.9976467748747962E-2</v>
      </c>
      <c r="N30" s="801"/>
      <c r="O30" s="800">
        <f>M30*K30</f>
        <v>927.80700235322513</v>
      </c>
      <c r="P30" s="802">
        <f>O30+K30</f>
        <v>12528.807002353225</v>
      </c>
      <c r="Q30" s="802"/>
      <c r="R30" s="799"/>
      <c r="S30" s="799">
        <f>'incremental load expense'!E32</f>
        <v>45.228059550965575</v>
      </c>
      <c r="T30" s="799"/>
      <c r="U30" s="799"/>
      <c r="V30" s="802">
        <f>P30+R30+S30+U30+T30</f>
        <v>12574.035061904191</v>
      </c>
      <c r="W30" s="799"/>
      <c r="X30" s="196">
        <f>V30/$V$90</f>
        <v>12380.507105200617</v>
      </c>
      <c r="Y30" s="196">
        <v>11901</v>
      </c>
      <c r="Z30" s="196">
        <f t="shared" si="0"/>
        <v>479.50710520061693</v>
      </c>
    </row>
    <row r="31" spans="1:28" ht="15.75" customHeight="1">
      <c r="A31" s="787">
        <v>19</v>
      </c>
      <c r="B31" s="794" t="s">
        <v>72</v>
      </c>
      <c r="C31" s="814"/>
      <c r="D31" s="796"/>
      <c r="E31" s="799">
        <f>'CBR Hist'!U36</f>
        <v>1519</v>
      </c>
      <c r="F31" s="799"/>
      <c r="G31" s="799"/>
      <c r="H31" s="799"/>
      <c r="I31" s="799"/>
      <c r="J31" s="799">
        <v>0</v>
      </c>
      <c r="K31" s="800">
        <f>SUM(E31:J31)</f>
        <v>1519</v>
      </c>
      <c r="L31" s="800"/>
      <c r="M31" s="801">
        <f>M16</f>
        <v>7.9976467748747962E-2</v>
      </c>
      <c r="N31" s="801"/>
      <c r="O31" s="800">
        <f>M31*K31</f>
        <v>121.48425451034815</v>
      </c>
      <c r="P31" s="802">
        <f>O31+K31</f>
        <v>1640.4842545103481</v>
      </c>
      <c r="Q31" s="802"/>
      <c r="R31" s="799"/>
      <c r="S31" s="799"/>
      <c r="T31" s="799"/>
      <c r="U31" s="799"/>
      <c r="V31" s="802">
        <f>P31+R31+S31+U31+T31</f>
        <v>1640.4842545103481</v>
      </c>
      <c r="W31" s="799"/>
      <c r="X31" s="196">
        <f>V31/$V$90</f>
        <v>1615.2354330925004</v>
      </c>
      <c r="Y31" s="196">
        <v>1547</v>
      </c>
      <c r="Z31" s="196">
        <f t="shared" si="0"/>
        <v>68.235433092500443</v>
      </c>
    </row>
    <row r="32" spans="1:28" ht="15.75" customHeight="1">
      <c r="A32" s="787">
        <v>20</v>
      </c>
      <c r="B32" s="794" t="s">
        <v>71</v>
      </c>
      <c r="C32" s="814"/>
      <c r="D32" s="796"/>
      <c r="E32" s="799">
        <f>'CBR Hist'!U37</f>
        <v>0</v>
      </c>
      <c r="F32" s="799"/>
      <c r="G32" s="799"/>
      <c r="H32" s="799"/>
      <c r="I32" s="799"/>
      <c r="J32" s="799">
        <v>0</v>
      </c>
      <c r="K32" s="800">
        <f>SUM(E32:J32)</f>
        <v>0</v>
      </c>
      <c r="L32" s="800"/>
      <c r="M32" s="801">
        <f>M16</f>
        <v>7.9976467748747962E-2</v>
      </c>
      <c r="N32" s="801"/>
      <c r="O32" s="800">
        <f>M32*K32</f>
        <v>0</v>
      </c>
      <c r="P32" s="802">
        <f>O32+K32</f>
        <v>0</v>
      </c>
      <c r="Q32" s="802"/>
      <c r="R32" s="799"/>
      <c r="S32" s="799"/>
      <c r="T32" s="799"/>
      <c r="U32" s="799"/>
      <c r="V32" s="802">
        <f>P32+R32+S32+U32+T32</f>
        <v>0</v>
      </c>
      <c r="W32" s="799"/>
      <c r="X32" s="196">
        <f>V32/$V$90</f>
        <v>0</v>
      </c>
      <c r="Y32" s="196">
        <v>0.20499999999999999</v>
      </c>
      <c r="Z32" s="196">
        <f t="shared" si="0"/>
        <v>-0.20499999999999999</v>
      </c>
    </row>
    <row r="33" spans="1:27" ht="15.75" customHeight="1">
      <c r="A33" s="787"/>
      <c r="B33" s="794"/>
      <c r="C33" s="814"/>
      <c r="D33" s="796"/>
      <c r="E33" s="799"/>
      <c r="F33" s="799"/>
      <c r="G33" s="799"/>
      <c r="H33" s="799"/>
      <c r="I33" s="799"/>
      <c r="J33" s="799"/>
      <c r="K33" s="800"/>
      <c r="L33" s="800"/>
      <c r="M33" s="801"/>
      <c r="N33" s="801"/>
      <c r="O33" s="811"/>
      <c r="P33" s="802"/>
      <c r="Q33" s="802"/>
      <c r="R33" s="799"/>
      <c r="S33" s="799"/>
      <c r="T33" s="799"/>
      <c r="U33" s="799"/>
      <c r="V33" s="802"/>
      <c r="W33" s="799"/>
      <c r="X33" s="51"/>
      <c r="Y33" s="51"/>
      <c r="Z33" s="51">
        <f t="shared" si="0"/>
        <v>0</v>
      </c>
    </row>
    <row r="34" spans="1:27" ht="15.75" customHeight="1">
      <c r="A34" s="787"/>
      <c r="B34" s="794" t="s">
        <v>70</v>
      </c>
      <c r="C34" s="814"/>
      <c r="D34" s="796"/>
      <c r="E34" s="799"/>
      <c r="F34" s="799"/>
      <c r="G34" s="799"/>
      <c r="H34" s="799"/>
      <c r="I34" s="799"/>
      <c r="J34" s="799"/>
      <c r="K34" s="800"/>
      <c r="L34" s="800"/>
      <c r="M34" s="801"/>
      <c r="N34" s="801"/>
      <c r="O34" s="811"/>
      <c r="P34" s="802"/>
      <c r="Q34" s="802"/>
      <c r="R34" s="799"/>
      <c r="S34" s="799"/>
      <c r="T34" s="799"/>
      <c r="U34" s="799"/>
      <c r="V34" s="802"/>
      <c r="W34" s="799"/>
      <c r="X34" s="51"/>
      <c r="Y34" s="51"/>
      <c r="Z34" s="51">
        <f t="shared" si="0"/>
        <v>0</v>
      </c>
    </row>
    <row r="35" spans="1:27" ht="15.75" customHeight="1">
      <c r="A35" s="787">
        <f>A32+1</f>
        <v>21</v>
      </c>
      <c r="B35" s="794"/>
      <c r="C35" s="794" t="s">
        <v>738</v>
      </c>
      <c r="D35" s="796"/>
      <c r="E35" s="799">
        <f>'CBR Hist'!U40</f>
        <v>49261</v>
      </c>
      <c r="F35" s="799"/>
      <c r="G35" s="799">
        <f>-564-58</f>
        <v>-622</v>
      </c>
      <c r="H35" s="799"/>
      <c r="I35" s="799"/>
      <c r="J35" s="799">
        <f>ROUND(J7*ROR!L14,0)</f>
        <v>-10</v>
      </c>
      <c r="K35" s="800">
        <f>SUM(E35:J35)</f>
        <v>48629</v>
      </c>
      <c r="L35" s="800"/>
      <c r="M35" s="801">
        <f>M16</f>
        <v>7.9976467748747962E-2</v>
      </c>
      <c r="N35" s="801"/>
      <c r="O35" s="800">
        <f>M35*K35</f>
        <v>3889.1756501538648</v>
      </c>
      <c r="P35" s="802">
        <f>O35+K35</f>
        <v>52518.175650153862</v>
      </c>
      <c r="Q35" s="802"/>
      <c r="R35" s="799"/>
      <c r="S35" s="799">
        <f>'incremental load expense'!E37</f>
        <v>15.448588304942726</v>
      </c>
      <c r="T35" s="799"/>
      <c r="U35" s="799"/>
      <c r="V35" s="802">
        <f>P35+R35+S35+U35+T35</f>
        <v>52533.624238458804</v>
      </c>
      <c r="W35" s="799"/>
      <c r="X35" s="196">
        <f>V35/$V$90</f>
        <v>51725.075120610018</v>
      </c>
      <c r="Y35" s="196">
        <v>51306</v>
      </c>
      <c r="Z35" s="196">
        <f t="shared" si="0"/>
        <v>419.07512061001762</v>
      </c>
    </row>
    <row r="36" spans="1:27" ht="15.75" customHeight="1">
      <c r="A36" s="787">
        <f>A35+1</f>
        <v>22</v>
      </c>
      <c r="B36" s="794"/>
      <c r="C36" s="814" t="s">
        <v>138</v>
      </c>
      <c r="D36" s="796"/>
      <c r="E36" s="799">
        <f>'CBR Hist'!U41</f>
        <v>20268</v>
      </c>
      <c r="F36" s="799"/>
      <c r="G36" s="799"/>
      <c r="H36" s="799"/>
      <c r="I36" s="799">
        <f>2411+-813</f>
        <v>1598</v>
      </c>
      <c r="J36" s="799">
        <v>0</v>
      </c>
      <c r="K36" s="800">
        <f>SUM(E36:J36)</f>
        <v>21866</v>
      </c>
      <c r="L36" s="800"/>
      <c r="M36" s="801">
        <f>M18</f>
        <v>9.0980531708257345E-2</v>
      </c>
      <c r="N36" s="801"/>
      <c r="O36" s="800">
        <f>M36*K36</f>
        <v>1989.380306332755</v>
      </c>
      <c r="P36" s="802">
        <f>O36+K36</f>
        <v>23855.380306332754</v>
      </c>
      <c r="Q36" s="802"/>
      <c r="R36" s="799"/>
      <c r="S36" s="799"/>
      <c r="T36" s="799"/>
      <c r="U36" s="799">
        <v>2151</v>
      </c>
      <c r="V36" s="802">
        <f>P36+R36+S36+U36+T36</f>
        <v>26006.380306332754</v>
      </c>
      <c r="W36" s="799"/>
      <c r="X36" s="196">
        <f>V36/$V$90</f>
        <v>25606.114073801789</v>
      </c>
      <c r="Y36" s="196">
        <v>33090</v>
      </c>
      <c r="Z36" s="196">
        <f t="shared" si="0"/>
        <v>-7483.8859261982107</v>
      </c>
      <c r="AA36" s="415"/>
    </row>
    <row r="37" spans="1:27" ht="15.75" customHeight="1">
      <c r="A37" s="787">
        <f t="shared" ref="A37:A39" si="2">A36+1</f>
        <v>23</v>
      </c>
      <c r="B37" s="794"/>
      <c r="C37" s="814" t="s">
        <v>68</v>
      </c>
      <c r="D37" s="796"/>
      <c r="E37" s="799">
        <f>'CBR Hist'!U42</f>
        <v>0</v>
      </c>
      <c r="F37" s="803"/>
      <c r="G37" s="799"/>
      <c r="H37" s="799"/>
      <c r="I37" s="799"/>
      <c r="J37" s="799">
        <v>0</v>
      </c>
      <c r="K37" s="800">
        <f>SUM(E37:J37)</f>
        <v>0</v>
      </c>
      <c r="L37" s="804"/>
      <c r="M37" s="805">
        <f>M20</f>
        <v>0.10530222179101581</v>
      </c>
      <c r="N37" s="805"/>
      <c r="O37" s="804">
        <f>M37*K37</f>
        <v>0</v>
      </c>
      <c r="P37" s="803">
        <f>O37+K37</f>
        <v>0</v>
      </c>
      <c r="Q37" s="803"/>
      <c r="R37" s="803"/>
      <c r="S37" s="803"/>
      <c r="T37" s="803"/>
      <c r="U37" s="803"/>
      <c r="V37" s="803">
        <f>P37+R37+S37+U37+T37</f>
        <v>0</v>
      </c>
      <c r="W37" s="799"/>
      <c r="X37" s="197">
        <f>V37/$V$90</f>
        <v>0</v>
      </c>
      <c r="Y37" s="197">
        <v>0</v>
      </c>
      <c r="Z37" s="197">
        <f t="shared" si="0"/>
        <v>0</v>
      </c>
    </row>
    <row r="38" spans="1:27" ht="15.75" customHeight="1">
      <c r="A38" s="787">
        <f t="shared" si="2"/>
        <v>24</v>
      </c>
      <c r="B38" s="794"/>
      <c r="C38" s="815" t="s">
        <v>605</v>
      </c>
      <c r="D38" s="796"/>
      <c r="E38" s="807">
        <f>SUM(E35:E37)</f>
        <v>69529</v>
      </c>
      <c r="F38" s="800">
        <f t="shared" ref="F38:K38" si="3">F35+F36+F37</f>
        <v>0</v>
      </c>
      <c r="G38" s="818">
        <f t="shared" si="3"/>
        <v>-622</v>
      </c>
      <c r="H38" s="818">
        <f t="shared" si="3"/>
        <v>0</v>
      </c>
      <c r="I38" s="818">
        <f t="shared" si="3"/>
        <v>1598</v>
      </c>
      <c r="J38" s="818">
        <f t="shared" si="3"/>
        <v>-10</v>
      </c>
      <c r="K38" s="818">
        <f t="shared" si="3"/>
        <v>70495</v>
      </c>
      <c r="L38" s="800"/>
      <c r="M38" s="801"/>
      <c r="N38" s="801"/>
      <c r="O38" s="800">
        <f>O35+O36+O37</f>
        <v>5878.5559564866198</v>
      </c>
      <c r="P38" s="800">
        <f>P35+P36+P37</f>
        <v>76373.555956486613</v>
      </c>
      <c r="Q38" s="800"/>
      <c r="R38" s="800">
        <f>R35+R36+R37</f>
        <v>0</v>
      </c>
      <c r="S38" s="800">
        <f>S35+S36+S37</f>
        <v>15.448588304942726</v>
      </c>
      <c r="T38" s="800">
        <f>T35+T36+T37</f>
        <v>0</v>
      </c>
      <c r="U38" s="800">
        <f>U35+U36+U37</f>
        <v>2151</v>
      </c>
      <c r="V38" s="800">
        <f>V35+V36+V37</f>
        <v>78540.004544791562</v>
      </c>
      <c r="W38" s="839"/>
      <c r="X38" s="193">
        <f>X35+X36+X37</f>
        <v>77331.189194411811</v>
      </c>
      <c r="Y38" s="193">
        <f>Y35+Y36+Y37</f>
        <v>84396</v>
      </c>
      <c r="Z38" s="193">
        <f t="shared" si="0"/>
        <v>-7064.8108055881894</v>
      </c>
    </row>
    <row r="39" spans="1:27" ht="15.75" customHeight="1">
      <c r="A39" s="787">
        <f t="shared" si="2"/>
        <v>25</v>
      </c>
      <c r="B39" s="794" t="s">
        <v>66</v>
      </c>
      <c r="C39" s="814"/>
      <c r="D39" s="796"/>
      <c r="E39" s="807">
        <f t="shared" ref="E39:K39" si="4">E21+E28+E30+E31+E32+E38</f>
        <v>427510</v>
      </c>
      <c r="F39" s="807">
        <f t="shared" si="4"/>
        <v>-174059</v>
      </c>
      <c r="G39" s="807">
        <f t="shared" si="4"/>
        <v>-1916</v>
      </c>
      <c r="H39" s="807">
        <f t="shared" ref="H39" si="5">H21+H28+H30+H31+H32+H38</f>
        <v>1152.7333333333333</v>
      </c>
      <c r="I39" s="807">
        <f t="shared" si="4"/>
        <v>1914</v>
      </c>
      <c r="J39" s="807">
        <f t="shared" si="4"/>
        <v>-239</v>
      </c>
      <c r="K39" s="807">
        <f t="shared" si="4"/>
        <v>254362.73333333334</v>
      </c>
      <c r="L39" s="807"/>
      <c r="M39" s="819"/>
      <c r="N39" s="819"/>
      <c r="O39" s="807">
        <f>O21+O28+O30+O31+O32+O38</f>
        <v>21682.779678391664</v>
      </c>
      <c r="P39" s="807">
        <f>P21+P28+P30+P31+P32+P38</f>
        <v>276045.51301172498</v>
      </c>
      <c r="Q39" s="807"/>
      <c r="R39" s="807">
        <f>R21+R28+R30+R31+R32+R38</f>
        <v>151935</v>
      </c>
      <c r="S39" s="807">
        <f>S21+S28+S30+S31+S32+S38</f>
        <v>1189.1183600733686</v>
      </c>
      <c r="T39" s="807">
        <f>T21+T28+T30+T31+T32+T38</f>
        <v>1333</v>
      </c>
      <c r="U39" s="807">
        <f>U21+U28+U30+U31+U32+U38</f>
        <v>3280</v>
      </c>
      <c r="V39" s="807">
        <f>V21+V28+V30+V31+V32+V38</f>
        <v>433782.63137179834</v>
      </c>
      <c r="W39" s="799"/>
      <c r="X39" s="790">
        <f>X21+X28+X30+X31+X32+X38</f>
        <v>427106.24897827167</v>
      </c>
      <c r="Y39" s="790">
        <f>Y21+Y28+Y30+Y31+Y32+Y38</f>
        <v>432121.93833333335</v>
      </c>
      <c r="Z39" s="790">
        <f t="shared" si="0"/>
        <v>-5015.6893550616805</v>
      </c>
      <c r="AA39" s="485"/>
    </row>
    <row r="40" spans="1:27" ht="15.75" customHeight="1">
      <c r="A40" s="787"/>
      <c r="B40" s="794"/>
      <c r="C40" s="794"/>
      <c r="D40" s="796"/>
      <c r="E40" s="799"/>
      <c r="F40" s="799"/>
      <c r="G40" s="799"/>
      <c r="H40" s="799"/>
      <c r="I40" s="799"/>
      <c r="J40" s="799"/>
      <c r="K40" s="800"/>
      <c r="L40" s="800"/>
      <c r="M40" s="801"/>
      <c r="N40" s="801"/>
      <c r="O40" s="811"/>
      <c r="P40" s="802"/>
      <c r="Q40" s="802"/>
      <c r="R40" s="799"/>
      <c r="S40" s="799"/>
      <c r="T40" s="799"/>
      <c r="U40" s="799"/>
      <c r="V40" s="802"/>
      <c r="W40" s="799"/>
      <c r="X40" s="196"/>
      <c r="Y40" s="802"/>
      <c r="Z40" s="196">
        <f t="shared" si="0"/>
        <v>0</v>
      </c>
    </row>
    <row r="41" spans="1:27" ht="15.75" customHeight="1">
      <c r="A41" s="787">
        <f>A39+1</f>
        <v>26</v>
      </c>
      <c r="B41" s="794" t="s">
        <v>65</v>
      </c>
      <c r="C41" s="794"/>
      <c r="D41" s="796"/>
      <c r="E41" s="799">
        <f>E12-E39</f>
        <v>151302</v>
      </c>
      <c r="F41" s="799">
        <f t="shared" ref="F41:K41" si="6">F12-F39</f>
        <v>96799</v>
      </c>
      <c r="G41" s="799">
        <f t="shared" si="6"/>
        <v>1916</v>
      </c>
      <c r="H41" s="799">
        <f t="shared" si="6"/>
        <v>-1152.7333333333333</v>
      </c>
      <c r="I41" s="799">
        <f t="shared" si="6"/>
        <v>-1914</v>
      </c>
      <c r="J41" s="799">
        <f t="shared" si="6"/>
        <v>-3058</v>
      </c>
      <c r="K41" s="799">
        <f t="shared" si="6"/>
        <v>243892.26666666666</v>
      </c>
      <c r="L41" s="799"/>
      <c r="M41" s="801"/>
      <c r="N41" s="799"/>
      <c r="O41" s="799">
        <f t="shared" ref="O41:S41" si="7">O12-O39</f>
        <v>-21682.779678391664</v>
      </c>
      <c r="P41" s="799">
        <f>P12-P39</f>
        <v>222209.48698827502</v>
      </c>
      <c r="Q41" s="799">
        <f t="shared" si="7"/>
        <v>0</v>
      </c>
      <c r="R41" s="799">
        <f t="shared" si="7"/>
        <v>-103792</v>
      </c>
      <c r="S41" s="799">
        <f t="shared" si="7"/>
        <v>4060.5569254690708</v>
      </c>
      <c r="T41" s="799">
        <f t="shared" ref="T41" si="8">T12-T39</f>
        <v>-1333</v>
      </c>
      <c r="U41" s="799">
        <f>-U39</f>
        <v>-3280</v>
      </c>
      <c r="V41" s="799">
        <f>V12-V39</f>
        <v>117865.04391374404</v>
      </c>
      <c r="W41" s="799"/>
      <c r="X41" s="192">
        <f>X12-X39</f>
        <v>116050.97380791843</v>
      </c>
      <c r="Y41" s="799">
        <f>Y12-Y39</f>
        <v>114274.06166666665</v>
      </c>
      <c r="Z41" s="192">
        <f t="shared" si="0"/>
        <v>1776.9121412517852</v>
      </c>
    </row>
    <row r="42" spans="1:27" ht="18">
      <c r="A42" s="787"/>
      <c r="B42" s="153"/>
      <c r="C42" s="847" t="s">
        <v>739</v>
      </c>
      <c r="D42" s="887"/>
      <c r="E42" s="888"/>
      <c r="F42" s="888"/>
      <c r="G42" s="888"/>
      <c r="H42" s="888"/>
      <c r="I42" s="888"/>
      <c r="J42" s="888"/>
      <c r="K42" s="888"/>
      <c r="L42" s="888"/>
      <c r="M42" s="889"/>
      <c r="N42" s="192"/>
      <c r="O42" s="192"/>
      <c r="P42" s="192"/>
      <c r="Q42" s="192"/>
      <c r="R42" s="192"/>
      <c r="S42" s="192"/>
      <c r="T42" s="192"/>
      <c r="U42" s="192"/>
      <c r="V42" s="192"/>
      <c r="W42" s="192"/>
    </row>
    <row r="43" spans="1:27" ht="18">
      <c r="A43" s="787"/>
      <c r="B43" s="153"/>
      <c r="C43" s="847" t="s">
        <v>740</v>
      </c>
      <c r="D43" s="887"/>
      <c r="E43" s="888"/>
      <c r="F43" s="888"/>
      <c r="G43" s="888"/>
      <c r="H43" s="888"/>
      <c r="I43" s="888"/>
      <c r="J43" s="888"/>
      <c r="K43" s="888"/>
      <c r="L43" s="888"/>
      <c r="M43" s="889"/>
      <c r="N43" s="192"/>
      <c r="O43" s="192"/>
      <c r="P43" s="192"/>
      <c r="Q43" s="192"/>
      <c r="R43" s="192"/>
      <c r="S43" s="192"/>
      <c r="T43" s="192"/>
      <c r="U43" s="192"/>
      <c r="V43" s="192"/>
      <c r="W43" s="192"/>
    </row>
    <row r="44" spans="1:27" s="48" customFormat="1" ht="19.5" thickBot="1">
      <c r="A44" s="246" t="s">
        <v>95</v>
      </c>
      <c r="B44" s="919" t="str">
        <f>B2</f>
        <v>2017  ELECTRIC ATTRITION REVENUE REQUIREMENT</v>
      </c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20"/>
      <c r="U44" s="920"/>
      <c r="V44" s="920"/>
      <c r="W44" s="786"/>
    </row>
    <row r="45" spans="1:27" s="122" customFormat="1" ht="15.75" thickBot="1">
      <c r="A45" s="793"/>
      <c r="B45" s="497"/>
      <c r="C45" s="825" t="s">
        <v>471</v>
      </c>
      <c r="D45" s="826"/>
      <c r="E45" s="913" t="s">
        <v>245</v>
      </c>
      <c r="F45" s="914"/>
      <c r="G45" s="914"/>
      <c r="H45" s="914"/>
      <c r="I45" s="914"/>
      <c r="J45" s="914"/>
      <c r="K45" s="915"/>
      <c r="L45" s="827"/>
      <c r="M45" s="828"/>
      <c r="N45" s="828"/>
      <c r="O45" s="825" t="s">
        <v>251</v>
      </c>
      <c r="P45" s="829"/>
      <c r="Q45" s="826"/>
      <c r="R45" s="916" t="s">
        <v>590</v>
      </c>
      <c r="S45" s="917"/>
      <c r="T45" s="825"/>
      <c r="U45" s="828"/>
      <c r="V45" s="876"/>
      <c r="W45" s="814"/>
      <c r="Y45" s="245"/>
    </row>
    <row r="46" spans="1:27" s="48" customFormat="1" ht="88.5" customHeight="1">
      <c r="A46" s="208" t="s">
        <v>244</v>
      </c>
      <c r="B46" s="50"/>
      <c r="C46" s="830"/>
      <c r="D46" s="814"/>
      <c r="E46" s="821" t="s">
        <v>729</v>
      </c>
      <c r="F46" s="831" t="str">
        <f t="shared" ref="F46:S46" si="9">F4</f>
        <v>(less) 09.2015 Normalized Net Power Supply  Cost</v>
      </c>
      <c r="G46" s="632" t="str">
        <f>G4</f>
        <v>Deferred Dr/Cr; Reg. Amorts &amp; Misc Adjs</v>
      </c>
      <c r="H46" s="632" t="str">
        <f>H4</f>
        <v>Net Retired Meter Deferral &amp; Amort Adjustment</v>
      </c>
      <c r="I46" s="632" t="str">
        <f>I4</f>
        <v>Add 12.2015 Plant</v>
      </c>
      <c r="J46" s="831" t="str">
        <f t="shared" si="9"/>
        <v>Pro Forma Revenue Normalization Adjustment</v>
      </c>
      <c r="K46" s="831" t="str">
        <f t="shared" si="9"/>
        <v>12ME 12.2015 AMA Escalation Base</v>
      </c>
      <c r="L46" s="831">
        <f t="shared" si="9"/>
        <v>0</v>
      </c>
      <c r="M46" s="831" t="str">
        <f t="shared" si="9"/>
        <v>Escalation Factor</v>
      </c>
      <c r="N46" s="831">
        <f t="shared" si="9"/>
        <v>0</v>
      </c>
      <c r="O46" s="831" t="str">
        <f t="shared" si="9"/>
        <v xml:space="preserve"> Non-Energy Cost Escalation Amount [G]*[H]=[I]</v>
      </c>
      <c r="P46" s="831" t="str">
        <f t="shared" si="9"/>
        <v>Trended 2017 Non-Energy Cost [G]+[I]=[J]</v>
      </c>
      <c r="Q46" s="831">
        <f t="shared" si="9"/>
        <v>0</v>
      </c>
      <c r="R46" s="831" t="str">
        <f t="shared" si="9"/>
        <v>(plus) 2017 Pro-Formed Net Energy Cost</v>
      </c>
      <c r="S46" s="831" t="str">
        <f t="shared" si="9"/>
        <v>(plus)  Revenue Growth</v>
      </c>
      <c r="T46" s="831" t="str">
        <f>T4</f>
        <v>After Attrition Adj. Spokane River Projects</v>
      </c>
      <c r="U46" s="831" t="str">
        <f>U4</f>
        <v>After Attrition Adj AMI Capital Project</v>
      </c>
      <c r="V46" s="824" t="str">
        <f>V4</f>
        <v>2017 Revenue and Cost [J]+[K]+[L]+ [M]+ [N] = [O]</v>
      </c>
      <c r="W46" s="873"/>
    </row>
    <row r="47" spans="1:27" ht="16.899999999999999" customHeight="1">
      <c r="B47" s="45"/>
      <c r="C47" s="795"/>
      <c r="D47" s="796"/>
      <c r="E47" s="832" t="str">
        <f>E5</f>
        <v>[A]</v>
      </c>
      <c r="F47" s="832" t="str">
        <f t="shared" ref="F47:V47" si="10">F5</f>
        <v>[B]</v>
      </c>
      <c r="G47" s="832" t="str">
        <f t="shared" si="10"/>
        <v>[C]</v>
      </c>
      <c r="H47" s="832" t="str">
        <f t="shared" si="10"/>
        <v>[D]</v>
      </c>
      <c r="I47" s="832" t="str">
        <f t="shared" si="10"/>
        <v>[E]</v>
      </c>
      <c r="J47" s="832" t="str">
        <f t="shared" si="10"/>
        <v>[F]</v>
      </c>
      <c r="K47" s="832" t="str">
        <f t="shared" si="10"/>
        <v>[G]</v>
      </c>
      <c r="L47" s="832">
        <f t="shared" si="10"/>
        <v>0</v>
      </c>
      <c r="M47" s="832" t="str">
        <f t="shared" si="10"/>
        <v>[H]</v>
      </c>
      <c r="N47" s="832">
        <f t="shared" si="10"/>
        <v>0</v>
      </c>
      <c r="O47" s="832" t="str">
        <f t="shared" si="10"/>
        <v>[I]</v>
      </c>
      <c r="P47" s="832" t="str">
        <f t="shared" si="10"/>
        <v>[J]</v>
      </c>
      <c r="Q47" s="832">
        <f t="shared" si="10"/>
        <v>0</v>
      </c>
      <c r="R47" s="832" t="str">
        <f t="shared" si="10"/>
        <v>[K]</v>
      </c>
      <c r="S47" s="832" t="str">
        <f t="shared" si="10"/>
        <v>[L]</v>
      </c>
      <c r="T47" s="832" t="str">
        <f t="shared" si="10"/>
        <v>[M]</v>
      </c>
      <c r="U47" s="832" t="str">
        <f t="shared" si="10"/>
        <v>[N]</v>
      </c>
      <c r="V47" s="832" t="str">
        <f t="shared" si="10"/>
        <v>[O]</v>
      </c>
      <c r="W47" s="832"/>
    </row>
    <row r="48" spans="1:27" ht="15.75" customHeight="1">
      <c r="A48" s="787"/>
      <c r="B48" s="153" t="s">
        <v>27</v>
      </c>
      <c r="C48" s="794"/>
      <c r="D48" s="796"/>
      <c r="E48" s="799"/>
      <c r="F48" s="799"/>
      <c r="G48" s="799"/>
      <c r="H48" s="799"/>
      <c r="I48" s="799"/>
      <c r="J48" s="799"/>
      <c r="K48" s="800"/>
      <c r="L48" s="800"/>
      <c r="M48" s="801"/>
      <c r="N48" s="801"/>
      <c r="O48" s="811"/>
      <c r="P48" s="833"/>
      <c r="Q48" s="833"/>
      <c r="R48" s="799"/>
      <c r="S48" s="799"/>
      <c r="T48" s="799"/>
      <c r="U48" s="799"/>
      <c r="V48" s="834"/>
      <c r="W48" s="816"/>
    </row>
    <row r="49" spans="1:27" ht="15.75" customHeight="1">
      <c r="A49" s="787">
        <v>26</v>
      </c>
      <c r="B49" s="152"/>
      <c r="C49" s="794" t="s">
        <v>139</v>
      </c>
      <c r="D49" s="796"/>
      <c r="E49" s="799">
        <f>'CBR Hist'!U49</f>
        <v>-2975</v>
      </c>
      <c r="F49" s="835">
        <f>ROUND(F41*0.35,0)</f>
        <v>33880</v>
      </c>
      <c r="G49" s="835">
        <f>ROUND(G41*0.35,0)</f>
        <v>671</v>
      </c>
      <c r="H49" s="835">
        <f>ROUND(H41*0.35,0)</f>
        <v>-403</v>
      </c>
      <c r="I49" s="835">
        <f>ROUND(I41*0.35,0)</f>
        <v>-670</v>
      </c>
      <c r="J49" s="835">
        <f>ROUND(J41*0.35,0)</f>
        <v>-1070</v>
      </c>
      <c r="K49" s="800">
        <f>SUM(E49:J49)</f>
        <v>29433</v>
      </c>
      <c r="L49" s="800"/>
      <c r="M49" s="801"/>
      <c r="N49" s="801"/>
      <c r="O49" s="835">
        <f>O41*0.35</f>
        <v>-7588.9728874370821</v>
      </c>
      <c r="P49" s="836">
        <f>K49+O49</f>
        <v>21844.027112562919</v>
      </c>
      <c r="Q49" s="836"/>
      <c r="R49" s="837">
        <f>0.35*R41</f>
        <v>-36327.199999999997</v>
      </c>
      <c r="S49" s="837">
        <f>0.35*S41</f>
        <v>1421.1949239141748</v>
      </c>
      <c r="T49" s="837">
        <f>0.35*T41</f>
        <v>-466.54999999999995</v>
      </c>
      <c r="U49" s="837">
        <f>0.35*U41</f>
        <v>-1148</v>
      </c>
      <c r="V49" s="836">
        <f>P49+R49+S49+U49+T49</f>
        <v>-14676.527963522904</v>
      </c>
      <c r="W49" s="837"/>
      <c r="X49" s="196">
        <f>V49/$V$90</f>
        <v>-14450.640374192981</v>
      </c>
      <c r="Y49" s="196">
        <v>-16293</v>
      </c>
      <c r="Z49" s="196">
        <f t="shared" ref="Z49:Z52" si="11">X49-Y49</f>
        <v>1842.3596258070193</v>
      </c>
    </row>
    <row r="50" spans="1:27" ht="15.75" customHeight="1">
      <c r="A50" s="787">
        <v>27</v>
      </c>
      <c r="B50" s="152"/>
      <c r="C50" s="794" t="s">
        <v>140</v>
      </c>
      <c r="D50" s="796"/>
      <c r="E50" s="799">
        <f>'CBR Hist'!U50</f>
        <v>-54</v>
      </c>
      <c r="F50" s="799">
        <f>F79*ROR!F37*-0.35</f>
        <v>0</v>
      </c>
      <c r="G50" s="799">
        <f>G79*ROR!F11*-0.35</f>
        <v>140.12418</v>
      </c>
      <c r="H50" s="799">
        <f>H79*ROR!G37*-0.35</f>
        <v>0</v>
      </c>
      <c r="I50" s="799">
        <f>I79*ROR!F37*-0.35</f>
        <v>-228.22900099999998</v>
      </c>
      <c r="J50" s="799">
        <f>J79*ROR!F37*-0.35</f>
        <v>0</v>
      </c>
      <c r="K50" s="800">
        <f>SUM(E50:J50)</f>
        <v>-142.10482099999999</v>
      </c>
      <c r="L50" s="800"/>
      <c r="M50" s="801"/>
      <c r="N50" s="801"/>
      <c r="O50" s="835">
        <f>(ROR!F11*-0.35*O79)+(ROR!F11-ROR!F37)*K79*-0.35</f>
        <v>-1402.4556127132757</v>
      </c>
      <c r="P50" s="836">
        <f>K50+O50</f>
        <v>-1544.5604337132756</v>
      </c>
      <c r="Q50" s="836"/>
      <c r="R50" s="837"/>
      <c r="S50" s="837"/>
      <c r="T50" s="799">
        <f>T79*ROR!F11*-0.35</f>
        <v>-553.50890000000004</v>
      </c>
      <c r="U50" s="837">
        <f>U79*ROR!F11*-0.35</f>
        <v>-205.78781999999998</v>
      </c>
      <c r="V50" s="836">
        <f>P50+R50+S50+U50+T50</f>
        <v>-2303.8571537132757</v>
      </c>
      <c r="W50" s="837"/>
      <c r="X50" s="196">
        <f>V50/$V$90</f>
        <v>-2268.3983081398387</v>
      </c>
      <c r="Y50" s="196">
        <v>-1930</v>
      </c>
      <c r="Z50" s="196">
        <f t="shared" si="11"/>
        <v>-338.39830813983872</v>
      </c>
    </row>
    <row r="51" spans="1:27" ht="15.75" customHeight="1">
      <c r="A51" s="787">
        <v>28</v>
      </c>
      <c r="B51" s="152"/>
      <c r="C51" s="794" t="s">
        <v>63</v>
      </c>
      <c r="D51" s="796"/>
      <c r="E51" s="799">
        <f>'CBR Hist'!U51</f>
        <v>44788</v>
      </c>
      <c r="F51" s="799"/>
      <c r="G51" s="799">
        <v>0</v>
      </c>
      <c r="H51" s="799">
        <v>0</v>
      </c>
      <c r="I51" s="799">
        <v>0</v>
      </c>
      <c r="J51" s="799">
        <v>0</v>
      </c>
      <c r="K51" s="800">
        <f>SUM(E51:J51)</f>
        <v>44788</v>
      </c>
      <c r="L51" s="800"/>
      <c r="M51" s="801"/>
      <c r="N51" s="801"/>
      <c r="O51" s="800">
        <f>M51*K51</f>
        <v>0</v>
      </c>
      <c r="P51" s="802">
        <f>O51+K51</f>
        <v>44788</v>
      </c>
      <c r="Q51" s="802"/>
      <c r="R51" s="799"/>
      <c r="S51" s="799"/>
      <c r="T51" s="799"/>
      <c r="U51" s="799"/>
      <c r="V51" s="836">
        <f>P51+R51+S51+U51+T51</f>
        <v>44788</v>
      </c>
      <c r="W51" s="837"/>
      <c r="X51" s="196">
        <f>V51/$V$90</f>
        <v>44098.664390375328</v>
      </c>
      <c r="Y51" s="196">
        <v>44788</v>
      </c>
      <c r="Z51" s="196">
        <f t="shared" si="11"/>
        <v>-689.33560962467163</v>
      </c>
    </row>
    <row r="52" spans="1:27" ht="15.75" customHeight="1">
      <c r="A52" s="787">
        <v>29</v>
      </c>
      <c r="B52" s="152"/>
      <c r="C52" s="794" t="s">
        <v>62</v>
      </c>
      <c r="D52" s="796"/>
      <c r="E52" s="799">
        <f>'CBR Hist'!U52</f>
        <v>-128</v>
      </c>
      <c r="F52" s="799"/>
      <c r="G52" s="799">
        <v>0</v>
      </c>
      <c r="H52" s="799">
        <v>0</v>
      </c>
      <c r="I52" s="799">
        <v>0</v>
      </c>
      <c r="J52" s="799">
        <v>0</v>
      </c>
      <c r="K52" s="800">
        <f>SUM(E52:J52)</f>
        <v>-128</v>
      </c>
      <c r="L52" s="800"/>
      <c r="M52" s="801"/>
      <c r="N52" s="801"/>
      <c r="O52" s="800">
        <f>M52*K52</f>
        <v>0</v>
      </c>
      <c r="P52" s="802">
        <f>O52+K52</f>
        <v>-128</v>
      </c>
      <c r="Q52" s="802"/>
      <c r="R52" s="799"/>
      <c r="S52" s="799"/>
      <c r="T52" s="799">
        <v>-22</v>
      </c>
      <c r="U52" s="799">
        <v>0</v>
      </c>
      <c r="V52" s="836">
        <f>P52+R52+S52+U52+T52</f>
        <v>-150</v>
      </c>
      <c r="W52" s="837"/>
      <c r="X52" s="792">
        <f>V52/$V$90</f>
        <v>-147.69133827266901</v>
      </c>
      <c r="Y52" s="792">
        <v>-198</v>
      </c>
      <c r="Z52" s="792">
        <f t="shared" si="11"/>
        <v>50.308661727330986</v>
      </c>
    </row>
    <row r="53" spans="1:27" ht="15.75" customHeight="1">
      <c r="A53" s="787">
        <v>30</v>
      </c>
      <c r="B53" s="153"/>
      <c r="C53" s="794"/>
      <c r="D53" s="796"/>
      <c r="E53" s="799"/>
      <c r="F53" s="799"/>
      <c r="G53" s="799"/>
      <c r="H53" s="799"/>
      <c r="I53" s="799"/>
      <c r="J53" s="799"/>
      <c r="K53" s="800"/>
      <c r="L53" s="800"/>
      <c r="M53" s="801"/>
      <c r="N53" s="801"/>
      <c r="O53" s="811"/>
      <c r="P53" s="802"/>
      <c r="Q53" s="802"/>
      <c r="R53" s="799"/>
      <c r="S53" s="799"/>
      <c r="T53" s="799"/>
      <c r="U53" s="799"/>
      <c r="V53" s="802"/>
      <c r="W53" s="799"/>
      <c r="X53" s="196">
        <f>V53/$V$90</f>
        <v>0</v>
      </c>
      <c r="Y53" s="196"/>
      <c r="Z53" s="196"/>
    </row>
    <row r="54" spans="1:27" ht="15.75" customHeight="1" thickBot="1">
      <c r="A54" s="787">
        <v>31</v>
      </c>
      <c r="B54" s="794" t="s">
        <v>61</v>
      </c>
      <c r="C54" s="794"/>
      <c r="D54" s="796"/>
      <c r="E54" s="838">
        <f>E41-E49-E50-E51-E52</f>
        <v>109671</v>
      </c>
      <c r="F54" s="838">
        <f>F41-F49-F50-F51-F52</f>
        <v>62919</v>
      </c>
      <c r="G54" s="838">
        <f t="shared" ref="G54:K54" si="12">G41-G49-G50-G51-G52</f>
        <v>1104.87582</v>
      </c>
      <c r="H54" s="838">
        <f t="shared" ref="H54" si="13">H41-H49-H50-H51-H52</f>
        <v>-749.73333333333335</v>
      </c>
      <c r="I54" s="838">
        <f t="shared" si="12"/>
        <v>-1015.7709990000001</v>
      </c>
      <c r="J54" s="838">
        <f t="shared" si="12"/>
        <v>-1988</v>
      </c>
      <c r="K54" s="838">
        <f t="shared" si="12"/>
        <v>169941.37148766665</v>
      </c>
      <c r="L54" s="838"/>
      <c r="M54" s="838"/>
      <c r="N54" s="838"/>
      <c r="O54" s="838">
        <f t="shared" ref="O54:S54" si="14">O41-O49-O50-O51-O52</f>
        <v>-12691.351178241306</v>
      </c>
      <c r="P54" s="838">
        <f t="shared" si="14"/>
        <v>157250.0203094254</v>
      </c>
      <c r="Q54" s="838"/>
      <c r="R54" s="838">
        <f t="shared" si="14"/>
        <v>-67464.800000000003</v>
      </c>
      <c r="S54" s="838">
        <f t="shared" si="14"/>
        <v>2639.3620015548959</v>
      </c>
      <c r="T54" s="838">
        <f>T41-T49-T50-T51-T52</f>
        <v>-290.94110000000001</v>
      </c>
      <c r="U54" s="838">
        <f>U41-U49-U50-U51-U52</f>
        <v>-1926.21218</v>
      </c>
      <c r="V54" s="838">
        <f>V41-V49-V50-V51-V52</f>
        <v>90207.429030980216</v>
      </c>
      <c r="W54" s="839">
        <f>V54/$V$90</f>
        <v>88819.039438148538</v>
      </c>
      <c r="X54" s="335">
        <f>X41-X49-X50-X51-X52</f>
        <v>88819.039438148582</v>
      </c>
      <c r="Y54" s="335">
        <f>Y41-Y49-Y50-Y51-Y52</f>
        <v>87907.061666666646</v>
      </c>
      <c r="Z54" s="335">
        <f>Z41-Z49-Z50-Z51-Z52</f>
        <v>911.9777714819453</v>
      </c>
      <c r="AA54" s="51"/>
    </row>
    <row r="55" spans="1:27" ht="3" customHeight="1" thickTop="1">
      <c r="A55" s="787"/>
      <c r="B55" s="153"/>
      <c r="C55" s="153"/>
      <c r="D55" s="83"/>
      <c r="E55" s="192"/>
      <c r="F55" s="192"/>
      <c r="G55" s="192"/>
      <c r="H55" s="192"/>
      <c r="I55" s="192"/>
      <c r="J55" s="192"/>
      <c r="K55" s="193"/>
      <c r="L55" s="193"/>
      <c r="M55" s="195"/>
      <c r="N55" s="195"/>
      <c r="O55" s="194"/>
      <c r="P55" s="201"/>
      <c r="Q55" s="201"/>
      <c r="R55" s="192"/>
      <c r="S55" s="192"/>
      <c r="T55" s="192"/>
      <c r="U55" s="192"/>
      <c r="V55" s="201"/>
      <c r="W55" s="880"/>
    </row>
    <row r="56" spans="1:27" ht="15.75" customHeight="1">
      <c r="A56" s="787"/>
      <c r="B56" s="794" t="s">
        <v>60</v>
      </c>
      <c r="C56" s="794"/>
      <c r="D56" s="796"/>
      <c r="E56" s="799"/>
      <c r="F56" s="799"/>
      <c r="G56" s="799"/>
      <c r="H56" s="799"/>
      <c r="I56" s="799"/>
      <c r="J56" s="799"/>
      <c r="K56" s="800"/>
      <c r="L56" s="800"/>
      <c r="M56" s="801"/>
      <c r="N56" s="801"/>
      <c r="O56" s="811"/>
      <c r="P56" s="802"/>
      <c r="Q56" s="802"/>
      <c r="R56" s="799"/>
      <c r="S56" s="799"/>
      <c r="T56" s="799"/>
      <c r="U56" s="799"/>
      <c r="V56" s="795"/>
      <c r="W56" s="796"/>
      <c r="Y56" s="788"/>
    </row>
    <row r="57" spans="1:27" ht="15.75" customHeight="1" thickBot="1">
      <c r="A57" s="787"/>
      <c r="B57" s="794" t="s">
        <v>238</v>
      </c>
      <c r="C57" s="794"/>
      <c r="D57" s="796"/>
      <c r="E57" s="799"/>
      <c r="F57" s="799"/>
      <c r="G57" s="799"/>
      <c r="H57" s="799"/>
      <c r="I57" s="892" t="s">
        <v>741</v>
      </c>
      <c r="J57" s="799"/>
      <c r="K57" s="800"/>
      <c r="L57" s="800"/>
      <c r="M57" s="801"/>
      <c r="N57" s="801"/>
      <c r="O57" s="811"/>
      <c r="P57" s="802"/>
      <c r="Q57" s="802"/>
      <c r="R57" s="799"/>
      <c r="S57" s="799"/>
      <c r="T57" s="799"/>
      <c r="U57" s="799"/>
      <c r="V57" s="802"/>
      <c r="W57" s="799"/>
      <c r="Y57" s="788"/>
    </row>
    <row r="58" spans="1:27" ht="15.75" customHeight="1" thickBot="1">
      <c r="A58" s="787">
        <v>32</v>
      </c>
      <c r="B58" s="794"/>
      <c r="C58" s="794" t="s">
        <v>58</v>
      </c>
      <c r="D58" s="796"/>
      <c r="E58" s="799">
        <f>'CBR Hist'!U58</f>
        <v>132877</v>
      </c>
      <c r="F58" s="799"/>
      <c r="G58" s="799">
        <v>0</v>
      </c>
      <c r="H58" s="799">
        <v>0</v>
      </c>
      <c r="I58" s="799">
        <v>17298</v>
      </c>
      <c r="J58" s="799">
        <v>0</v>
      </c>
      <c r="K58" s="839">
        <f>SUM(E58:J58)</f>
        <v>150175</v>
      </c>
      <c r="L58" s="800"/>
      <c r="M58" s="884">
        <f>'Net Plant'!B8</f>
        <v>7.78534657584109E-2</v>
      </c>
      <c r="N58" s="801"/>
      <c r="O58" s="800">
        <f>K58*M58</f>
        <v>11691.644220269356</v>
      </c>
      <c r="P58" s="802">
        <f>K58+O58</f>
        <v>161866.64422026934</v>
      </c>
      <c r="Q58" s="802"/>
      <c r="R58" s="799"/>
      <c r="S58" s="799"/>
      <c r="T58" s="799"/>
      <c r="U58" s="837">
        <v>4613</v>
      </c>
      <c r="V58" s="836">
        <f>P58+R58+S58+U58+T58</f>
        <v>166479.64422026934</v>
      </c>
      <c r="W58" s="837"/>
      <c r="X58" s="196">
        <v>165522.1250467163</v>
      </c>
      <c r="Y58" s="196">
        <v>191756</v>
      </c>
      <c r="Z58" s="196">
        <f t="shared" ref="Z58:Z62" si="15">X58-Y58</f>
        <v>-26233.874953283696</v>
      </c>
    </row>
    <row r="59" spans="1:27" ht="15.75" customHeight="1">
      <c r="A59" s="787">
        <v>33</v>
      </c>
      <c r="B59" s="794"/>
      <c r="C59" s="794" t="s">
        <v>57</v>
      </c>
      <c r="D59" s="796"/>
      <c r="E59" s="799">
        <f>'CBR Hist'!U59</f>
        <v>762834</v>
      </c>
      <c r="F59" s="799"/>
      <c r="G59" s="799">
        <v>0</v>
      </c>
      <c r="H59" s="799">
        <v>0</v>
      </c>
      <c r="I59" s="840">
        <f>4012+2293</f>
        <v>6305</v>
      </c>
      <c r="J59" s="799">
        <v>0</v>
      </c>
      <c r="K59" s="839">
        <f>SUM(E59:J59)</f>
        <v>769139</v>
      </c>
      <c r="L59" s="800"/>
      <c r="M59" s="801">
        <f>$M$58</f>
        <v>7.78534657584109E-2</v>
      </c>
      <c r="N59" s="801"/>
      <c r="O59" s="800">
        <f>K59*M59</f>
        <v>59880.136799958404</v>
      </c>
      <c r="P59" s="802">
        <f>K59+O59</f>
        <v>829019.13679995842</v>
      </c>
      <c r="Q59" s="802"/>
      <c r="R59" s="799"/>
      <c r="S59" s="799"/>
      <c r="T59" s="799">
        <v>71295</v>
      </c>
      <c r="U59" s="799"/>
      <c r="V59" s="836">
        <f>P59+R59+S59+U59+T59</f>
        <v>900314.13679995842</v>
      </c>
      <c r="W59" s="837"/>
      <c r="X59" s="196">
        <v>894676.41232683754</v>
      </c>
      <c r="Y59" s="196">
        <v>890776</v>
      </c>
      <c r="Z59" s="196">
        <f t="shared" si="15"/>
        <v>3900.4123268375406</v>
      </c>
    </row>
    <row r="60" spans="1:27" ht="15.75" customHeight="1">
      <c r="A60" s="787">
        <v>34</v>
      </c>
      <c r="B60" s="794"/>
      <c r="C60" s="794" t="s">
        <v>56</v>
      </c>
      <c r="D60" s="796"/>
      <c r="E60" s="799">
        <f>'CBR Hist'!U60</f>
        <v>390240</v>
      </c>
      <c r="F60" s="799"/>
      <c r="G60" s="799">
        <v>0</v>
      </c>
      <c r="H60" s="799">
        <v>0</v>
      </c>
      <c r="I60" s="799">
        <v>5019</v>
      </c>
      <c r="J60" s="799">
        <v>0</v>
      </c>
      <c r="K60" s="839">
        <f>SUM(E60:J60)</f>
        <v>395259</v>
      </c>
      <c r="L60" s="800"/>
      <c r="M60" s="801">
        <f>$M$58</f>
        <v>7.78534657584109E-2</v>
      </c>
      <c r="N60" s="801"/>
      <c r="O60" s="800">
        <f>K60*M60</f>
        <v>30772.283022203734</v>
      </c>
      <c r="P60" s="802">
        <f>K60+O60</f>
        <v>426031.28302220372</v>
      </c>
      <c r="Q60" s="802"/>
      <c r="R60" s="799"/>
      <c r="S60" s="799"/>
      <c r="T60" s="799"/>
      <c r="U60" s="799"/>
      <c r="V60" s="836">
        <f>P60+R60+S60+U60+T60</f>
        <v>426031.28302220372</v>
      </c>
      <c r="W60" s="837"/>
      <c r="X60" s="196">
        <v>423697.9714855061</v>
      </c>
      <c r="Y60" s="196">
        <v>453935</v>
      </c>
      <c r="Z60" s="196">
        <f t="shared" si="15"/>
        <v>-30237.028514493897</v>
      </c>
    </row>
    <row r="61" spans="1:27" ht="15.75" customHeight="1">
      <c r="A61" s="787">
        <v>35</v>
      </c>
      <c r="B61" s="794"/>
      <c r="C61" s="794" t="s">
        <v>55</v>
      </c>
      <c r="D61" s="796"/>
      <c r="E61" s="799">
        <f>'CBR Hist'!U61</f>
        <v>880960</v>
      </c>
      <c r="F61" s="799"/>
      <c r="G61" s="799">
        <v>0</v>
      </c>
      <c r="H61" s="799">
        <v>-18551</v>
      </c>
      <c r="I61" s="840">
        <f>13449+3138</f>
        <v>16587</v>
      </c>
      <c r="J61" s="799">
        <v>0</v>
      </c>
      <c r="K61" s="839">
        <f>SUM(E61:J61)</f>
        <v>878996</v>
      </c>
      <c r="L61" s="800"/>
      <c r="M61" s="801">
        <f>$M$58</f>
        <v>7.78534657584109E-2</v>
      </c>
      <c r="N61" s="801"/>
      <c r="O61" s="800">
        <f>K61*M61</f>
        <v>68432.884987780155</v>
      </c>
      <c r="P61" s="802">
        <f>K61+O61</f>
        <v>947428.88498778013</v>
      </c>
      <c r="Q61" s="802"/>
      <c r="R61" s="799"/>
      <c r="S61" s="799"/>
      <c r="T61" s="799"/>
      <c r="U61" s="799">
        <v>16949</v>
      </c>
      <c r="V61" s="836">
        <f>P61+R61+S61+U61+T61</f>
        <v>964377.88498778013</v>
      </c>
      <c r="W61" s="837"/>
      <c r="X61" s="196">
        <v>958928.09103533102</v>
      </c>
      <c r="Y61" s="196">
        <v>1001627</v>
      </c>
      <c r="Z61" s="196">
        <f t="shared" si="15"/>
        <v>-42698.908964668983</v>
      </c>
    </row>
    <row r="62" spans="1:27" ht="15.75" customHeight="1">
      <c r="A62" s="787">
        <v>36</v>
      </c>
      <c r="B62" s="794"/>
      <c r="C62" s="794" t="s">
        <v>54</v>
      </c>
      <c r="D62" s="796"/>
      <c r="E62" s="799">
        <f>'CBR Hist'!U62</f>
        <v>207659</v>
      </c>
      <c r="F62" s="803"/>
      <c r="G62" s="799">
        <v>0</v>
      </c>
      <c r="H62" s="799">
        <v>0</v>
      </c>
      <c r="I62" s="799">
        <f>-2945</f>
        <v>-2945</v>
      </c>
      <c r="J62" s="799">
        <v>0</v>
      </c>
      <c r="K62" s="839">
        <f>SUM(E62:J62)</f>
        <v>204714</v>
      </c>
      <c r="L62" s="804"/>
      <c r="M62" s="801">
        <f>$M$58</f>
        <v>7.78534657584109E-2</v>
      </c>
      <c r="N62" s="805"/>
      <c r="O62" s="804">
        <f>K62*M62</f>
        <v>15937.69438926733</v>
      </c>
      <c r="P62" s="803">
        <f>K62+O62</f>
        <v>220651.69438926733</v>
      </c>
      <c r="Q62" s="803"/>
      <c r="R62" s="803"/>
      <c r="S62" s="803"/>
      <c r="T62" s="803"/>
      <c r="U62" s="803">
        <v>4742</v>
      </c>
      <c r="V62" s="841">
        <f>P62+R62+S62+U62+T62</f>
        <v>225393.69438926733</v>
      </c>
      <c r="W62" s="837"/>
      <c r="X62" s="197">
        <v>224112.23257425628</v>
      </c>
      <c r="Y62" s="197">
        <v>240774</v>
      </c>
      <c r="Z62" s="197">
        <f t="shared" si="15"/>
        <v>-16661.767425743717</v>
      </c>
    </row>
    <row r="63" spans="1:27" ht="15.75" customHeight="1">
      <c r="A63" s="787">
        <v>37</v>
      </c>
      <c r="B63" s="794"/>
      <c r="C63" s="794" t="s">
        <v>250</v>
      </c>
      <c r="D63" s="796"/>
      <c r="E63" s="807">
        <f>SUM(E58:E62)</f>
        <v>2374570</v>
      </c>
      <c r="F63" s="807">
        <f t="shared" ref="F63:J63" si="16">SUM(F58:F62)</f>
        <v>0</v>
      </c>
      <c r="G63" s="807">
        <f t="shared" si="16"/>
        <v>0</v>
      </c>
      <c r="H63" s="807">
        <f t="shared" ref="H63" si="17">SUM(H58:H62)</f>
        <v>-18551</v>
      </c>
      <c r="I63" s="807">
        <f t="shared" si="16"/>
        <v>42264</v>
      </c>
      <c r="J63" s="807">
        <f t="shared" si="16"/>
        <v>0</v>
      </c>
      <c r="K63" s="808">
        <f>SUM(K58:K62)</f>
        <v>2398283</v>
      </c>
      <c r="L63" s="800"/>
      <c r="M63" s="819"/>
      <c r="N63" s="801"/>
      <c r="O63" s="800">
        <f>SUM(O58:O62)</f>
        <v>186714.64341947899</v>
      </c>
      <c r="P63" s="800">
        <f>SUM(P58:P62)</f>
        <v>2584997.643419479</v>
      </c>
      <c r="Q63" s="802"/>
      <c r="R63" s="799"/>
      <c r="S63" s="799"/>
      <c r="T63" s="800">
        <f>SUM(T58:T62)</f>
        <v>71295</v>
      </c>
      <c r="U63" s="800">
        <f>SUM(U58:U62)</f>
        <v>26304</v>
      </c>
      <c r="V63" s="800">
        <f>SUM(V58:V62)</f>
        <v>2682596.643419479</v>
      </c>
      <c r="W63" s="839">
        <f>V63/$V$90</f>
        <v>2641308.5887492849</v>
      </c>
      <c r="X63" s="193">
        <f>SUM(X58:X62)</f>
        <v>2666936.832468647</v>
      </c>
      <c r="Y63" s="193">
        <f>SUM(Y58:Y62)</f>
        <v>2778868</v>
      </c>
      <c r="Z63" s="193">
        <f>SUM(Z58:Z62)</f>
        <v>-111931.16753135275</v>
      </c>
      <c r="AA63" s="51">
        <f>W63-Y63</f>
        <v>-137559.41125071514</v>
      </c>
    </row>
    <row r="64" spans="1:27" ht="15.75" customHeight="1" thickBot="1">
      <c r="A64" s="787"/>
      <c r="B64" s="794" t="s">
        <v>241</v>
      </c>
      <c r="C64" s="842"/>
      <c r="D64" s="796"/>
      <c r="E64" s="799"/>
      <c r="F64" s="799"/>
      <c r="G64" s="799"/>
      <c r="H64" s="799"/>
      <c r="I64" s="799"/>
      <c r="J64" s="799"/>
      <c r="K64" s="800"/>
      <c r="L64" s="800"/>
      <c r="M64" s="801"/>
      <c r="N64" s="801"/>
      <c r="O64" s="811"/>
      <c r="P64" s="802"/>
      <c r="Q64" s="802"/>
      <c r="R64" s="799"/>
      <c r="S64" s="799"/>
      <c r="T64" s="799"/>
      <c r="U64" s="799"/>
      <c r="V64" s="802">
        <f t="shared" ref="V64" si="18">P64</f>
        <v>0</v>
      </c>
      <c r="W64" s="799"/>
    </row>
    <row r="65" spans="1:28" ht="15.75" customHeight="1" thickBot="1">
      <c r="A65" s="787">
        <v>38</v>
      </c>
      <c r="B65" s="794"/>
      <c r="C65" s="794" t="s">
        <v>58</v>
      </c>
      <c r="D65" s="809"/>
      <c r="E65" s="799">
        <f>-'CBR Hist'!U65</f>
        <v>-23450</v>
      </c>
      <c r="F65" s="799"/>
      <c r="G65" s="799">
        <v>0</v>
      </c>
      <c r="H65" s="799">
        <v>0</v>
      </c>
      <c r="I65" s="799">
        <v>-1396</v>
      </c>
      <c r="J65" s="799">
        <v>0</v>
      </c>
      <c r="K65" s="839">
        <f>SUM(E65:J65)</f>
        <v>-24846</v>
      </c>
      <c r="L65" s="800"/>
      <c r="M65" s="884">
        <f>M58</f>
        <v>7.78534657584109E-2</v>
      </c>
      <c r="N65" s="801"/>
      <c r="O65" s="800">
        <f>K65*M65</f>
        <v>-1934.3472102334772</v>
      </c>
      <c r="P65" s="802">
        <f>K65+O65</f>
        <v>-26780.347210233478</v>
      </c>
      <c r="Q65" s="802"/>
      <c r="R65" s="799"/>
      <c r="S65" s="799"/>
      <c r="T65" s="799"/>
      <c r="U65" s="837">
        <v>-513</v>
      </c>
      <c r="V65" s="836">
        <f>P65+R65+S65+U65+T65</f>
        <v>-27293.347210233478</v>
      </c>
      <c r="W65" s="837"/>
      <c r="X65" s="196">
        <v>-27229.103596797067</v>
      </c>
      <c r="Y65" s="196">
        <v>-51258</v>
      </c>
      <c r="Z65" s="196">
        <f t="shared" ref="Z65:Z69" si="19">X65-Y65</f>
        <v>24028.896403202933</v>
      </c>
    </row>
    <row r="66" spans="1:28" ht="15.75" customHeight="1">
      <c r="A66" s="787">
        <v>39</v>
      </c>
      <c r="B66" s="794"/>
      <c r="C66" s="794" t="s">
        <v>57</v>
      </c>
      <c r="D66" s="796"/>
      <c r="E66" s="799">
        <f>-'CBR Hist'!U66</f>
        <v>-334622</v>
      </c>
      <c r="F66" s="799"/>
      <c r="G66" s="799">
        <v>0</v>
      </c>
      <c r="H66" s="799">
        <v>0</v>
      </c>
      <c r="I66" s="799">
        <v>-2322</v>
      </c>
      <c r="J66" s="799">
        <v>0</v>
      </c>
      <c r="K66" s="839">
        <f>SUM(E66:J66)</f>
        <v>-336944</v>
      </c>
      <c r="L66" s="800"/>
      <c r="M66" s="801">
        <f>M65</f>
        <v>7.78534657584109E-2</v>
      </c>
      <c r="N66" s="801"/>
      <c r="O66" s="800">
        <f>K66*M66</f>
        <v>-26232.258166502001</v>
      </c>
      <c r="P66" s="802">
        <f>K66+O66</f>
        <v>-363176.258166502</v>
      </c>
      <c r="Q66" s="802"/>
      <c r="R66" s="799"/>
      <c r="S66" s="799"/>
      <c r="T66" s="799">
        <v>-1432</v>
      </c>
      <c r="U66" s="799"/>
      <c r="V66" s="836">
        <f>P66+R66+S66+U66+T66</f>
        <v>-364608.258166502</v>
      </c>
      <c r="W66" s="837"/>
      <c r="X66" s="196">
        <v>-363822.06627691706</v>
      </c>
      <c r="Y66" s="196">
        <v>-365620</v>
      </c>
      <c r="Z66" s="196">
        <f t="shared" si="19"/>
        <v>1797.9337230829406</v>
      </c>
    </row>
    <row r="67" spans="1:28" ht="15.75" customHeight="1">
      <c r="A67" s="787">
        <v>40</v>
      </c>
      <c r="B67" s="794"/>
      <c r="C67" s="794" t="s">
        <v>56</v>
      </c>
      <c r="D67" s="796"/>
      <c r="E67" s="799">
        <f>-'CBR Hist'!U67</f>
        <v>-126839</v>
      </c>
      <c r="F67" s="799"/>
      <c r="G67" s="799">
        <v>0</v>
      </c>
      <c r="H67" s="799">
        <v>0</v>
      </c>
      <c r="I67" s="799">
        <v>-584</v>
      </c>
      <c r="J67" s="799">
        <v>0</v>
      </c>
      <c r="K67" s="839">
        <f>SUM(E67:J67)</f>
        <v>-127423</v>
      </c>
      <c r="L67" s="800"/>
      <c r="M67" s="801">
        <f>M65</f>
        <v>7.78534657584109E-2</v>
      </c>
      <c r="N67" s="801"/>
      <c r="O67" s="800">
        <f>K67*M67</f>
        <v>-9920.3221673339922</v>
      </c>
      <c r="P67" s="802">
        <f>K67+O67</f>
        <v>-137343.322167334</v>
      </c>
      <c r="Q67" s="802"/>
      <c r="R67" s="799"/>
      <c r="S67" s="799"/>
      <c r="T67" s="799"/>
      <c r="U67" s="799"/>
      <c r="V67" s="836">
        <f>P67+R67+S67+U67+T67</f>
        <v>-137343.322167334</v>
      </c>
      <c r="W67" s="837"/>
      <c r="X67" s="196">
        <v>-137054.34084351189</v>
      </c>
      <c r="Y67" s="196">
        <v>-137051</v>
      </c>
      <c r="Z67" s="196">
        <f t="shared" si="19"/>
        <v>-3.3408435118908528</v>
      </c>
    </row>
    <row r="68" spans="1:28" ht="15.75" customHeight="1">
      <c r="A68" s="787">
        <v>41</v>
      </c>
      <c r="B68" s="794"/>
      <c r="C68" s="794" t="s">
        <v>55</v>
      </c>
      <c r="D68" s="796"/>
      <c r="E68" s="799">
        <f>-'CBR Hist'!U68</f>
        <v>-268267</v>
      </c>
      <c r="F68" s="799"/>
      <c r="G68" s="799">
        <v>0</v>
      </c>
      <c r="H68" s="799">
        <v>0</v>
      </c>
      <c r="I68" s="799">
        <v>-5477</v>
      </c>
      <c r="J68" s="799">
        <v>0</v>
      </c>
      <c r="K68" s="839">
        <f>SUM(E68:J68)</f>
        <v>-273744</v>
      </c>
      <c r="L68" s="800"/>
      <c r="M68" s="801">
        <f>M65</f>
        <v>7.78534657584109E-2</v>
      </c>
      <c r="N68" s="801"/>
      <c r="O68" s="800">
        <f>K68*M68</f>
        <v>-21311.919130570433</v>
      </c>
      <c r="P68" s="802">
        <f>K68+O68</f>
        <v>-295055.91913057043</v>
      </c>
      <c r="Q68" s="802"/>
      <c r="R68" s="799"/>
      <c r="S68" s="799"/>
      <c r="T68" s="799"/>
      <c r="U68" s="799">
        <v>-564</v>
      </c>
      <c r="V68" s="836">
        <f>P68+R68+S68+U68+T68</f>
        <v>-295619.91913057043</v>
      </c>
      <c r="W68" s="837"/>
      <c r="X68" s="196">
        <v>-294990.41733311862</v>
      </c>
      <c r="Y68" s="196">
        <v>-321664</v>
      </c>
      <c r="Z68" s="196">
        <f t="shared" si="19"/>
        <v>26673.582666881382</v>
      </c>
    </row>
    <row r="69" spans="1:28" ht="15.75" customHeight="1">
      <c r="A69" s="787">
        <v>42</v>
      </c>
      <c r="B69" s="794"/>
      <c r="C69" s="794" t="s">
        <v>54</v>
      </c>
      <c r="D69" s="796"/>
      <c r="E69" s="799">
        <f>-'CBR Hist'!U69</f>
        <v>-70794</v>
      </c>
      <c r="F69" s="804"/>
      <c r="G69" s="799">
        <v>0</v>
      </c>
      <c r="H69" s="799">
        <v>0</v>
      </c>
      <c r="I69" s="799">
        <v>2234</v>
      </c>
      <c r="J69" s="799">
        <v>0</v>
      </c>
      <c r="K69" s="839">
        <f>SUM(E69:J69)</f>
        <v>-68560</v>
      </c>
      <c r="L69" s="804"/>
      <c r="M69" s="801">
        <f>M65</f>
        <v>7.78534657584109E-2</v>
      </c>
      <c r="N69" s="805"/>
      <c r="O69" s="804">
        <f>K69*M69</f>
        <v>-5337.6336123966512</v>
      </c>
      <c r="P69" s="803">
        <f>K69+O69</f>
        <v>-73897.633612396647</v>
      </c>
      <c r="Q69" s="803"/>
      <c r="R69" s="803"/>
      <c r="S69" s="803"/>
      <c r="T69" s="803"/>
      <c r="U69" s="803">
        <v>-562</v>
      </c>
      <c r="V69" s="841">
        <f>P69+R69+S69+U69+T69</f>
        <v>-74459.633612396647</v>
      </c>
      <c r="W69" s="837"/>
      <c r="X69" s="197">
        <v>-74295.497300781994</v>
      </c>
      <c r="Y69" s="197">
        <v>-79036</v>
      </c>
      <c r="Z69" s="197">
        <f t="shared" si="19"/>
        <v>4740.5026992180065</v>
      </c>
    </row>
    <row r="70" spans="1:28" ht="30.75" customHeight="1">
      <c r="A70" s="787">
        <v>43</v>
      </c>
      <c r="B70" s="794"/>
      <c r="C70" s="842" t="s">
        <v>288</v>
      </c>
      <c r="D70" s="843"/>
      <c r="E70" s="807">
        <f>SUM(E65:E69)</f>
        <v>-823972</v>
      </c>
      <c r="F70" s="807">
        <f t="shared" ref="F70:J70" si="20">SUM(F65:F69)</f>
        <v>0</v>
      </c>
      <c r="G70" s="807">
        <f t="shared" si="20"/>
        <v>0</v>
      </c>
      <c r="H70" s="807">
        <f t="shared" ref="H70" si="21">SUM(H65:H69)</f>
        <v>0</v>
      </c>
      <c r="I70" s="807">
        <f t="shared" si="20"/>
        <v>-7545</v>
      </c>
      <c r="J70" s="807">
        <f t="shared" si="20"/>
        <v>0</v>
      </c>
      <c r="K70" s="808">
        <f>SUM(K65:K69)</f>
        <v>-831517</v>
      </c>
      <c r="L70" s="800"/>
      <c r="M70" s="819"/>
      <c r="N70" s="801"/>
      <c r="O70" s="839">
        <f>SUM(O65:O69)</f>
        <v>-64736.48028703656</v>
      </c>
      <c r="P70" s="839">
        <f>SUM(P65:P69)</f>
        <v>-896253.48028703663</v>
      </c>
      <c r="Q70" s="802"/>
      <c r="R70" s="799"/>
      <c r="S70" s="799"/>
      <c r="T70" s="839">
        <f>SUM(T65:T69)</f>
        <v>-1432</v>
      </c>
      <c r="U70" s="839">
        <f>SUM(U65:U69)</f>
        <v>-1639</v>
      </c>
      <c r="V70" s="839">
        <f>SUM(V65:V69)</f>
        <v>-899324.48028703663</v>
      </c>
      <c r="W70" s="839">
        <f>V70/$V$90</f>
        <v>-885482.90689976653</v>
      </c>
      <c r="X70" s="202">
        <f>SUM(X65:X69)</f>
        <v>-897391.42535112659</v>
      </c>
      <c r="Y70" s="202">
        <f t="shared" ref="Y70:Z70" si="22">SUM(Y65:Y69)</f>
        <v>-954629</v>
      </c>
      <c r="Z70" s="202">
        <f t="shared" si="22"/>
        <v>57237.574648873371</v>
      </c>
      <c r="AA70" s="51">
        <f>W70-Y70</f>
        <v>69146.093100233469</v>
      </c>
    </row>
    <row r="71" spans="1:28" ht="9" customHeight="1">
      <c r="A71" s="787"/>
      <c r="B71" s="794"/>
      <c r="C71" s="842"/>
      <c r="D71" s="843"/>
      <c r="E71" s="799"/>
      <c r="F71" s="839"/>
      <c r="G71" s="839"/>
      <c r="H71" s="839"/>
      <c r="I71" s="839"/>
      <c r="J71" s="839"/>
      <c r="K71" s="800"/>
      <c r="L71" s="800"/>
      <c r="M71" s="801"/>
      <c r="N71" s="801"/>
      <c r="O71" s="800"/>
      <c r="P71" s="802"/>
      <c r="Q71" s="802"/>
      <c r="R71" s="799"/>
      <c r="S71" s="799"/>
      <c r="T71" s="799"/>
      <c r="U71" s="799"/>
      <c r="V71" s="802"/>
      <c r="W71" s="799"/>
    </row>
    <row r="72" spans="1:28" ht="15.75" customHeight="1">
      <c r="A72" s="787">
        <v>44</v>
      </c>
      <c r="B72" s="794" t="s">
        <v>230</v>
      </c>
      <c r="C72" s="794"/>
      <c r="D72" s="796"/>
      <c r="E72" s="807">
        <f>E63+E70</f>
        <v>1550598</v>
      </c>
      <c r="F72" s="807">
        <f t="shared" ref="F72:Z72" si="23">F63+F70</f>
        <v>0</v>
      </c>
      <c r="G72" s="807">
        <f t="shared" si="23"/>
        <v>0</v>
      </c>
      <c r="H72" s="807">
        <f t="shared" ref="H72" si="24">H63+H70</f>
        <v>-18551</v>
      </c>
      <c r="I72" s="807">
        <f t="shared" si="23"/>
        <v>34719</v>
      </c>
      <c r="J72" s="807">
        <f t="shared" si="23"/>
        <v>0</v>
      </c>
      <c r="K72" s="807">
        <f t="shared" si="23"/>
        <v>1566766</v>
      </c>
      <c r="L72" s="807">
        <f t="shared" si="23"/>
        <v>0</v>
      </c>
      <c r="M72" s="807"/>
      <c r="N72" s="807">
        <f t="shared" si="23"/>
        <v>0</v>
      </c>
      <c r="O72" s="807">
        <f t="shared" si="23"/>
        <v>121978.16313244242</v>
      </c>
      <c r="P72" s="807">
        <f t="shared" si="23"/>
        <v>1688744.1631324424</v>
      </c>
      <c r="Q72" s="807">
        <f t="shared" si="23"/>
        <v>0</v>
      </c>
      <c r="R72" s="807"/>
      <c r="S72" s="807"/>
      <c r="T72" s="807">
        <f t="shared" ref="T72" si="25">T63+T70</f>
        <v>69863</v>
      </c>
      <c r="U72" s="807">
        <f t="shared" si="23"/>
        <v>24665</v>
      </c>
      <c r="V72" s="807">
        <f>V63+V70</f>
        <v>1783272.1631324424</v>
      </c>
      <c r="W72" s="799"/>
      <c r="X72" s="334">
        <f t="shared" si="23"/>
        <v>1769545.4071175205</v>
      </c>
      <c r="Y72" s="334">
        <f t="shared" si="23"/>
        <v>1824239</v>
      </c>
      <c r="Z72" s="334">
        <f t="shared" si="23"/>
        <v>-54693.592882479381</v>
      </c>
    </row>
    <row r="73" spans="1:28" ht="12.75" customHeight="1" thickBot="1">
      <c r="A73" s="787"/>
      <c r="B73" s="794"/>
      <c r="C73" s="794"/>
      <c r="D73" s="796"/>
      <c r="E73" s="799"/>
      <c r="F73" s="839"/>
      <c r="G73" s="839"/>
      <c r="H73" s="839"/>
      <c r="I73" s="839"/>
      <c r="J73" s="839"/>
      <c r="K73" s="800"/>
      <c r="L73" s="800"/>
      <c r="M73" s="801"/>
      <c r="N73" s="801"/>
      <c r="O73" s="811"/>
      <c r="P73" s="802"/>
      <c r="Q73" s="802"/>
      <c r="R73" s="799"/>
      <c r="S73" s="799"/>
      <c r="T73" s="799"/>
      <c r="U73" s="799"/>
      <c r="V73" s="802"/>
      <c r="W73" s="799"/>
    </row>
    <row r="74" spans="1:28" ht="13.5" customHeight="1" thickBot="1">
      <c r="A74" s="787">
        <v>45</v>
      </c>
      <c r="B74" s="794" t="s">
        <v>242</v>
      </c>
      <c r="C74" s="794"/>
      <c r="D74" s="796"/>
      <c r="E74" s="816">
        <f>'CBR Hist'!U73</f>
        <v>-300583</v>
      </c>
      <c r="F74" s="799"/>
      <c r="G74" s="799">
        <v>0</v>
      </c>
      <c r="H74" s="799">
        <v>0</v>
      </c>
      <c r="I74" s="799">
        <v>-10981</v>
      </c>
      <c r="J74" s="799">
        <v>0</v>
      </c>
      <c r="K74" s="839">
        <f>SUM(E74:J74)</f>
        <v>-311564</v>
      </c>
      <c r="L74" s="800"/>
      <c r="M74" s="884">
        <f>M58</f>
        <v>7.78534657584109E-2</v>
      </c>
      <c r="N74" s="813"/>
      <c r="O74" s="800">
        <f>M74*K74</f>
        <v>-24256.337205553533</v>
      </c>
      <c r="P74" s="802">
        <f>O74+K74</f>
        <v>-335820.33720555354</v>
      </c>
      <c r="Q74" s="802"/>
      <c r="R74" s="799"/>
      <c r="S74" s="799"/>
      <c r="T74" s="803">
        <v>-14178</v>
      </c>
      <c r="U74" s="803">
        <f>-3962</f>
        <v>-3962</v>
      </c>
      <c r="V74" s="841">
        <f>P74+R74+S74+U74+T74</f>
        <v>-353960.33720555354</v>
      </c>
      <c r="W74" s="839">
        <f>V74/$V$90</f>
        <v>-348512.50598222262</v>
      </c>
      <c r="X74" s="196">
        <v>-362582.79138544796</v>
      </c>
      <c r="Y74" s="196">
        <v>-390129</v>
      </c>
      <c r="Z74" s="196">
        <f t="shared" ref="Z74" si="26">X74-Y74</f>
        <v>27546.208614552044</v>
      </c>
      <c r="AA74" s="51">
        <f>W74-Y74</f>
        <v>41616.494017777382</v>
      </c>
    </row>
    <row r="75" spans="1:28" ht="15.75" customHeight="1">
      <c r="A75" s="787">
        <v>46</v>
      </c>
      <c r="B75" s="794"/>
      <c r="C75" s="794" t="s">
        <v>289</v>
      </c>
      <c r="D75" s="809"/>
      <c r="E75" s="807">
        <f>E72+E74</f>
        <v>1250015</v>
      </c>
      <c r="F75" s="807">
        <f t="shared" ref="F75:P75" si="27">F72+F74</f>
        <v>0</v>
      </c>
      <c r="G75" s="807">
        <f>G72+G74</f>
        <v>0</v>
      </c>
      <c r="H75" s="807">
        <f>H72+H74</f>
        <v>-18551</v>
      </c>
      <c r="I75" s="807">
        <f>I72+I74</f>
        <v>23738</v>
      </c>
      <c r="J75" s="807">
        <f t="shared" si="27"/>
        <v>0</v>
      </c>
      <c r="K75" s="807">
        <f t="shared" si="27"/>
        <v>1255202</v>
      </c>
      <c r="L75" s="807">
        <f t="shared" si="27"/>
        <v>0</v>
      </c>
      <c r="M75" s="807">
        <f>M72+M74</f>
        <v>7.78534657584109E-2</v>
      </c>
      <c r="N75" s="807">
        <f t="shared" si="27"/>
        <v>0</v>
      </c>
      <c r="O75" s="807">
        <f>O72+O74</f>
        <v>97721.825926888894</v>
      </c>
      <c r="P75" s="807">
        <f t="shared" si="27"/>
        <v>1352923.8259268887</v>
      </c>
      <c r="Q75" s="807"/>
      <c r="R75" s="807"/>
      <c r="S75" s="807"/>
      <c r="T75" s="807">
        <f>T72+T74</f>
        <v>55685</v>
      </c>
      <c r="U75" s="807">
        <f>U72+U74</f>
        <v>20703</v>
      </c>
      <c r="V75" s="807">
        <f>V72+V74</f>
        <v>1429311.8259268887</v>
      </c>
      <c r="W75" s="799"/>
      <c r="X75" s="334">
        <f>X72+X74</f>
        <v>1406962.6157320724</v>
      </c>
      <c r="Y75" s="334">
        <f t="shared" ref="Y75:Z75" si="28">Y72+Y74</f>
        <v>1434110</v>
      </c>
      <c r="Z75" s="334">
        <f t="shared" si="28"/>
        <v>-27147.384267927337</v>
      </c>
      <c r="AA75" s="486"/>
      <c r="AB75" s="486"/>
    </row>
    <row r="76" spans="1:28" ht="15.75" customHeight="1">
      <c r="A76" s="787">
        <v>47</v>
      </c>
      <c r="B76" s="794" t="s">
        <v>243</v>
      </c>
      <c r="C76" s="794"/>
      <c r="D76" s="796"/>
      <c r="E76" s="816">
        <f>'CBR Hist'!U75</f>
        <v>8204</v>
      </c>
      <c r="F76" s="844"/>
      <c r="G76" s="799">
        <v>-6302</v>
      </c>
      <c r="H76" s="799">
        <v>18551</v>
      </c>
      <c r="I76" s="799"/>
      <c r="J76" s="799"/>
      <c r="K76" s="839">
        <f>SUM(E76:J76)</f>
        <v>20453</v>
      </c>
      <c r="L76" s="800"/>
      <c r="M76" s="801">
        <v>0</v>
      </c>
      <c r="N76" s="801"/>
      <c r="O76" s="800">
        <f>M76*K76</f>
        <v>0</v>
      </c>
      <c r="P76" s="802">
        <f>O76+K76</f>
        <v>20453</v>
      </c>
      <c r="Q76" s="802"/>
      <c r="R76" s="799"/>
      <c r="S76" s="799"/>
      <c r="T76" s="799"/>
      <c r="U76" s="799"/>
      <c r="V76" s="836">
        <f>P76+R76+S76+U76+T76</f>
        <v>20453</v>
      </c>
      <c r="W76" s="837"/>
      <c r="X76" s="196">
        <f>V76/$V$90</f>
        <v>20138.206277939327</v>
      </c>
      <c r="Y76" s="196">
        <v>20453</v>
      </c>
      <c r="Z76" s="196">
        <f t="shared" ref="Z76:Z79" si="29">X76-Y76</f>
        <v>-314.79372206067274</v>
      </c>
    </row>
    <row r="77" spans="1:28" ht="15.75" customHeight="1">
      <c r="A77" s="787">
        <v>48</v>
      </c>
      <c r="B77" s="794" t="s">
        <v>117</v>
      </c>
      <c r="C77" s="794"/>
      <c r="D77" s="796"/>
      <c r="E77" s="816">
        <f>'CBR Hist'!U76</f>
        <v>56566</v>
      </c>
      <c r="F77" s="799"/>
      <c r="G77" s="799">
        <v>-7795</v>
      </c>
      <c r="H77" s="799">
        <v>0</v>
      </c>
      <c r="I77" s="799"/>
      <c r="J77" s="799"/>
      <c r="K77" s="839">
        <f>SUM(E77:J77)</f>
        <v>48771</v>
      </c>
      <c r="L77" s="800"/>
      <c r="M77" s="801">
        <v>0</v>
      </c>
      <c r="N77" s="801"/>
      <c r="O77" s="800">
        <f>M77*K77</f>
        <v>0</v>
      </c>
      <c r="P77" s="802">
        <f>O77+K77</f>
        <v>48771</v>
      </c>
      <c r="Q77" s="802"/>
      <c r="R77" s="799"/>
      <c r="S77" s="799"/>
      <c r="T77" s="799"/>
      <c r="U77" s="799"/>
      <c r="V77" s="836">
        <f>P77+R77+S77+U77+T77</f>
        <v>48771</v>
      </c>
      <c r="W77" s="837"/>
      <c r="X77" s="196">
        <f>V77/$V$90</f>
        <v>48020.361725975599</v>
      </c>
      <c r="Y77" s="196">
        <v>48772</v>
      </c>
      <c r="Z77" s="196">
        <f t="shared" si="29"/>
        <v>-751.63827402440074</v>
      </c>
      <c r="AA77" s="486"/>
      <c r="AB77" s="486"/>
    </row>
    <row r="78" spans="1:28" ht="12.75" customHeight="1" thickBot="1">
      <c r="A78" s="787"/>
      <c r="B78" s="794"/>
      <c r="C78" s="794"/>
      <c r="D78" s="796"/>
      <c r="E78" s="799"/>
      <c r="F78" s="799"/>
      <c r="G78" s="799"/>
      <c r="H78" s="799"/>
      <c r="I78" s="799"/>
      <c r="J78" s="799"/>
      <c r="K78" s="800"/>
      <c r="L78" s="800"/>
      <c r="M78" s="801"/>
      <c r="N78" s="801"/>
      <c r="O78" s="811"/>
      <c r="P78" s="802"/>
      <c r="Q78" s="802"/>
      <c r="R78" s="799"/>
      <c r="S78" s="799"/>
      <c r="T78" s="799"/>
      <c r="U78" s="799"/>
      <c r="V78" s="841">
        <f t="shared" ref="V78" si="30">P78+R78+S78+U78</f>
        <v>0</v>
      </c>
      <c r="W78" s="837"/>
      <c r="AA78" s="486"/>
    </row>
    <row r="79" spans="1:28" ht="15.75" customHeight="1" thickBot="1">
      <c r="A79" s="787">
        <v>49</v>
      </c>
      <c r="B79" s="794" t="s">
        <v>50</v>
      </c>
      <c r="C79" s="794"/>
      <c r="D79" s="796"/>
      <c r="E79" s="838">
        <f>SUM(E75:E77)</f>
        <v>1314785</v>
      </c>
      <c r="F79" s="838">
        <f t="shared" ref="F79:J79" si="31">SUM(F75:F77)</f>
        <v>0</v>
      </c>
      <c r="G79" s="838">
        <f t="shared" si="31"/>
        <v>-14097</v>
      </c>
      <c r="H79" s="838">
        <f t="shared" ref="H79" si="32">SUM(H75:H77)</f>
        <v>0</v>
      </c>
      <c r="I79" s="838">
        <f t="shared" si="31"/>
        <v>23738</v>
      </c>
      <c r="J79" s="838">
        <f t="shared" si="31"/>
        <v>0</v>
      </c>
      <c r="K79" s="845">
        <f>K72+K74+K76+K77</f>
        <v>1324426</v>
      </c>
      <c r="L79" s="845"/>
      <c r="M79" s="846"/>
      <c r="N79" s="846"/>
      <c r="O79" s="845">
        <f>O72+O74+O76+O77</f>
        <v>97721.825926888894</v>
      </c>
      <c r="P79" s="845">
        <f>P72+P74+P76+P77</f>
        <v>1422147.8259268887</v>
      </c>
      <c r="Q79" s="838"/>
      <c r="R79" s="838"/>
      <c r="S79" s="838"/>
      <c r="T79" s="838">
        <f>T72+T74+T76+T77</f>
        <v>55685</v>
      </c>
      <c r="U79" s="838">
        <f>U72+U74+U76+U77</f>
        <v>20703</v>
      </c>
      <c r="V79" s="877">
        <f>V72+V74+V76+V77</f>
        <v>1498535.8259268887</v>
      </c>
      <c r="W79" s="839">
        <f>V79/$V$90</f>
        <v>1475471.7438712104</v>
      </c>
      <c r="X79" s="644">
        <f>V79/$V$90+1</f>
        <v>1475472.7438712104</v>
      </c>
      <c r="Y79" s="644">
        <f>Y72+Y74+Y76+Y77</f>
        <v>1503335</v>
      </c>
      <c r="Z79" s="644">
        <f t="shared" si="29"/>
        <v>-27862.256128789624</v>
      </c>
      <c r="AA79" s="51">
        <f>W79-Y79</f>
        <v>-27863.256128789624</v>
      </c>
      <c r="AB79" s="485"/>
    </row>
    <row r="80" spans="1:28" ht="16.5" customHeight="1" thickTop="1" thickBot="1">
      <c r="A80" s="787"/>
      <c r="B80" s="794"/>
      <c r="C80" s="847" t="s">
        <v>743</v>
      </c>
      <c r="D80" s="848"/>
      <c r="E80" s="840"/>
      <c r="F80" s="840"/>
      <c r="G80" s="840"/>
      <c r="H80" s="840"/>
      <c r="I80" s="799"/>
      <c r="J80" s="891"/>
      <c r="K80" s="800"/>
      <c r="L80" s="800"/>
      <c r="M80" s="801"/>
      <c r="N80" s="801"/>
      <c r="O80" s="800"/>
      <c r="P80" s="802"/>
      <c r="Q80" s="802"/>
      <c r="R80" s="799"/>
      <c r="S80" s="799"/>
      <c r="T80" s="799"/>
      <c r="U80" s="799"/>
      <c r="V80" s="802"/>
      <c r="W80" s="640">
        <v>1503335</v>
      </c>
      <c r="X80" s="879">
        <f>X79-W80</f>
        <v>-27862.256128789624</v>
      </c>
    </row>
    <row r="81" spans="1:26" ht="18">
      <c r="A81" s="787"/>
      <c r="B81" s="794"/>
      <c r="C81" s="847" t="s">
        <v>742</v>
      </c>
      <c r="D81" s="848"/>
      <c r="E81" s="840"/>
      <c r="F81" s="840"/>
      <c r="G81" s="840"/>
      <c r="H81" s="840"/>
      <c r="I81" s="799"/>
      <c r="J81" s="891"/>
      <c r="K81" s="800"/>
      <c r="L81" s="800"/>
      <c r="M81" s="801"/>
      <c r="N81" s="801"/>
      <c r="O81" s="800"/>
      <c r="P81" s="802"/>
      <c r="Q81" s="802"/>
      <c r="R81" s="799"/>
      <c r="S81" s="799"/>
      <c r="T81" s="799"/>
      <c r="U81" s="799"/>
      <c r="V81" s="802"/>
      <c r="W81" s="640"/>
      <c r="X81" s="890"/>
    </row>
    <row r="82" spans="1:26" ht="15.75" customHeight="1">
      <c r="A82" s="787">
        <v>50</v>
      </c>
      <c r="B82" s="794" t="s">
        <v>49</v>
      </c>
      <c r="C82" s="794"/>
      <c r="D82" s="796"/>
      <c r="E82" s="813">
        <f>E54/E79</f>
        <v>8.3413637971227236E-2</v>
      </c>
      <c r="F82" s="844"/>
      <c r="G82" s="844"/>
      <c r="H82" s="844"/>
      <c r="I82" s="844"/>
      <c r="J82" s="813"/>
      <c r="K82" s="407"/>
      <c r="L82" s="849"/>
      <c r="M82" s="801"/>
      <c r="N82" s="801"/>
      <c r="O82" s="801"/>
      <c r="P82" s="850"/>
      <c r="Q82" s="850"/>
      <c r="R82" s="813"/>
      <c r="S82" s="813"/>
      <c r="T82" s="851">
        <f>((T79*V85)-T54)/V88</f>
        <v>7332.697333608663</v>
      </c>
      <c r="U82" s="851">
        <f>((U79*V85)-U54)/V88</f>
        <v>5659.1790779913008</v>
      </c>
      <c r="V82" s="852">
        <f>V54/V79</f>
        <v>6.0197045322679728E-2</v>
      </c>
      <c r="W82" s="883">
        <f>W79-W80</f>
        <v>-27863.256128789624</v>
      </c>
      <c r="Z82" s="51"/>
    </row>
    <row r="83" spans="1:26" s="47" customFormat="1" ht="4.5" customHeight="1" thickBot="1">
      <c r="B83" s="153"/>
      <c r="C83" s="152"/>
      <c r="D83" s="46"/>
      <c r="E83" s="203"/>
      <c r="F83" s="200"/>
      <c r="G83" s="200"/>
      <c r="H83" s="200"/>
      <c r="I83" s="200"/>
      <c r="J83" s="200"/>
      <c r="K83" s="151"/>
      <c r="L83" s="151"/>
      <c r="M83" s="204"/>
      <c r="N83" s="204"/>
      <c r="O83" s="153"/>
      <c r="P83" s="205"/>
      <c r="Q83" s="205"/>
      <c r="R83" s="196"/>
      <c r="S83" s="196"/>
      <c r="T83" s="196"/>
      <c r="U83" s="196"/>
      <c r="V83" s="152"/>
      <c r="W83" s="199"/>
    </row>
    <row r="84" spans="1:26" s="47" customFormat="1" ht="15.75" customHeight="1">
      <c r="B84" s="853" t="s">
        <v>278</v>
      </c>
      <c r="C84" s="854"/>
      <c r="D84" s="854"/>
      <c r="E84" s="855"/>
      <c r="F84" s="856"/>
      <c r="G84" s="856"/>
      <c r="H84" s="856"/>
      <c r="I84" s="856"/>
      <c r="J84" s="856"/>
      <c r="K84" s="857"/>
      <c r="L84" s="857"/>
      <c r="M84" s="858"/>
      <c r="N84" s="858"/>
      <c r="O84" s="858"/>
      <c r="P84" s="854"/>
      <c r="Q84" s="854"/>
      <c r="R84" s="859"/>
      <c r="S84" s="859"/>
      <c r="T84" s="859"/>
      <c r="U84" s="859"/>
      <c r="V84" s="854"/>
      <c r="W84" s="496" t="s">
        <v>616</v>
      </c>
      <c r="Z84" s="492"/>
    </row>
    <row r="85" spans="1:26" s="150" customFormat="1" ht="15.75" customHeight="1">
      <c r="A85" s="787">
        <v>50</v>
      </c>
      <c r="B85" s="860" t="s">
        <v>276</v>
      </c>
      <c r="C85" s="861"/>
      <c r="D85" s="862"/>
      <c r="E85" s="81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52">
        <f>ROR!F15</f>
        <v>7.6399999999999996E-2</v>
      </c>
      <c r="W85" s="852"/>
      <c r="Z85" s="493"/>
    </row>
    <row r="86" spans="1:26" s="150" customFormat="1" ht="15.75" customHeight="1">
      <c r="A86" s="787">
        <v>51</v>
      </c>
      <c r="B86" s="860" t="s">
        <v>290</v>
      </c>
      <c r="C86" s="864"/>
      <c r="D86" s="862"/>
      <c r="E86" s="799"/>
      <c r="F86" s="863"/>
      <c r="G86" s="863"/>
      <c r="H86" s="863"/>
      <c r="I86" s="863"/>
      <c r="J86" s="863"/>
      <c r="K86" s="863"/>
      <c r="L86" s="863"/>
      <c r="M86" s="863"/>
      <c r="N86" s="863"/>
      <c r="O86" s="863"/>
      <c r="P86" s="863"/>
      <c r="Q86" s="863"/>
      <c r="R86" s="863"/>
      <c r="S86" s="863"/>
      <c r="T86" s="863"/>
      <c r="U86" s="863"/>
      <c r="V86" s="799">
        <f>V85*V79</f>
        <v>114488.13710081429</v>
      </c>
      <c r="W86" s="799"/>
    </row>
    <row r="87" spans="1:26" s="150" customFormat="1" ht="15.75" customHeight="1">
      <c r="A87" s="787">
        <v>52</v>
      </c>
      <c r="B87" s="860" t="s">
        <v>279</v>
      </c>
      <c r="C87" s="861"/>
      <c r="D87" s="861"/>
      <c r="E87" s="799"/>
      <c r="F87" s="863"/>
      <c r="G87" s="863"/>
      <c r="H87" s="863"/>
      <c r="I87" s="863"/>
      <c r="J87" s="863"/>
      <c r="K87" s="863"/>
      <c r="L87" s="863"/>
      <c r="M87" s="863"/>
      <c r="N87" s="863"/>
      <c r="O87" s="863"/>
      <c r="P87" s="863"/>
      <c r="Q87" s="863"/>
      <c r="R87" s="863"/>
      <c r="S87" s="863"/>
      <c r="T87" s="863"/>
      <c r="U87" s="863"/>
      <c r="V87" s="799">
        <f>V86-V54</f>
        <v>24280.708069834072</v>
      </c>
      <c r="W87" s="839">
        <f>V87/$V$90</f>
        <v>23907.001793611922</v>
      </c>
    </row>
    <row r="88" spans="1:26" s="150" customFormat="1" ht="15.75" customHeight="1">
      <c r="A88" s="787">
        <v>53</v>
      </c>
      <c r="B88" s="860" t="s">
        <v>94</v>
      </c>
      <c r="C88" s="861"/>
      <c r="D88" s="861"/>
      <c r="E88" s="865"/>
      <c r="F88" s="863"/>
      <c r="G88" s="863"/>
      <c r="H88" s="863"/>
      <c r="I88" s="863"/>
      <c r="J88" s="863"/>
      <c r="K88" s="863"/>
      <c r="L88" s="863"/>
      <c r="M88" s="863"/>
      <c r="N88" s="863"/>
      <c r="O88" s="863"/>
      <c r="P88" s="863"/>
      <c r="Q88" s="863"/>
      <c r="R88" s="863"/>
      <c r="S88" s="863"/>
      <c r="T88" s="863"/>
      <c r="U88" s="863"/>
      <c r="V88" s="865">
        <f>ROR!L24</f>
        <v>0.61986399999999997</v>
      </c>
      <c r="W88" s="865"/>
    </row>
    <row r="89" spans="1:26" s="150" customFormat="1" ht="15.75" customHeight="1">
      <c r="A89" s="787">
        <v>54</v>
      </c>
      <c r="B89" s="860" t="s">
        <v>48</v>
      </c>
      <c r="C89" s="861"/>
      <c r="D89" s="861"/>
      <c r="E89" s="799"/>
      <c r="F89" s="863"/>
      <c r="G89" s="863"/>
      <c r="H89" s="863"/>
      <c r="I89" s="863"/>
      <c r="J89" s="863"/>
      <c r="K89" s="863"/>
      <c r="L89" s="863"/>
      <c r="M89" s="863"/>
      <c r="N89" s="863"/>
      <c r="O89" s="863"/>
      <c r="P89" s="863"/>
      <c r="Q89" s="863"/>
      <c r="R89" s="863"/>
      <c r="S89" s="863"/>
      <c r="T89" s="863"/>
      <c r="U89" s="863"/>
      <c r="V89" s="799">
        <f>V87/V88</f>
        <v>39171.024724510658</v>
      </c>
      <c r="W89" s="799"/>
    </row>
    <row r="90" spans="1:26" s="45" customFormat="1" ht="15.75" customHeight="1" thickBot="1">
      <c r="A90" s="787">
        <v>55</v>
      </c>
      <c r="B90" s="860" t="s">
        <v>115</v>
      </c>
      <c r="C90" s="861"/>
      <c r="D90" s="861"/>
      <c r="E90" s="866"/>
      <c r="F90" s="863"/>
      <c r="G90" s="863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74">
        <f>'Weighted Revenue Growth'!J25+1</f>
        <v>1.0156316663816041</v>
      </c>
      <c r="W90" s="874"/>
      <c r="Y90" s="412"/>
    </row>
    <row r="91" spans="1:26" s="45" customFormat="1" ht="18" customHeight="1" thickBot="1">
      <c r="A91" s="787">
        <v>56</v>
      </c>
      <c r="B91" s="867" t="s">
        <v>280</v>
      </c>
      <c r="C91" s="868"/>
      <c r="D91" s="869"/>
      <c r="E91" s="870"/>
      <c r="F91" s="871"/>
      <c r="G91" s="871"/>
      <c r="H91" s="871"/>
      <c r="I91" s="871"/>
      <c r="J91" s="871"/>
      <c r="K91" s="871"/>
      <c r="L91" s="871"/>
      <c r="M91" s="871"/>
      <c r="N91" s="871"/>
      <c r="O91" s="871"/>
      <c r="P91" s="871"/>
      <c r="Q91" s="871"/>
      <c r="R91" s="871"/>
      <c r="S91" s="871"/>
      <c r="T91" s="871"/>
      <c r="U91" s="871"/>
      <c r="V91" s="878">
        <f>V89/V90</f>
        <v>38568.140420498567</v>
      </c>
      <c r="W91" s="875"/>
    </row>
    <row r="92" spans="1:26" ht="3.75" customHeight="1">
      <c r="B92" s="861"/>
      <c r="C92" s="861"/>
      <c r="D92" s="861"/>
      <c r="E92" s="861"/>
      <c r="F92" s="813"/>
      <c r="G92" s="813"/>
      <c r="H92" s="813"/>
      <c r="I92" s="813"/>
      <c r="J92" s="813"/>
      <c r="K92" s="872"/>
      <c r="L92" s="872"/>
      <c r="M92" s="813"/>
      <c r="N92" s="813"/>
      <c r="O92" s="813"/>
      <c r="P92" s="795"/>
      <c r="Q92" s="795"/>
      <c r="R92" s="795"/>
      <c r="S92" s="795"/>
      <c r="T92" s="795"/>
      <c r="U92" s="795"/>
      <c r="V92" s="795"/>
      <c r="W92" s="796"/>
    </row>
    <row r="93" spans="1:26" ht="11.1" customHeight="1">
      <c r="B93" s="46"/>
      <c r="C93" s="46"/>
      <c r="E93" s="46"/>
      <c r="F93" s="46"/>
      <c r="G93" s="46"/>
      <c r="H93" s="46"/>
      <c r="I93" s="46"/>
      <c r="J93" s="46"/>
      <c r="K93" s="85"/>
      <c r="L93" s="85"/>
      <c r="M93" s="46"/>
      <c r="N93" s="46"/>
      <c r="O93" s="46"/>
      <c r="P93" s="49"/>
      <c r="Q93" s="49"/>
      <c r="S93" s="49"/>
      <c r="T93" s="49"/>
      <c r="U93" s="49"/>
      <c r="V93" s="49"/>
      <c r="W93" s="46"/>
    </row>
    <row r="94" spans="1:26" ht="15.6" customHeight="1">
      <c r="C94" s="49"/>
      <c r="E94" s="46"/>
      <c r="F94" s="49"/>
      <c r="G94" s="49"/>
      <c r="H94" s="49"/>
      <c r="I94" s="49"/>
      <c r="J94" s="49"/>
      <c r="K94" s="198"/>
      <c r="L94" s="84"/>
      <c r="M94" s="46"/>
      <c r="N94" s="46"/>
      <c r="O94" s="46"/>
      <c r="P94" s="49"/>
      <c r="Q94" s="49"/>
      <c r="S94" s="49"/>
      <c r="T94" s="49"/>
      <c r="U94" s="49"/>
      <c r="V94" s="206"/>
      <c r="W94" s="206"/>
    </row>
    <row r="95" spans="1:26" ht="11.1" customHeight="1">
      <c r="C95" s="49"/>
      <c r="E95" s="46"/>
      <c r="F95" s="49"/>
      <c r="G95" s="49"/>
      <c r="H95" s="49"/>
      <c r="I95" s="49"/>
      <c r="J95" s="49"/>
      <c r="K95" s="84"/>
      <c r="L95" s="84"/>
      <c r="M95" s="46"/>
      <c r="N95" s="46"/>
      <c r="O95" s="46"/>
      <c r="P95" s="49"/>
      <c r="Q95" s="49"/>
      <c r="S95" s="49"/>
      <c r="T95" s="49"/>
      <c r="U95" s="49"/>
      <c r="V95" s="49"/>
      <c r="W95" s="46"/>
    </row>
    <row r="96" spans="1:26" ht="15.75">
      <c r="C96" s="49"/>
      <c r="E96" s="46"/>
      <c r="F96" s="49"/>
      <c r="G96" s="49"/>
      <c r="H96" s="49"/>
      <c r="I96" s="49"/>
      <c r="J96" s="49"/>
      <c r="K96" s="198"/>
      <c r="L96" s="84"/>
      <c r="M96" s="46"/>
      <c r="N96" s="46"/>
      <c r="O96" s="46"/>
      <c r="P96" s="49"/>
      <c r="Q96" s="49"/>
      <c r="S96" s="49"/>
      <c r="T96" s="49"/>
      <c r="U96" s="49"/>
      <c r="V96" s="51"/>
      <c r="W96" s="881"/>
    </row>
    <row r="97" spans="3:23" ht="15.75">
      <c r="C97" s="49"/>
      <c r="E97" s="46"/>
      <c r="F97" s="49"/>
      <c r="G97" s="49"/>
      <c r="H97" s="49"/>
      <c r="I97" s="49"/>
      <c r="J97" s="49"/>
      <c r="K97" s="376"/>
      <c r="L97" s="84"/>
      <c r="M97" s="46"/>
      <c r="N97" s="46"/>
      <c r="O97" s="46"/>
      <c r="P97" s="49"/>
      <c r="Q97" s="49"/>
      <c r="S97" s="49"/>
      <c r="T97" s="49"/>
      <c r="U97" s="49"/>
      <c r="V97" s="49"/>
      <c r="W97" s="46"/>
    </row>
    <row r="98" spans="3:23" ht="15.75">
      <c r="C98" s="49"/>
      <c r="E98" s="46"/>
      <c r="F98" s="49"/>
      <c r="G98" s="49"/>
      <c r="H98" s="49"/>
      <c r="I98" s="49"/>
      <c r="J98" s="49"/>
      <c r="K98" s="376"/>
      <c r="L98" s="84"/>
      <c r="M98" s="46"/>
      <c r="N98" s="46"/>
      <c r="O98" s="46"/>
      <c r="P98" s="49"/>
      <c r="Q98" s="49"/>
      <c r="S98" s="49"/>
      <c r="T98" s="49"/>
      <c r="U98" s="49"/>
      <c r="V98" s="49"/>
      <c r="W98" s="46"/>
    </row>
    <row r="99" spans="3:23" ht="15.75">
      <c r="C99" s="49"/>
      <c r="E99" s="46"/>
      <c r="F99" s="49"/>
      <c r="G99" s="49"/>
      <c r="H99" s="49"/>
      <c r="I99" s="49"/>
      <c r="J99" s="49"/>
      <c r="K99" s="207"/>
      <c r="L99" s="84"/>
      <c r="M99" s="46"/>
      <c r="N99" s="46"/>
      <c r="O99" s="46"/>
      <c r="P99" s="49"/>
      <c r="Q99" s="49"/>
      <c r="S99" s="49"/>
      <c r="T99" s="49"/>
      <c r="U99" s="49"/>
      <c r="V99" s="49"/>
      <c r="W99" s="46"/>
    </row>
    <row r="100" spans="3:23" ht="15.75">
      <c r="C100" s="49"/>
      <c r="E100" s="46"/>
      <c r="F100" s="49"/>
      <c r="G100" s="49"/>
      <c r="H100" s="49"/>
      <c r="I100" s="49"/>
      <c r="J100" s="49"/>
      <c r="K100" s="376"/>
      <c r="L100" s="84"/>
      <c r="M100" s="46"/>
      <c r="N100" s="46"/>
      <c r="O100" s="46"/>
      <c r="P100" s="49"/>
      <c r="Q100" s="49"/>
      <c r="S100" s="49"/>
      <c r="T100" s="49"/>
      <c r="U100" s="49"/>
      <c r="V100" s="49"/>
      <c r="W100" s="46"/>
    </row>
    <row r="101" spans="3:23" ht="11.1" customHeight="1">
      <c r="C101" s="49"/>
      <c r="E101" s="46"/>
      <c r="F101" s="49"/>
      <c r="G101" s="49"/>
      <c r="H101" s="49"/>
      <c r="I101" s="49"/>
      <c r="J101" s="49"/>
      <c r="K101" s="84"/>
      <c r="L101" s="84"/>
      <c r="M101" s="46"/>
      <c r="N101" s="46"/>
      <c r="O101" s="46"/>
      <c r="P101" s="49"/>
      <c r="Q101" s="49"/>
      <c r="S101" s="49"/>
      <c r="T101" s="49"/>
      <c r="U101" s="49"/>
      <c r="V101" s="49"/>
      <c r="W101" s="46"/>
    </row>
    <row r="102" spans="3:23" ht="11.1" customHeight="1">
      <c r="C102" s="49"/>
      <c r="E102" s="46"/>
      <c r="F102" s="49"/>
      <c r="G102" s="49"/>
      <c r="H102" s="49"/>
      <c r="I102" s="49"/>
      <c r="J102" s="49"/>
      <c r="K102" s="84"/>
      <c r="L102" s="84"/>
      <c r="M102" s="46"/>
      <c r="N102" s="46"/>
      <c r="O102" s="46"/>
      <c r="P102" s="49"/>
      <c r="Q102" s="49"/>
      <c r="S102" s="49"/>
      <c r="T102" s="49"/>
      <c r="U102" s="49"/>
      <c r="V102" s="49"/>
      <c r="W102" s="46"/>
    </row>
    <row r="103" spans="3:23" ht="11.1" customHeight="1">
      <c r="C103" s="49"/>
      <c r="E103" s="46"/>
      <c r="F103" s="49"/>
      <c r="G103" s="49"/>
      <c r="H103" s="49"/>
      <c r="I103" s="49"/>
      <c r="J103" s="49"/>
      <c r="K103" s="84"/>
      <c r="L103" s="84"/>
      <c r="M103" s="46"/>
      <c r="N103" s="46"/>
      <c r="O103" s="46"/>
      <c r="P103" s="49"/>
      <c r="Q103" s="49"/>
      <c r="S103" s="49"/>
      <c r="T103" s="49"/>
      <c r="U103" s="49"/>
      <c r="V103" s="49"/>
      <c r="W103" s="46"/>
    </row>
    <row r="104" spans="3:23" ht="11.1" customHeight="1">
      <c r="C104" s="49"/>
      <c r="E104" s="46"/>
      <c r="F104" s="49"/>
      <c r="G104" s="49"/>
      <c r="H104" s="49"/>
      <c r="I104" s="49"/>
      <c r="J104" s="49"/>
      <c r="K104" s="84"/>
      <c r="L104" s="84"/>
      <c r="M104" s="46"/>
      <c r="N104" s="46"/>
      <c r="O104" s="46"/>
      <c r="P104" s="49"/>
      <c r="Q104" s="49"/>
      <c r="S104" s="49"/>
      <c r="T104" s="49"/>
      <c r="U104" s="49"/>
      <c r="V104" s="49"/>
      <c r="W104" s="46"/>
    </row>
    <row r="105" spans="3:23" ht="11.1" customHeight="1">
      <c r="C105" s="49"/>
      <c r="E105" s="46"/>
      <c r="G105" s="138"/>
      <c r="H105" s="138"/>
      <c r="I105" s="138"/>
      <c r="J105" s="138"/>
      <c r="K105" s="47"/>
      <c r="L105" s="47"/>
      <c r="M105" s="48"/>
      <c r="N105" s="48"/>
      <c r="O105" s="48"/>
      <c r="P105" s="49"/>
      <c r="Q105" s="49"/>
      <c r="S105" s="49"/>
      <c r="T105" s="49"/>
      <c r="U105" s="49"/>
      <c r="V105" s="49"/>
      <c r="W105" s="46"/>
    </row>
    <row r="106" spans="3:23" ht="11.1" customHeight="1">
      <c r="C106" s="49"/>
      <c r="E106" s="46"/>
      <c r="G106" s="138"/>
      <c r="H106" s="138"/>
      <c r="I106" s="138"/>
      <c r="J106" s="138"/>
      <c r="K106" s="47"/>
      <c r="L106" s="47"/>
      <c r="M106" s="48"/>
      <c r="N106" s="48"/>
      <c r="O106" s="48"/>
      <c r="P106" s="49"/>
      <c r="Q106" s="49"/>
      <c r="S106" s="49"/>
      <c r="T106" s="49"/>
      <c r="U106" s="49"/>
      <c r="V106" s="49"/>
      <c r="W106" s="46"/>
    </row>
    <row r="107" spans="3:23" ht="11.1" customHeight="1">
      <c r="C107" s="49"/>
      <c r="E107" s="46"/>
      <c r="G107" s="138"/>
      <c r="H107" s="138"/>
      <c r="I107" s="138"/>
      <c r="J107" s="138"/>
      <c r="K107" s="47"/>
      <c r="L107" s="47"/>
      <c r="M107" s="48"/>
      <c r="N107" s="48"/>
      <c r="O107" s="48"/>
      <c r="P107" s="49"/>
      <c r="Q107" s="49"/>
      <c r="S107" s="49"/>
      <c r="T107" s="49"/>
      <c r="U107" s="49"/>
      <c r="V107" s="49"/>
      <c r="W107" s="46"/>
    </row>
    <row r="108" spans="3:23" ht="11.1" customHeight="1">
      <c r="C108" s="49"/>
      <c r="E108" s="46"/>
      <c r="G108" s="138"/>
      <c r="H108" s="138"/>
      <c r="I108" s="138"/>
      <c r="J108" s="138"/>
      <c r="K108" s="47"/>
      <c r="L108" s="47"/>
      <c r="M108" s="48"/>
      <c r="N108" s="48"/>
      <c r="O108" s="48"/>
      <c r="P108" s="49"/>
      <c r="Q108" s="49"/>
      <c r="S108" s="49"/>
      <c r="T108" s="49"/>
      <c r="U108" s="49"/>
      <c r="V108" s="49"/>
      <c r="W108" s="46"/>
    </row>
    <row r="109" spans="3:23" ht="11.1" customHeight="1">
      <c r="C109" s="49"/>
      <c r="E109" s="46"/>
      <c r="G109" s="138"/>
      <c r="H109" s="138"/>
      <c r="I109" s="138"/>
      <c r="J109" s="138"/>
      <c r="K109" s="47"/>
      <c r="L109" s="47"/>
      <c r="M109" s="48"/>
      <c r="N109" s="48"/>
      <c r="O109" s="48"/>
      <c r="P109" s="49"/>
      <c r="Q109" s="49"/>
      <c r="S109" s="49"/>
      <c r="T109" s="49"/>
      <c r="U109" s="49"/>
      <c r="V109" s="49"/>
      <c r="W109" s="46"/>
    </row>
    <row r="110" spans="3:23" ht="11.1" customHeight="1">
      <c r="C110" s="49"/>
      <c r="E110" s="46"/>
      <c r="G110" s="138"/>
      <c r="H110" s="138"/>
      <c r="I110" s="138"/>
      <c r="J110" s="138"/>
      <c r="K110" s="47"/>
      <c r="L110" s="47"/>
      <c r="M110" s="48"/>
      <c r="N110" s="48"/>
      <c r="O110" s="48"/>
      <c r="P110" s="49"/>
      <c r="Q110" s="49"/>
      <c r="S110" s="49"/>
      <c r="T110" s="49"/>
      <c r="U110" s="49"/>
      <c r="V110" s="49"/>
      <c r="W110" s="46"/>
    </row>
    <row r="111" spans="3:23" ht="11.1" customHeight="1">
      <c r="C111" s="49"/>
      <c r="E111" s="46"/>
      <c r="G111" s="138"/>
      <c r="H111" s="138"/>
      <c r="I111" s="138"/>
      <c r="J111" s="138"/>
      <c r="K111" s="47"/>
      <c r="L111" s="47"/>
      <c r="M111" s="48"/>
      <c r="N111" s="48"/>
      <c r="O111" s="48"/>
      <c r="P111" s="49"/>
      <c r="Q111" s="49"/>
      <c r="S111" s="49"/>
      <c r="T111" s="49"/>
      <c r="U111" s="49"/>
      <c r="V111" s="49"/>
      <c r="W111" s="46"/>
    </row>
    <row r="112" spans="3:23" ht="11.1" customHeight="1">
      <c r="C112" s="49"/>
      <c r="E112" s="46"/>
      <c r="G112" s="138"/>
      <c r="H112" s="138"/>
      <c r="I112" s="138"/>
      <c r="J112" s="138"/>
      <c r="K112" s="47"/>
      <c r="L112" s="47"/>
      <c r="M112" s="48"/>
      <c r="N112" s="48"/>
      <c r="O112" s="48"/>
      <c r="P112" s="49"/>
      <c r="Q112" s="49"/>
      <c r="S112" s="49"/>
      <c r="T112" s="49"/>
      <c r="U112" s="49"/>
      <c r="V112" s="49"/>
      <c r="W112" s="46"/>
    </row>
    <row r="113" spans="3:23" ht="11.1" customHeight="1">
      <c r="C113" s="49"/>
      <c r="E113" s="46"/>
      <c r="G113" s="138"/>
      <c r="H113" s="138"/>
      <c r="I113" s="138"/>
      <c r="J113" s="138"/>
      <c r="K113" s="47"/>
      <c r="L113" s="47"/>
      <c r="M113" s="48"/>
      <c r="N113" s="48"/>
      <c r="O113" s="48"/>
      <c r="P113" s="49"/>
      <c r="Q113" s="49"/>
      <c r="S113" s="49"/>
      <c r="T113" s="49"/>
      <c r="U113" s="49"/>
      <c r="V113" s="49"/>
      <c r="W113" s="46"/>
    </row>
    <row r="114" spans="3:23" ht="11.1" customHeight="1">
      <c r="C114" s="49"/>
      <c r="E114" s="46"/>
      <c r="G114" s="138"/>
      <c r="H114" s="138"/>
      <c r="I114" s="138"/>
      <c r="J114" s="138"/>
      <c r="K114" s="47"/>
      <c r="L114" s="47"/>
      <c r="M114" s="48"/>
      <c r="N114" s="48"/>
      <c r="O114" s="48"/>
      <c r="P114" s="49"/>
      <c r="Q114" s="49"/>
      <c r="S114" s="49"/>
      <c r="T114" s="49"/>
      <c r="U114" s="49"/>
      <c r="V114" s="49"/>
      <c r="W114" s="46"/>
    </row>
    <row r="115" spans="3:23" ht="11.1" customHeight="1">
      <c r="C115" s="49"/>
      <c r="E115" s="46"/>
      <c r="G115" s="138"/>
      <c r="H115" s="138"/>
      <c r="I115" s="138"/>
      <c r="J115" s="138"/>
      <c r="K115" s="47"/>
      <c r="L115" s="47"/>
      <c r="M115" s="48"/>
      <c r="N115" s="48"/>
      <c r="O115" s="48"/>
      <c r="P115" s="49"/>
      <c r="Q115" s="49"/>
      <c r="S115" s="49"/>
      <c r="T115" s="49"/>
      <c r="U115" s="49"/>
      <c r="V115" s="49"/>
      <c r="W115" s="46"/>
    </row>
    <row r="116" spans="3:23" ht="11.1" customHeight="1">
      <c r="C116" s="49"/>
      <c r="E116" s="46"/>
      <c r="G116" s="138"/>
      <c r="H116" s="138"/>
      <c r="I116" s="138"/>
      <c r="J116" s="138"/>
      <c r="K116" s="47"/>
      <c r="L116" s="47"/>
      <c r="M116" s="48"/>
      <c r="N116" s="48"/>
      <c r="O116" s="48"/>
      <c r="P116" s="49"/>
      <c r="Q116" s="49"/>
      <c r="S116" s="49"/>
      <c r="T116" s="49"/>
      <c r="U116" s="49"/>
      <c r="V116" s="49"/>
      <c r="W116" s="46"/>
    </row>
    <row r="117" spans="3:23" ht="11.1" customHeight="1">
      <c r="C117" s="49"/>
      <c r="E117" s="46"/>
      <c r="G117" s="138"/>
      <c r="H117" s="138"/>
      <c r="I117" s="138"/>
      <c r="J117" s="138"/>
      <c r="K117" s="47"/>
      <c r="L117" s="47"/>
      <c r="M117" s="48"/>
      <c r="N117" s="48"/>
      <c r="O117" s="48"/>
      <c r="P117" s="49"/>
      <c r="Q117" s="49"/>
      <c r="S117" s="49"/>
      <c r="T117" s="49"/>
      <c r="U117" s="49"/>
      <c r="V117" s="49"/>
      <c r="W117" s="46"/>
    </row>
    <row r="118" spans="3:23" ht="11.1" customHeight="1">
      <c r="C118" s="49"/>
      <c r="E118" s="46"/>
      <c r="G118" s="138"/>
      <c r="H118" s="138"/>
      <c r="I118" s="138"/>
      <c r="J118" s="138"/>
      <c r="K118" s="47"/>
      <c r="L118" s="47"/>
      <c r="M118" s="48"/>
      <c r="N118" s="48"/>
      <c r="O118" s="48"/>
      <c r="P118" s="49"/>
      <c r="Q118" s="49"/>
      <c r="S118" s="49"/>
      <c r="T118" s="49"/>
      <c r="U118" s="49"/>
      <c r="V118" s="49"/>
      <c r="W118" s="46"/>
    </row>
    <row r="119" spans="3:23" ht="11.1" customHeight="1">
      <c r="C119" s="49"/>
      <c r="E119" s="46"/>
      <c r="G119" s="138"/>
      <c r="H119" s="138"/>
      <c r="I119" s="138"/>
      <c r="J119" s="138"/>
      <c r="K119" s="47"/>
      <c r="L119" s="47"/>
      <c r="M119" s="48"/>
      <c r="N119" s="48"/>
      <c r="O119" s="48"/>
      <c r="P119" s="49"/>
      <c r="Q119" s="49"/>
      <c r="S119" s="49"/>
      <c r="T119" s="49"/>
      <c r="U119" s="49"/>
      <c r="V119" s="49"/>
      <c r="W119" s="46"/>
    </row>
    <row r="120" spans="3:23" ht="11.1" customHeight="1">
      <c r="C120" s="49"/>
      <c r="E120" s="46"/>
      <c r="G120" s="138"/>
      <c r="H120" s="138"/>
      <c r="I120" s="138"/>
      <c r="J120" s="138"/>
      <c r="K120" s="47"/>
      <c r="L120" s="47"/>
      <c r="M120" s="48"/>
      <c r="N120" s="48"/>
      <c r="O120" s="48"/>
      <c r="P120" s="49"/>
      <c r="Q120" s="49"/>
      <c r="S120" s="49"/>
      <c r="T120" s="49"/>
      <c r="U120" s="49"/>
      <c r="V120" s="49"/>
      <c r="W120" s="46"/>
    </row>
    <row r="121" spans="3:23" ht="11.1" customHeight="1">
      <c r="C121" s="49"/>
      <c r="E121" s="46"/>
      <c r="G121" s="138"/>
      <c r="H121" s="138"/>
      <c r="I121" s="138"/>
      <c r="J121" s="138"/>
      <c r="K121" s="47"/>
      <c r="L121" s="47"/>
      <c r="M121" s="48"/>
      <c r="N121" s="48"/>
      <c r="O121" s="48"/>
      <c r="P121" s="49"/>
      <c r="Q121" s="49"/>
      <c r="S121" s="49"/>
      <c r="T121" s="49"/>
      <c r="U121" s="49"/>
      <c r="V121" s="49"/>
      <c r="W121" s="46"/>
    </row>
    <row r="122" spans="3:23" ht="11.1" customHeight="1">
      <c r="C122" s="49"/>
      <c r="E122" s="46"/>
      <c r="G122" s="138"/>
      <c r="H122" s="138"/>
      <c r="I122" s="138"/>
      <c r="J122" s="138"/>
      <c r="K122" s="47"/>
      <c r="L122" s="47"/>
      <c r="M122" s="48"/>
      <c r="N122" s="48"/>
      <c r="O122" s="48"/>
      <c r="P122" s="49"/>
      <c r="Q122" s="49"/>
      <c r="S122" s="49"/>
      <c r="T122" s="49"/>
      <c r="U122" s="49"/>
      <c r="V122" s="49"/>
      <c r="W122" s="46"/>
    </row>
    <row r="123" spans="3:23" ht="11.1" customHeight="1">
      <c r="C123" s="49"/>
      <c r="E123" s="46"/>
      <c r="G123" s="138"/>
      <c r="H123" s="138"/>
      <c r="I123" s="138"/>
      <c r="J123" s="138"/>
      <c r="K123" s="47"/>
      <c r="L123" s="47"/>
      <c r="M123" s="48"/>
      <c r="N123" s="48"/>
      <c r="O123" s="48"/>
      <c r="P123" s="49"/>
      <c r="Q123" s="49"/>
      <c r="S123" s="49"/>
      <c r="T123" s="49"/>
      <c r="U123" s="49"/>
      <c r="V123" s="49"/>
      <c r="W123" s="46"/>
    </row>
    <row r="124" spans="3:23" ht="11.1" customHeight="1">
      <c r="C124" s="49"/>
      <c r="E124" s="46"/>
      <c r="G124" s="138"/>
      <c r="H124" s="138"/>
      <c r="I124" s="138"/>
      <c r="J124" s="138"/>
      <c r="K124" s="47"/>
      <c r="L124" s="47"/>
      <c r="M124" s="48"/>
      <c r="N124" s="48"/>
      <c r="O124" s="48"/>
      <c r="P124" s="49"/>
      <c r="Q124" s="49"/>
      <c r="S124" s="49"/>
      <c r="T124" s="49"/>
      <c r="U124" s="49"/>
      <c r="V124" s="49"/>
      <c r="W124" s="46"/>
    </row>
    <row r="125" spans="3:23" ht="11.1" customHeight="1">
      <c r="C125" s="49"/>
      <c r="E125" s="46"/>
      <c r="G125" s="138"/>
      <c r="H125" s="138"/>
      <c r="I125" s="138"/>
      <c r="J125" s="138"/>
      <c r="K125" s="47"/>
      <c r="L125" s="47"/>
      <c r="M125" s="48"/>
      <c r="N125" s="48"/>
      <c r="O125" s="48"/>
      <c r="P125" s="49"/>
      <c r="Q125" s="49"/>
      <c r="S125" s="49"/>
      <c r="T125" s="49"/>
      <c r="U125" s="49"/>
      <c r="V125" s="49"/>
      <c r="W125" s="46"/>
    </row>
    <row r="126" spans="3:23" ht="11.1" customHeight="1">
      <c r="C126" s="49"/>
      <c r="E126" s="46"/>
      <c r="G126" s="138"/>
      <c r="H126" s="138"/>
      <c r="I126" s="138"/>
      <c r="J126" s="138"/>
      <c r="K126" s="47"/>
      <c r="L126" s="47"/>
      <c r="M126" s="48"/>
      <c r="N126" s="48"/>
      <c r="O126" s="48"/>
      <c r="P126" s="49"/>
      <c r="Q126" s="49"/>
      <c r="S126" s="49"/>
      <c r="T126" s="49"/>
      <c r="U126" s="49"/>
      <c r="V126" s="49"/>
      <c r="W126" s="46"/>
    </row>
    <row r="127" spans="3:23" ht="11.1" customHeight="1">
      <c r="C127" s="49"/>
      <c r="E127" s="46"/>
      <c r="G127" s="138"/>
      <c r="H127" s="138"/>
      <c r="I127" s="138"/>
      <c r="J127" s="138"/>
      <c r="K127" s="47"/>
      <c r="L127" s="47"/>
      <c r="M127" s="48"/>
      <c r="N127" s="48"/>
      <c r="O127" s="48"/>
      <c r="P127" s="49"/>
      <c r="Q127" s="49"/>
      <c r="S127" s="49"/>
      <c r="T127" s="49"/>
      <c r="U127" s="49"/>
      <c r="V127" s="49"/>
      <c r="W127" s="46"/>
    </row>
    <row r="128" spans="3:23" ht="11.1" customHeight="1">
      <c r="C128" s="49"/>
      <c r="E128" s="46"/>
      <c r="G128" s="138"/>
      <c r="H128" s="138"/>
      <c r="I128" s="138"/>
      <c r="J128" s="138"/>
      <c r="K128" s="47"/>
      <c r="L128" s="47"/>
      <c r="M128" s="48"/>
      <c r="N128" s="48"/>
      <c r="O128" s="48"/>
      <c r="P128" s="49"/>
      <c r="Q128" s="49"/>
      <c r="S128" s="49"/>
      <c r="T128" s="49"/>
      <c r="U128" s="49"/>
      <c r="V128" s="49"/>
      <c r="W128" s="46"/>
    </row>
    <row r="129" spans="3:23" ht="11.1" customHeight="1">
      <c r="C129" s="49"/>
      <c r="E129" s="46"/>
      <c r="G129" s="138"/>
      <c r="H129" s="138"/>
      <c r="I129" s="138"/>
      <c r="J129" s="138"/>
      <c r="K129" s="47"/>
      <c r="L129" s="47"/>
      <c r="M129" s="48"/>
      <c r="N129" s="48"/>
      <c r="O129" s="48"/>
      <c r="P129" s="49"/>
      <c r="Q129" s="49"/>
      <c r="S129" s="49"/>
      <c r="T129" s="49"/>
      <c r="U129" s="49"/>
      <c r="V129" s="49"/>
      <c r="W129" s="46"/>
    </row>
    <row r="130" spans="3:23" ht="11.1" customHeight="1">
      <c r="C130" s="49"/>
      <c r="E130" s="46"/>
      <c r="G130" s="138"/>
      <c r="H130" s="138"/>
      <c r="I130" s="138"/>
      <c r="J130" s="138"/>
      <c r="K130" s="47"/>
      <c r="L130" s="47"/>
      <c r="M130" s="48"/>
      <c r="N130" s="48"/>
      <c r="O130" s="48"/>
      <c r="P130" s="49"/>
      <c r="Q130" s="49"/>
      <c r="S130" s="49"/>
      <c r="T130" s="49"/>
      <c r="U130" s="49"/>
      <c r="V130" s="49"/>
      <c r="W130" s="46"/>
    </row>
    <row r="131" spans="3:23" ht="11.1" customHeight="1">
      <c r="C131" s="49"/>
      <c r="E131" s="46"/>
      <c r="G131" s="138"/>
      <c r="H131" s="138"/>
      <c r="I131" s="138"/>
      <c r="J131" s="138"/>
      <c r="K131" s="47"/>
      <c r="L131" s="47"/>
      <c r="M131" s="48"/>
      <c r="N131" s="48"/>
      <c r="O131" s="48"/>
      <c r="P131" s="49"/>
      <c r="Q131" s="49"/>
      <c r="S131" s="49"/>
      <c r="T131" s="49"/>
      <c r="U131" s="49"/>
      <c r="V131" s="49"/>
      <c r="W131" s="46"/>
    </row>
    <row r="132" spans="3:23" ht="11.1" customHeight="1">
      <c r="C132" s="49"/>
      <c r="E132" s="46"/>
      <c r="G132" s="138"/>
      <c r="H132" s="138"/>
      <c r="I132" s="138"/>
      <c r="J132" s="138"/>
      <c r="K132" s="47"/>
      <c r="L132" s="47"/>
      <c r="M132" s="48"/>
      <c r="N132" s="48"/>
      <c r="O132" s="48"/>
      <c r="P132" s="49"/>
      <c r="Q132" s="49"/>
      <c r="S132" s="49"/>
      <c r="T132" s="49"/>
      <c r="U132" s="49"/>
      <c r="V132" s="49"/>
      <c r="W132" s="46"/>
    </row>
    <row r="133" spans="3:23" ht="11.1" customHeight="1">
      <c r="C133" s="49"/>
      <c r="E133" s="46"/>
      <c r="G133" s="138"/>
      <c r="H133" s="138"/>
      <c r="I133" s="138"/>
      <c r="J133" s="138"/>
      <c r="K133" s="47"/>
      <c r="L133" s="47"/>
      <c r="M133" s="48"/>
      <c r="N133" s="48"/>
      <c r="O133" s="48"/>
      <c r="P133" s="49"/>
      <c r="Q133" s="49"/>
      <c r="S133" s="49"/>
      <c r="T133" s="49"/>
      <c r="U133" s="49"/>
      <c r="V133" s="49"/>
      <c r="W133" s="46"/>
    </row>
    <row r="134" spans="3:23" ht="11.1" customHeight="1">
      <c r="C134" s="49"/>
      <c r="E134" s="46"/>
      <c r="G134" s="138"/>
      <c r="H134" s="138"/>
      <c r="I134" s="138"/>
      <c r="J134" s="138"/>
      <c r="K134" s="47"/>
      <c r="L134" s="47"/>
      <c r="M134" s="48"/>
      <c r="N134" s="48"/>
      <c r="O134" s="48"/>
      <c r="P134" s="49"/>
      <c r="Q134" s="49"/>
      <c r="S134" s="49"/>
      <c r="T134" s="49"/>
      <c r="U134" s="49"/>
      <c r="V134" s="49"/>
      <c r="W134" s="46"/>
    </row>
    <row r="135" spans="3:23" ht="11.1" customHeight="1">
      <c r="C135" s="49"/>
      <c r="E135" s="46"/>
      <c r="G135" s="138"/>
      <c r="H135" s="138"/>
      <c r="I135" s="138"/>
      <c r="J135" s="138"/>
      <c r="K135" s="47"/>
      <c r="L135" s="47"/>
      <c r="M135" s="48"/>
      <c r="N135" s="48"/>
      <c r="O135" s="48"/>
      <c r="P135" s="49"/>
      <c r="Q135" s="49"/>
      <c r="S135" s="49"/>
      <c r="T135" s="49"/>
      <c r="U135" s="49"/>
      <c r="V135" s="49"/>
      <c r="W135" s="46"/>
    </row>
    <row r="136" spans="3:23" ht="11.1" customHeight="1">
      <c r="C136" s="49"/>
      <c r="E136" s="46"/>
      <c r="G136" s="138"/>
      <c r="H136" s="138"/>
      <c r="I136" s="138"/>
      <c r="J136" s="138"/>
      <c r="K136" s="47"/>
      <c r="L136" s="47"/>
      <c r="M136" s="48"/>
      <c r="N136" s="48"/>
      <c r="O136" s="48"/>
      <c r="P136" s="49"/>
      <c r="Q136" s="49"/>
      <c r="S136" s="49"/>
      <c r="T136" s="49"/>
      <c r="U136" s="49"/>
      <c r="V136" s="49"/>
      <c r="W136" s="46"/>
    </row>
    <row r="137" spans="3:23" ht="11.1" customHeight="1">
      <c r="C137" s="49"/>
      <c r="E137" s="46"/>
      <c r="G137" s="138"/>
      <c r="H137" s="138"/>
      <c r="I137" s="138"/>
      <c r="J137" s="138"/>
      <c r="K137" s="47"/>
      <c r="L137" s="47"/>
      <c r="M137" s="48"/>
      <c r="N137" s="48"/>
      <c r="O137" s="48"/>
      <c r="P137" s="49"/>
      <c r="Q137" s="49"/>
      <c r="S137" s="49"/>
      <c r="T137" s="49"/>
      <c r="U137" s="49"/>
      <c r="V137" s="49"/>
      <c r="W137" s="46"/>
    </row>
    <row r="138" spans="3:23" ht="11.1" customHeight="1">
      <c r="C138" s="49"/>
      <c r="E138" s="46"/>
      <c r="G138" s="138"/>
      <c r="H138" s="138"/>
      <c r="I138" s="138"/>
      <c r="J138" s="138"/>
      <c r="K138" s="47"/>
      <c r="L138" s="47"/>
      <c r="M138" s="48"/>
      <c r="N138" s="48"/>
      <c r="O138" s="48"/>
      <c r="P138" s="49"/>
      <c r="Q138" s="49"/>
      <c r="S138" s="49"/>
      <c r="T138" s="49"/>
      <c r="U138" s="49"/>
      <c r="V138" s="49"/>
      <c r="W138" s="46"/>
    </row>
    <row r="139" spans="3:23" ht="11.1" customHeight="1">
      <c r="C139" s="49"/>
      <c r="E139" s="46"/>
      <c r="G139" s="138"/>
      <c r="H139" s="138"/>
      <c r="I139" s="138"/>
      <c r="J139" s="138"/>
      <c r="K139" s="47"/>
      <c r="L139" s="47"/>
      <c r="M139" s="48"/>
      <c r="N139" s="48"/>
      <c r="O139" s="48"/>
      <c r="P139" s="49"/>
      <c r="Q139" s="49"/>
      <c r="S139" s="49"/>
      <c r="T139" s="49"/>
      <c r="U139" s="49"/>
      <c r="V139" s="49"/>
      <c r="W139" s="46"/>
    </row>
    <row r="140" spans="3:23" ht="11.1" customHeight="1">
      <c r="C140" s="49"/>
      <c r="E140" s="46"/>
      <c r="G140" s="138"/>
      <c r="H140" s="138"/>
      <c r="I140" s="138"/>
      <c r="J140" s="138"/>
      <c r="K140" s="47"/>
      <c r="L140" s="47"/>
      <c r="M140" s="48"/>
      <c r="N140" s="48"/>
      <c r="O140" s="48"/>
      <c r="P140" s="49"/>
      <c r="Q140" s="49"/>
      <c r="S140" s="49"/>
      <c r="T140" s="49"/>
      <c r="U140" s="49"/>
      <c r="V140" s="49"/>
      <c r="W140" s="46"/>
    </row>
    <row r="141" spans="3:23" ht="11.1" customHeight="1">
      <c r="C141" s="49"/>
      <c r="E141" s="46"/>
      <c r="G141" s="138"/>
      <c r="H141" s="138"/>
      <c r="I141" s="138"/>
      <c r="J141" s="138"/>
      <c r="K141" s="47"/>
      <c r="L141" s="47"/>
      <c r="M141" s="48"/>
      <c r="N141" s="48"/>
      <c r="O141" s="48"/>
      <c r="P141" s="49"/>
      <c r="Q141" s="49"/>
      <c r="S141" s="49"/>
      <c r="T141" s="49"/>
      <c r="U141" s="49"/>
      <c r="V141" s="49"/>
      <c r="W141" s="46"/>
    </row>
    <row r="142" spans="3:23" ht="11.1" customHeight="1">
      <c r="C142" s="49"/>
      <c r="E142" s="46"/>
      <c r="G142" s="138"/>
      <c r="H142" s="138"/>
      <c r="I142" s="138"/>
      <c r="J142" s="138"/>
      <c r="K142" s="47"/>
      <c r="L142" s="47"/>
      <c r="M142" s="48"/>
      <c r="N142" s="48"/>
      <c r="O142" s="48"/>
      <c r="P142" s="49"/>
      <c r="Q142" s="49"/>
      <c r="S142" s="49"/>
      <c r="T142" s="49"/>
      <c r="U142" s="49"/>
      <c r="V142" s="49"/>
      <c r="W142" s="46"/>
    </row>
    <row r="143" spans="3:23" ht="11.1" customHeight="1">
      <c r="C143" s="49"/>
      <c r="E143" s="46"/>
      <c r="G143" s="138"/>
      <c r="H143" s="138"/>
      <c r="I143" s="138"/>
      <c r="J143" s="138"/>
      <c r="K143" s="47"/>
      <c r="L143" s="47"/>
      <c r="M143" s="48"/>
      <c r="N143" s="48"/>
      <c r="O143" s="48"/>
      <c r="P143" s="49"/>
      <c r="Q143" s="49"/>
      <c r="S143" s="49"/>
      <c r="T143" s="49"/>
      <c r="U143" s="49"/>
      <c r="V143" s="49"/>
      <c r="W143" s="46"/>
    </row>
    <row r="144" spans="3:23" ht="11.1" customHeight="1">
      <c r="C144" s="49"/>
      <c r="E144" s="46"/>
      <c r="G144" s="138"/>
      <c r="H144" s="138"/>
      <c r="I144" s="138"/>
      <c r="J144" s="138"/>
      <c r="K144" s="47"/>
      <c r="L144" s="47"/>
      <c r="M144" s="48"/>
      <c r="N144" s="48"/>
      <c r="O144" s="48"/>
      <c r="P144" s="49"/>
      <c r="Q144" s="49"/>
      <c r="S144" s="49"/>
      <c r="T144" s="49"/>
      <c r="U144" s="49"/>
      <c r="V144" s="49"/>
      <c r="W144" s="46"/>
    </row>
    <row r="145" spans="3:25" ht="11.1" customHeight="1">
      <c r="C145" s="49"/>
      <c r="E145" s="46"/>
      <c r="G145" s="138"/>
      <c r="H145" s="138"/>
      <c r="I145" s="138"/>
      <c r="J145" s="138"/>
      <c r="K145" s="47"/>
      <c r="L145" s="47"/>
      <c r="M145" s="48"/>
      <c r="N145" s="48"/>
      <c r="O145" s="48"/>
      <c r="P145" s="49"/>
      <c r="Q145" s="49"/>
      <c r="S145" s="49"/>
      <c r="T145" s="49"/>
      <c r="U145" s="49"/>
      <c r="V145" s="49"/>
      <c r="W145" s="46"/>
    </row>
    <row r="146" spans="3:25" ht="11.1" customHeight="1">
      <c r="C146" s="49"/>
      <c r="E146" s="46"/>
      <c r="G146" s="138"/>
      <c r="H146" s="138"/>
      <c r="I146" s="138"/>
      <c r="J146" s="138"/>
      <c r="K146" s="47"/>
      <c r="L146" s="47"/>
      <c r="M146" s="48"/>
      <c r="N146" s="48"/>
      <c r="O146" s="48"/>
      <c r="P146" s="49"/>
      <c r="Q146" s="49"/>
      <c r="S146" s="49"/>
      <c r="T146" s="49"/>
      <c r="U146" s="49"/>
      <c r="V146" s="49"/>
      <c r="W146" s="46"/>
    </row>
    <row r="147" spans="3:25" ht="11.1" customHeight="1">
      <c r="C147" s="49"/>
      <c r="E147" s="46"/>
      <c r="G147" s="138"/>
      <c r="H147" s="138"/>
      <c r="I147" s="138"/>
      <c r="J147" s="138"/>
      <c r="K147" s="47"/>
      <c r="L147" s="47"/>
      <c r="M147" s="48"/>
      <c r="N147" s="48"/>
      <c r="O147" s="48"/>
      <c r="P147" s="49"/>
      <c r="Q147" s="49"/>
      <c r="S147" s="49"/>
      <c r="T147" s="49"/>
      <c r="U147" s="49"/>
      <c r="V147" s="49"/>
      <c r="W147" s="46"/>
    </row>
    <row r="148" spans="3:25" ht="11.1" customHeight="1">
      <c r="C148" s="49"/>
      <c r="E148" s="46"/>
      <c r="G148" s="138"/>
      <c r="H148" s="138"/>
      <c r="I148" s="138"/>
      <c r="J148" s="138"/>
      <c r="K148" s="47"/>
      <c r="L148" s="47"/>
      <c r="M148" s="48"/>
      <c r="N148" s="48"/>
      <c r="O148" s="48"/>
      <c r="P148" s="49"/>
      <c r="Q148" s="49"/>
      <c r="S148" s="49"/>
      <c r="T148" s="49"/>
      <c r="U148" s="49"/>
      <c r="V148" s="49"/>
      <c r="W148" s="46"/>
    </row>
    <row r="149" spans="3:25" ht="11.1" customHeight="1">
      <c r="C149" s="49"/>
      <c r="E149" s="46"/>
      <c r="G149" s="138"/>
      <c r="H149" s="138"/>
      <c r="I149" s="138"/>
      <c r="J149" s="138"/>
      <c r="K149" s="47"/>
      <c r="L149" s="47"/>
      <c r="M149" s="48"/>
      <c r="N149" s="48"/>
      <c r="O149" s="48"/>
      <c r="P149" s="49"/>
      <c r="Q149" s="49"/>
      <c r="S149" s="49"/>
      <c r="T149" s="49"/>
      <c r="U149" s="49"/>
      <c r="V149" s="49"/>
      <c r="W149" s="46"/>
    </row>
    <row r="150" spans="3:25" ht="11.1" customHeight="1">
      <c r="C150" s="49"/>
      <c r="E150" s="46"/>
      <c r="G150" s="138"/>
      <c r="H150" s="138"/>
      <c r="I150" s="138"/>
      <c r="J150" s="138"/>
      <c r="K150" s="47"/>
      <c r="L150" s="47"/>
      <c r="M150" s="48"/>
      <c r="N150" s="48"/>
      <c r="O150" s="48"/>
      <c r="P150" s="49"/>
      <c r="Q150" s="49"/>
      <c r="S150" s="49"/>
      <c r="T150" s="49"/>
      <c r="U150" s="49"/>
      <c r="V150" s="49"/>
      <c r="W150" s="46"/>
      <c r="Y150" s="593"/>
    </row>
    <row r="151" spans="3:25" ht="11.1" customHeight="1">
      <c r="C151" s="49"/>
      <c r="E151" s="46"/>
      <c r="G151" s="138"/>
      <c r="H151" s="138"/>
      <c r="I151" s="138"/>
      <c r="J151" s="138"/>
      <c r="K151" s="47"/>
      <c r="L151" s="47"/>
      <c r="M151" s="48"/>
      <c r="N151" s="48"/>
      <c r="O151" s="48"/>
      <c r="P151" s="49"/>
      <c r="Q151" s="49"/>
      <c r="S151" s="49"/>
      <c r="T151" s="49"/>
      <c r="U151" s="49"/>
      <c r="V151" s="49"/>
      <c r="W151" s="46"/>
    </row>
    <row r="152" spans="3:25" ht="11.1" customHeight="1">
      <c r="C152" s="49"/>
      <c r="E152" s="46"/>
      <c r="G152" s="138"/>
      <c r="H152" s="138"/>
      <c r="I152" s="138"/>
      <c r="J152" s="138"/>
      <c r="K152" s="47"/>
      <c r="L152" s="47"/>
      <c r="M152" s="48"/>
      <c r="N152" s="48"/>
      <c r="O152" s="48"/>
      <c r="P152" s="49"/>
      <c r="Q152" s="49"/>
      <c r="S152" s="49"/>
      <c r="T152" s="49"/>
      <c r="U152" s="49"/>
      <c r="V152" s="49"/>
      <c r="W152" s="46"/>
    </row>
    <row r="153" spans="3:25" ht="11.1" customHeight="1">
      <c r="C153" s="49"/>
      <c r="E153" s="46"/>
      <c r="G153" s="138"/>
      <c r="H153" s="138"/>
      <c r="I153" s="138"/>
      <c r="J153" s="138"/>
      <c r="K153" s="47"/>
      <c r="L153" s="47"/>
      <c r="M153" s="48"/>
      <c r="N153" s="48"/>
      <c r="O153" s="48"/>
      <c r="P153" s="49"/>
      <c r="Q153" s="49"/>
      <c r="S153" s="49"/>
      <c r="T153" s="49"/>
      <c r="U153" s="49"/>
      <c r="V153" s="49"/>
      <c r="W153" s="46"/>
    </row>
    <row r="154" spans="3:25" ht="11.1" customHeight="1">
      <c r="C154" s="49"/>
      <c r="E154" s="46"/>
      <c r="G154" s="138"/>
      <c r="H154" s="138"/>
      <c r="I154" s="138"/>
      <c r="J154" s="138"/>
      <c r="K154" s="47"/>
      <c r="L154" s="47"/>
      <c r="M154" s="48"/>
      <c r="N154" s="48"/>
      <c r="O154" s="48"/>
      <c r="P154" s="49"/>
      <c r="Q154" s="49"/>
      <c r="S154" s="49"/>
      <c r="T154" s="49"/>
      <c r="U154" s="49"/>
      <c r="V154" s="49"/>
      <c r="W154" s="46"/>
    </row>
    <row r="155" spans="3:25" ht="11.1" customHeight="1">
      <c r="C155" s="49"/>
      <c r="E155" s="46"/>
      <c r="G155" s="138"/>
      <c r="H155" s="138"/>
      <c r="I155" s="138"/>
      <c r="J155" s="138"/>
      <c r="K155" s="47"/>
      <c r="L155" s="47"/>
      <c r="M155" s="48"/>
      <c r="N155" s="48"/>
      <c r="O155" s="48"/>
      <c r="P155" s="49"/>
      <c r="Q155" s="49"/>
      <c r="S155" s="49"/>
      <c r="T155" s="49"/>
      <c r="U155" s="49"/>
      <c r="V155" s="49"/>
      <c r="W155" s="46"/>
    </row>
    <row r="156" spans="3:25" ht="11.1" customHeight="1">
      <c r="C156" s="49"/>
      <c r="E156" s="46"/>
      <c r="G156" s="138"/>
      <c r="H156" s="138"/>
      <c r="I156" s="138"/>
      <c r="J156" s="138"/>
      <c r="K156" s="47"/>
      <c r="L156" s="47"/>
      <c r="M156" s="48"/>
      <c r="N156" s="48"/>
      <c r="O156" s="48"/>
      <c r="P156" s="49"/>
      <c r="Q156" s="49"/>
      <c r="S156" s="49"/>
      <c r="T156" s="49"/>
      <c r="U156" s="49"/>
      <c r="V156" s="49"/>
      <c r="W156" s="46"/>
    </row>
    <row r="157" spans="3:25" ht="11.1" customHeight="1">
      <c r="C157" s="49"/>
      <c r="E157" s="46"/>
      <c r="G157" s="138"/>
      <c r="H157" s="138"/>
      <c r="I157" s="138"/>
      <c r="J157" s="138"/>
      <c r="K157" s="47"/>
      <c r="L157" s="47"/>
      <c r="M157" s="48"/>
      <c r="N157" s="48"/>
      <c r="O157" s="48"/>
      <c r="P157" s="49"/>
      <c r="Q157" s="49"/>
      <c r="S157" s="49"/>
      <c r="T157" s="49"/>
      <c r="U157" s="49"/>
      <c r="V157" s="49"/>
      <c r="W157" s="46"/>
    </row>
    <row r="158" spans="3:25" ht="11.1" customHeight="1">
      <c r="C158" s="49"/>
      <c r="E158" s="46"/>
      <c r="G158" s="138"/>
      <c r="H158" s="138"/>
      <c r="I158" s="138"/>
      <c r="J158" s="138"/>
      <c r="K158" s="47"/>
      <c r="L158" s="47"/>
      <c r="M158" s="48"/>
      <c r="N158" s="48"/>
      <c r="O158" s="48"/>
      <c r="P158" s="49"/>
      <c r="Q158" s="49"/>
      <c r="S158" s="49"/>
      <c r="T158" s="49"/>
      <c r="U158" s="49"/>
      <c r="V158" s="49"/>
      <c r="W158" s="46"/>
    </row>
    <row r="159" spans="3:25" ht="11.1" customHeight="1">
      <c r="C159" s="49"/>
      <c r="E159" s="46"/>
      <c r="G159" s="138"/>
      <c r="H159" s="138"/>
      <c r="I159" s="138"/>
      <c r="J159" s="138"/>
      <c r="K159" s="47"/>
      <c r="L159" s="47"/>
      <c r="M159" s="48"/>
      <c r="N159" s="48"/>
      <c r="O159" s="48"/>
      <c r="P159" s="49"/>
      <c r="Q159" s="49"/>
      <c r="S159" s="49"/>
      <c r="T159" s="49"/>
      <c r="U159" s="49"/>
      <c r="V159" s="49"/>
      <c r="W159" s="46"/>
    </row>
    <row r="160" spans="3:25" ht="11.1" customHeight="1">
      <c r="C160" s="49"/>
      <c r="E160" s="46"/>
      <c r="G160" s="138"/>
      <c r="H160" s="138"/>
      <c r="I160" s="138"/>
      <c r="J160" s="138"/>
      <c r="K160" s="47"/>
      <c r="L160" s="47"/>
      <c r="M160" s="48"/>
      <c r="N160" s="48"/>
      <c r="O160" s="48"/>
      <c r="P160" s="49"/>
      <c r="Q160" s="49"/>
      <c r="S160" s="49"/>
      <c r="T160" s="49"/>
      <c r="U160" s="49"/>
      <c r="V160" s="49"/>
      <c r="W160" s="46"/>
    </row>
    <row r="161" spans="3:25" ht="11.1" customHeight="1">
      <c r="C161" s="49"/>
      <c r="E161" s="46"/>
      <c r="G161" s="138"/>
      <c r="H161" s="138"/>
      <c r="I161" s="138"/>
      <c r="J161" s="138"/>
      <c r="K161" s="47"/>
      <c r="L161" s="47"/>
      <c r="M161" s="48"/>
      <c r="N161" s="48"/>
      <c r="O161" s="48"/>
      <c r="P161" s="49"/>
      <c r="Q161" s="49"/>
      <c r="S161" s="49"/>
      <c r="T161" s="49"/>
      <c r="U161" s="49"/>
      <c r="V161" s="49"/>
      <c r="W161" s="46"/>
    </row>
    <row r="162" spans="3:25" ht="11.1" customHeight="1">
      <c r="C162" s="49"/>
      <c r="E162" s="46"/>
      <c r="G162" s="138"/>
      <c r="H162" s="138"/>
      <c r="I162" s="138"/>
      <c r="J162" s="138"/>
      <c r="K162" s="47"/>
      <c r="L162" s="47"/>
      <c r="M162" s="48"/>
      <c r="N162" s="48"/>
      <c r="O162" s="48"/>
      <c r="P162" s="49"/>
      <c r="Q162" s="49"/>
      <c r="S162" s="49"/>
      <c r="T162" s="49"/>
      <c r="U162" s="49"/>
      <c r="V162" s="49"/>
      <c r="W162" s="46"/>
    </row>
    <row r="163" spans="3:25" ht="11.1" customHeight="1">
      <c r="C163" s="49"/>
      <c r="E163" s="46"/>
      <c r="G163" s="138"/>
      <c r="H163" s="138"/>
      <c r="I163" s="138"/>
      <c r="J163" s="138"/>
      <c r="K163" s="47"/>
      <c r="L163" s="47"/>
      <c r="M163" s="48"/>
      <c r="N163" s="48"/>
      <c r="O163" s="48"/>
      <c r="P163" s="49"/>
      <c r="Q163" s="49"/>
      <c r="S163" s="49"/>
      <c r="T163" s="49"/>
      <c r="U163" s="49"/>
      <c r="V163" s="49"/>
      <c r="W163" s="46"/>
    </row>
    <row r="164" spans="3:25" ht="11.1" customHeight="1">
      <c r="C164" s="49"/>
      <c r="E164" s="46"/>
      <c r="G164" s="138"/>
      <c r="H164" s="138"/>
      <c r="I164" s="138"/>
      <c r="J164" s="138"/>
      <c r="K164" s="47"/>
      <c r="L164" s="47"/>
      <c r="M164" s="48"/>
      <c r="N164" s="48"/>
      <c r="O164" s="48"/>
      <c r="P164" s="49"/>
      <c r="Q164" s="49"/>
      <c r="S164" s="49"/>
      <c r="T164" s="49"/>
      <c r="U164" s="49"/>
      <c r="V164" s="49"/>
      <c r="W164" s="46"/>
      <c r="Y164" s="593"/>
    </row>
    <row r="165" spans="3:25" ht="11.1" customHeight="1">
      <c r="C165" s="49"/>
      <c r="E165" s="46"/>
      <c r="G165" s="138"/>
      <c r="H165" s="138"/>
      <c r="I165" s="138"/>
      <c r="J165" s="138"/>
      <c r="K165" s="47"/>
      <c r="L165" s="47"/>
      <c r="M165" s="48"/>
      <c r="N165" s="48"/>
      <c r="O165" s="48"/>
      <c r="P165" s="49"/>
      <c r="Q165" s="49"/>
      <c r="S165" s="49"/>
      <c r="T165" s="49"/>
      <c r="U165" s="49"/>
      <c r="V165" s="49"/>
      <c r="W165" s="46"/>
    </row>
    <row r="166" spans="3:25" ht="11.1" customHeight="1">
      <c r="C166" s="49"/>
      <c r="E166" s="46"/>
      <c r="G166" s="138"/>
      <c r="H166" s="138"/>
      <c r="I166" s="138"/>
      <c r="J166" s="138"/>
      <c r="K166" s="47"/>
      <c r="L166" s="47"/>
      <c r="M166" s="48"/>
      <c r="N166" s="48"/>
      <c r="O166" s="48"/>
      <c r="P166" s="49"/>
      <c r="Q166" s="49"/>
      <c r="S166" s="49"/>
      <c r="T166" s="49"/>
      <c r="U166" s="49"/>
      <c r="V166" s="49"/>
      <c r="W166" s="46"/>
    </row>
    <row r="167" spans="3:25" ht="11.1" customHeight="1">
      <c r="C167" s="49"/>
      <c r="E167" s="46"/>
      <c r="G167" s="138"/>
      <c r="H167" s="138"/>
      <c r="I167" s="138"/>
      <c r="J167" s="138"/>
      <c r="K167" s="47"/>
      <c r="L167" s="47"/>
      <c r="M167" s="48"/>
      <c r="N167" s="48"/>
      <c r="O167" s="48"/>
      <c r="P167" s="49"/>
      <c r="Q167" s="49"/>
      <c r="S167" s="49"/>
      <c r="T167" s="49"/>
      <c r="U167" s="49"/>
      <c r="V167" s="49"/>
      <c r="W167" s="46"/>
    </row>
    <row r="168" spans="3:25" ht="11.1" customHeight="1">
      <c r="C168" s="49"/>
      <c r="E168" s="46"/>
      <c r="G168" s="138"/>
      <c r="H168" s="138"/>
      <c r="I168" s="138"/>
      <c r="J168" s="138"/>
      <c r="K168" s="47"/>
      <c r="L168" s="47"/>
      <c r="M168" s="48"/>
      <c r="N168" s="48"/>
      <c r="O168" s="48"/>
      <c r="P168" s="49"/>
      <c r="Q168" s="49"/>
      <c r="S168" s="49"/>
      <c r="T168" s="49"/>
      <c r="U168" s="49"/>
      <c r="V168" s="49"/>
      <c r="W168" s="46"/>
    </row>
    <row r="169" spans="3:25" ht="11.1" customHeight="1">
      <c r="C169" s="49"/>
      <c r="E169" s="46"/>
      <c r="G169" s="138"/>
      <c r="H169" s="138"/>
      <c r="I169" s="138"/>
      <c r="J169" s="138"/>
      <c r="K169" s="47"/>
      <c r="L169" s="47"/>
      <c r="M169" s="48"/>
      <c r="N169" s="48"/>
      <c r="O169" s="48"/>
      <c r="P169" s="49"/>
      <c r="Q169" s="49"/>
      <c r="S169" s="49"/>
      <c r="T169" s="49"/>
      <c r="U169" s="49"/>
      <c r="V169" s="49"/>
      <c r="W169" s="46"/>
    </row>
    <row r="170" spans="3:25" ht="11.1" customHeight="1">
      <c r="C170" s="49"/>
      <c r="E170" s="46"/>
      <c r="G170" s="138"/>
      <c r="H170" s="138"/>
      <c r="I170" s="138"/>
      <c r="J170" s="138"/>
      <c r="K170" s="47"/>
      <c r="L170" s="47"/>
      <c r="M170" s="48"/>
      <c r="N170" s="48"/>
      <c r="O170" s="48"/>
      <c r="P170" s="49"/>
      <c r="Q170" s="49"/>
      <c r="S170" s="49"/>
      <c r="T170" s="49"/>
      <c r="U170" s="49"/>
      <c r="V170" s="49"/>
      <c r="W170" s="46"/>
    </row>
    <row r="171" spans="3:25" ht="11.1" customHeight="1">
      <c r="C171" s="49"/>
      <c r="E171" s="46"/>
      <c r="G171" s="138"/>
      <c r="H171" s="138"/>
      <c r="I171" s="138"/>
      <c r="J171" s="138"/>
      <c r="K171" s="47"/>
      <c r="L171" s="47"/>
      <c r="M171" s="48"/>
      <c r="N171" s="48"/>
      <c r="O171" s="48"/>
      <c r="P171" s="49"/>
      <c r="Q171" s="49"/>
      <c r="S171" s="49"/>
      <c r="T171" s="49"/>
      <c r="U171" s="49"/>
      <c r="V171" s="49"/>
      <c r="W171" s="46"/>
    </row>
    <row r="172" spans="3:25" ht="11.1" customHeight="1">
      <c r="C172" s="49"/>
      <c r="E172" s="46"/>
      <c r="G172" s="138"/>
      <c r="H172" s="138"/>
      <c r="I172" s="138"/>
      <c r="J172" s="138"/>
      <c r="K172" s="47"/>
      <c r="L172" s="47"/>
      <c r="M172" s="48"/>
      <c r="N172" s="48"/>
      <c r="O172" s="48"/>
      <c r="P172" s="49"/>
      <c r="Q172" s="49"/>
      <c r="S172" s="49"/>
      <c r="T172" s="49"/>
      <c r="U172" s="49"/>
      <c r="V172" s="49"/>
      <c r="W172" s="46"/>
    </row>
    <row r="173" spans="3:25" ht="11.1" customHeight="1">
      <c r="C173" s="49"/>
      <c r="E173" s="46"/>
      <c r="G173" s="138"/>
      <c r="H173" s="138"/>
      <c r="I173" s="138"/>
      <c r="J173" s="138"/>
      <c r="K173" s="47"/>
      <c r="L173" s="47"/>
      <c r="M173" s="48"/>
      <c r="N173" s="48"/>
      <c r="O173" s="48"/>
      <c r="P173" s="49"/>
      <c r="Q173" s="49"/>
      <c r="S173" s="49"/>
      <c r="T173" s="49"/>
      <c r="U173" s="49"/>
      <c r="V173" s="49"/>
      <c r="W173" s="46"/>
    </row>
    <row r="174" spans="3:25" ht="11.1" customHeight="1">
      <c r="C174" s="49"/>
      <c r="E174" s="46"/>
      <c r="G174" s="138"/>
      <c r="H174" s="138"/>
      <c r="I174" s="138"/>
      <c r="J174" s="138"/>
      <c r="K174" s="47"/>
      <c r="L174" s="47"/>
      <c r="M174" s="48"/>
      <c r="N174" s="48"/>
      <c r="O174" s="48"/>
      <c r="P174" s="49"/>
      <c r="Q174" s="49"/>
      <c r="S174" s="49"/>
      <c r="T174" s="49"/>
      <c r="U174" s="49"/>
      <c r="V174" s="49"/>
      <c r="W174" s="46"/>
    </row>
    <row r="175" spans="3:25" ht="11.1" customHeight="1">
      <c r="C175" s="49"/>
      <c r="E175" s="46"/>
      <c r="G175" s="138"/>
      <c r="H175" s="138"/>
      <c r="I175" s="138"/>
      <c r="J175" s="138"/>
      <c r="K175" s="47"/>
      <c r="L175" s="47"/>
      <c r="M175" s="48"/>
      <c r="N175" s="48"/>
      <c r="O175" s="48"/>
      <c r="P175" s="49"/>
      <c r="Q175" s="49"/>
      <c r="S175" s="49"/>
      <c r="T175" s="49"/>
      <c r="U175" s="49"/>
      <c r="V175" s="49"/>
      <c r="W175" s="46"/>
    </row>
    <row r="176" spans="3:25" ht="11.1" customHeight="1">
      <c r="C176" s="49"/>
      <c r="E176" s="46"/>
      <c r="G176" s="138"/>
      <c r="H176" s="138"/>
      <c r="I176" s="138"/>
      <c r="J176" s="138"/>
      <c r="K176" s="47"/>
      <c r="L176" s="47"/>
      <c r="M176" s="48"/>
      <c r="N176" s="48"/>
      <c r="O176" s="48"/>
      <c r="P176" s="49"/>
      <c r="Q176" s="49"/>
      <c r="S176" s="49"/>
      <c r="T176" s="49"/>
      <c r="U176" s="49"/>
      <c r="V176" s="49"/>
      <c r="W176" s="46"/>
    </row>
    <row r="177" spans="3:25" ht="11.1" customHeight="1">
      <c r="C177" s="49"/>
      <c r="E177" s="46"/>
      <c r="G177" s="138"/>
      <c r="H177" s="138"/>
      <c r="I177" s="138"/>
      <c r="J177" s="138"/>
      <c r="K177" s="47"/>
      <c r="L177" s="47"/>
      <c r="M177" s="48"/>
      <c r="N177" s="48"/>
      <c r="O177" s="48"/>
      <c r="P177" s="49"/>
      <c r="Q177" s="49"/>
      <c r="S177" s="49"/>
      <c r="T177" s="49"/>
      <c r="U177" s="49"/>
      <c r="V177" s="49"/>
      <c r="W177" s="46"/>
    </row>
    <row r="178" spans="3:25" ht="11.1" customHeight="1">
      <c r="C178" s="49"/>
      <c r="E178" s="46"/>
      <c r="G178" s="138"/>
      <c r="H178" s="138"/>
      <c r="I178" s="138"/>
      <c r="J178" s="138"/>
      <c r="K178" s="47"/>
      <c r="L178" s="47"/>
      <c r="M178" s="48"/>
      <c r="N178" s="48"/>
      <c r="O178" s="48"/>
      <c r="P178" s="49"/>
      <c r="Q178" s="49"/>
      <c r="S178" s="49"/>
      <c r="T178" s="49"/>
      <c r="U178" s="49"/>
      <c r="V178" s="49"/>
      <c r="W178" s="46"/>
    </row>
    <row r="179" spans="3:25" ht="11.1" customHeight="1">
      <c r="C179" s="49"/>
      <c r="E179" s="46"/>
      <c r="G179" s="138"/>
      <c r="H179" s="138"/>
      <c r="I179" s="138"/>
      <c r="J179" s="138"/>
      <c r="K179" s="47"/>
      <c r="L179" s="47"/>
      <c r="M179" s="48"/>
      <c r="N179" s="48"/>
      <c r="O179" s="48"/>
      <c r="P179" s="49"/>
      <c r="Q179" s="49"/>
      <c r="S179" s="49"/>
      <c r="T179" s="49"/>
      <c r="U179" s="49"/>
      <c r="V179" s="49"/>
      <c r="W179" s="46"/>
    </row>
    <row r="180" spans="3:25" ht="11.1" customHeight="1">
      <c r="C180" s="49"/>
      <c r="E180" s="46"/>
      <c r="G180" s="138"/>
      <c r="H180" s="138"/>
      <c r="I180" s="138"/>
      <c r="J180" s="138"/>
      <c r="K180" s="47"/>
      <c r="L180" s="47"/>
      <c r="M180" s="48"/>
      <c r="N180" s="48"/>
      <c r="O180" s="48"/>
      <c r="P180" s="49"/>
      <c r="Q180" s="49"/>
      <c r="S180" s="49"/>
      <c r="T180" s="49"/>
      <c r="U180" s="49"/>
      <c r="V180" s="49"/>
      <c r="W180" s="46"/>
    </row>
    <row r="181" spans="3:25" ht="11.1" customHeight="1">
      <c r="C181" s="49"/>
      <c r="E181" s="46"/>
      <c r="G181" s="138"/>
      <c r="H181" s="138"/>
      <c r="I181" s="138"/>
      <c r="J181" s="138"/>
      <c r="K181" s="47"/>
      <c r="L181" s="47"/>
      <c r="M181" s="48"/>
      <c r="N181" s="48"/>
      <c r="O181" s="48"/>
      <c r="P181" s="49"/>
      <c r="Q181" s="49"/>
      <c r="S181" s="49"/>
      <c r="T181" s="49"/>
      <c r="U181" s="49"/>
      <c r="V181" s="49"/>
      <c r="W181" s="46"/>
    </row>
    <row r="182" spans="3:25" ht="11.1" customHeight="1">
      <c r="C182" s="49"/>
      <c r="E182" s="46"/>
      <c r="G182" s="138"/>
      <c r="H182" s="138"/>
      <c r="I182" s="138"/>
      <c r="J182" s="138"/>
      <c r="K182" s="47"/>
      <c r="L182" s="47"/>
      <c r="M182" s="48"/>
      <c r="N182" s="48"/>
      <c r="O182" s="48"/>
      <c r="P182" s="49"/>
      <c r="Q182" s="49"/>
      <c r="S182" s="49"/>
      <c r="T182" s="49"/>
      <c r="U182" s="49"/>
      <c r="V182" s="49"/>
      <c r="W182" s="46"/>
    </row>
    <row r="183" spans="3:25" ht="11.1" customHeight="1">
      <c r="C183" s="49"/>
      <c r="E183" s="46"/>
      <c r="G183" s="138"/>
      <c r="H183" s="138"/>
      <c r="I183" s="138"/>
      <c r="J183" s="138"/>
      <c r="K183" s="47"/>
      <c r="L183" s="47"/>
      <c r="M183" s="48"/>
      <c r="N183" s="48"/>
      <c r="O183" s="48"/>
      <c r="P183" s="49"/>
      <c r="Q183" s="49"/>
      <c r="S183" s="49"/>
      <c r="T183" s="49"/>
      <c r="U183" s="49"/>
      <c r="V183" s="49"/>
      <c r="W183" s="46"/>
    </row>
    <row r="184" spans="3:25" ht="11.1" customHeight="1">
      <c r="C184" s="49"/>
      <c r="E184" s="46"/>
      <c r="G184" s="138"/>
      <c r="H184" s="138"/>
      <c r="I184" s="138"/>
      <c r="J184" s="138"/>
      <c r="K184" s="47"/>
      <c r="L184" s="47"/>
      <c r="M184" s="48"/>
      <c r="N184" s="48"/>
      <c r="O184" s="48"/>
      <c r="P184" s="593"/>
      <c r="Q184" s="593"/>
      <c r="R184" s="593"/>
      <c r="S184" s="593"/>
      <c r="T184" s="593"/>
      <c r="U184" s="593"/>
      <c r="V184" s="593"/>
      <c r="W184" s="882"/>
      <c r="X184" s="593"/>
      <c r="Y184" s="593"/>
    </row>
    <row r="185" spans="3:25" ht="11.1" customHeight="1">
      <c r="C185" s="49"/>
      <c r="E185" s="46"/>
      <c r="G185" s="138"/>
      <c r="H185" s="138"/>
      <c r="I185" s="138"/>
      <c r="J185" s="138"/>
      <c r="K185" s="47"/>
      <c r="L185" s="47"/>
      <c r="M185" s="48"/>
      <c r="N185" s="48"/>
      <c r="O185" s="48"/>
      <c r="P185" s="49"/>
      <c r="Q185" s="49"/>
      <c r="S185" s="49"/>
      <c r="T185" s="49"/>
      <c r="U185" s="49"/>
      <c r="V185" s="49"/>
      <c r="W185" s="46"/>
    </row>
    <row r="186" spans="3:25" ht="11.1" customHeight="1">
      <c r="C186" s="49"/>
      <c r="E186" s="46"/>
      <c r="G186" s="138"/>
      <c r="H186" s="138"/>
      <c r="I186" s="138"/>
      <c r="J186" s="138"/>
      <c r="K186" s="47"/>
      <c r="L186" s="47"/>
      <c r="M186" s="48"/>
      <c r="N186" s="48"/>
      <c r="O186" s="48"/>
      <c r="P186" s="49"/>
      <c r="Q186" s="49"/>
      <c r="S186" s="49"/>
      <c r="T186" s="49"/>
      <c r="U186" s="49"/>
      <c r="V186" s="49"/>
      <c r="W186" s="46"/>
    </row>
    <row r="187" spans="3:25" ht="11.1" customHeight="1">
      <c r="C187" s="49"/>
      <c r="E187" s="46"/>
      <c r="G187" s="138"/>
      <c r="H187" s="138"/>
      <c r="I187" s="138"/>
      <c r="J187" s="138"/>
      <c r="K187" s="47"/>
      <c r="L187" s="47"/>
      <c r="M187" s="48"/>
      <c r="N187" s="48"/>
      <c r="O187" s="48"/>
      <c r="P187" s="49"/>
      <c r="Q187" s="49"/>
      <c r="S187" s="49"/>
      <c r="T187" s="49"/>
      <c r="U187" s="49"/>
      <c r="V187" s="49"/>
      <c r="W187" s="46"/>
    </row>
    <row r="188" spans="3:25" ht="11.1" customHeight="1">
      <c r="C188" s="49"/>
      <c r="E188" s="46"/>
      <c r="G188" s="138"/>
      <c r="H188" s="138"/>
      <c r="I188" s="138"/>
      <c r="J188" s="138"/>
      <c r="K188" s="47"/>
      <c r="L188" s="47"/>
      <c r="M188" s="48"/>
      <c r="N188" s="48"/>
      <c r="O188" s="48"/>
      <c r="P188" s="49"/>
      <c r="Q188" s="49"/>
      <c r="S188" s="49"/>
      <c r="T188" s="49"/>
      <c r="U188" s="49"/>
      <c r="V188" s="49"/>
      <c r="W188" s="46"/>
    </row>
    <row r="189" spans="3:25" ht="11.1" customHeight="1">
      <c r="C189" s="49"/>
      <c r="E189" s="46"/>
      <c r="G189" s="138"/>
      <c r="H189" s="138"/>
      <c r="I189" s="138"/>
      <c r="J189" s="138"/>
      <c r="K189" s="47"/>
      <c r="L189" s="47"/>
      <c r="M189" s="48"/>
      <c r="N189" s="48"/>
      <c r="O189" s="48"/>
      <c r="P189" s="49"/>
      <c r="Q189" s="49"/>
      <c r="S189" s="49"/>
      <c r="T189" s="49"/>
      <c r="U189" s="49"/>
      <c r="V189" s="49"/>
      <c r="W189" s="46"/>
    </row>
    <row r="190" spans="3:25" ht="11.1" customHeight="1">
      <c r="C190" s="49"/>
      <c r="E190" s="46"/>
      <c r="G190" s="138"/>
      <c r="H190" s="138"/>
      <c r="I190" s="138"/>
      <c r="J190" s="138"/>
      <c r="K190" s="47"/>
      <c r="L190" s="47"/>
      <c r="M190" s="48"/>
      <c r="N190" s="48"/>
      <c r="O190" s="48"/>
      <c r="P190" s="49"/>
      <c r="Q190" s="49"/>
      <c r="S190" s="49"/>
      <c r="T190" s="49"/>
      <c r="U190" s="49"/>
      <c r="V190" s="49"/>
      <c r="W190" s="46"/>
    </row>
    <row r="191" spans="3:25" ht="11.1" customHeight="1">
      <c r="C191" s="49"/>
      <c r="E191" s="46"/>
      <c r="G191" s="138"/>
      <c r="H191" s="138"/>
      <c r="I191" s="138"/>
      <c r="J191" s="138"/>
      <c r="K191" s="47"/>
      <c r="L191" s="47"/>
      <c r="M191" s="48"/>
      <c r="N191" s="48"/>
      <c r="O191" s="48"/>
      <c r="P191" s="49"/>
      <c r="Q191" s="49"/>
      <c r="S191" s="49"/>
      <c r="T191" s="49"/>
      <c r="U191" s="49"/>
      <c r="V191" s="49"/>
      <c r="W191" s="46"/>
    </row>
    <row r="192" spans="3:25" ht="11.1" customHeight="1">
      <c r="C192" s="49"/>
      <c r="E192" s="46"/>
      <c r="G192" s="138"/>
      <c r="H192" s="138"/>
      <c r="I192" s="138"/>
      <c r="J192" s="138"/>
      <c r="K192" s="47"/>
      <c r="L192" s="47"/>
      <c r="M192" s="48"/>
      <c r="N192" s="48"/>
      <c r="O192" s="48"/>
      <c r="P192" s="49"/>
      <c r="Q192" s="49"/>
      <c r="S192" s="49"/>
      <c r="T192" s="49"/>
      <c r="U192" s="49"/>
      <c r="V192" s="49"/>
      <c r="W192" s="46"/>
    </row>
    <row r="193" spans="3:23" ht="11.1" customHeight="1">
      <c r="C193" s="49"/>
      <c r="E193" s="46"/>
      <c r="G193" s="138"/>
      <c r="H193" s="138"/>
      <c r="I193" s="138"/>
      <c r="J193" s="138"/>
      <c r="K193" s="47"/>
      <c r="L193" s="47"/>
      <c r="M193" s="48"/>
      <c r="N193" s="48"/>
      <c r="O193" s="48"/>
      <c r="P193" s="49"/>
      <c r="Q193" s="49"/>
      <c r="S193" s="49"/>
      <c r="T193" s="49"/>
      <c r="U193" s="49"/>
      <c r="V193" s="49"/>
      <c r="W193" s="46"/>
    </row>
    <row r="194" spans="3:23" ht="11.1" customHeight="1">
      <c r="C194" s="49"/>
      <c r="E194" s="46"/>
      <c r="G194" s="138"/>
      <c r="H194" s="138"/>
      <c r="I194" s="138"/>
      <c r="J194" s="138"/>
      <c r="K194" s="47"/>
      <c r="L194" s="47"/>
      <c r="M194" s="48"/>
      <c r="N194" s="48"/>
      <c r="O194" s="48"/>
      <c r="P194" s="49"/>
      <c r="Q194" s="49"/>
      <c r="S194" s="49"/>
      <c r="T194" s="49"/>
      <c r="U194" s="49"/>
      <c r="V194" s="49"/>
      <c r="W194" s="46"/>
    </row>
    <row r="195" spans="3:23" ht="11.1" customHeight="1">
      <c r="C195" s="49"/>
      <c r="E195" s="46"/>
      <c r="G195" s="138"/>
      <c r="H195" s="138"/>
      <c r="I195" s="138"/>
      <c r="J195" s="138"/>
      <c r="K195" s="47"/>
      <c r="L195" s="47"/>
      <c r="M195" s="48"/>
      <c r="N195" s="48"/>
      <c r="O195" s="48"/>
      <c r="P195" s="49"/>
      <c r="Q195" s="49"/>
      <c r="S195" s="49"/>
      <c r="T195" s="49"/>
      <c r="U195" s="49"/>
      <c r="V195" s="49"/>
      <c r="W195" s="46"/>
    </row>
    <row r="196" spans="3:23" ht="11.1" customHeight="1">
      <c r="C196" s="49"/>
      <c r="E196" s="46"/>
      <c r="G196" s="138"/>
      <c r="H196" s="138"/>
      <c r="I196" s="138"/>
      <c r="J196" s="138"/>
      <c r="K196" s="47"/>
      <c r="L196" s="47"/>
      <c r="M196" s="48"/>
      <c r="N196" s="48"/>
      <c r="O196" s="48"/>
      <c r="P196" s="49"/>
      <c r="Q196" s="49"/>
      <c r="S196" s="49"/>
      <c r="T196" s="49"/>
      <c r="U196" s="49"/>
      <c r="V196" s="49"/>
      <c r="W196" s="46"/>
    </row>
    <row r="197" spans="3:23" ht="11.1" customHeight="1">
      <c r="C197" s="49"/>
      <c r="E197" s="46"/>
      <c r="G197" s="138"/>
      <c r="H197" s="138"/>
      <c r="I197" s="138"/>
      <c r="J197" s="138"/>
      <c r="K197" s="47"/>
      <c r="L197" s="47"/>
      <c r="M197" s="48"/>
      <c r="N197" s="48"/>
      <c r="O197" s="48"/>
      <c r="P197" s="49"/>
      <c r="Q197" s="49"/>
      <c r="S197" s="49"/>
      <c r="T197" s="49"/>
      <c r="U197" s="49"/>
      <c r="V197" s="49"/>
      <c r="W197" s="46"/>
    </row>
    <row r="198" spans="3:23" ht="11.1" customHeight="1">
      <c r="C198" s="49"/>
      <c r="E198" s="46"/>
      <c r="G198" s="138"/>
      <c r="H198" s="138"/>
      <c r="I198" s="138"/>
      <c r="J198" s="138"/>
      <c r="K198" s="47"/>
      <c r="L198" s="47"/>
      <c r="M198" s="48"/>
      <c r="N198" s="48"/>
      <c r="O198" s="48"/>
      <c r="P198" s="49"/>
      <c r="Q198" s="49"/>
      <c r="S198" s="49"/>
      <c r="T198" s="49"/>
      <c r="U198" s="49"/>
      <c r="V198" s="49"/>
      <c r="W198" s="46"/>
    </row>
    <row r="199" spans="3:23" ht="11.1" customHeight="1">
      <c r="C199" s="49"/>
      <c r="E199" s="46"/>
      <c r="G199" s="138"/>
      <c r="H199" s="138"/>
      <c r="I199" s="138"/>
      <c r="J199" s="138"/>
      <c r="K199" s="47"/>
      <c r="L199" s="47"/>
      <c r="M199" s="48"/>
      <c r="N199" s="48"/>
      <c r="O199" s="48"/>
      <c r="P199" s="49"/>
      <c r="Q199" s="49"/>
      <c r="S199" s="49"/>
      <c r="T199" s="49"/>
      <c r="U199" s="49"/>
      <c r="V199" s="49"/>
      <c r="W199" s="46"/>
    </row>
    <row r="200" spans="3:23" ht="11.1" customHeight="1">
      <c r="C200" s="49"/>
      <c r="E200" s="46"/>
      <c r="G200" s="138"/>
      <c r="H200" s="138"/>
      <c r="I200" s="138"/>
      <c r="J200" s="138"/>
      <c r="K200" s="47"/>
      <c r="L200" s="47"/>
      <c r="M200" s="48"/>
      <c r="N200" s="48"/>
      <c r="O200" s="48"/>
      <c r="P200" s="49"/>
      <c r="Q200" s="49"/>
      <c r="S200" s="49"/>
      <c r="T200" s="49"/>
      <c r="U200" s="49"/>
      <c r="V200" s="49"/>
      <c r="W200" s="46"/>
    </row>
    <row r="201" spans="3:23" ht="11.1" customHeight="1">
      <c r="C201" s="49"/>
      <c r="E201" s="46"/>
      <c r="G201" s="138"/>
      <c r="H201" s="138"/>
      <c r="I201" s="138"/>
      <c r="J201" s="138"/>
      <c r="K201" s="47"/>
      <c r="L201" s="47"/>
      <c r="M201" s="48"/>
      <c r="N201" s="48"/>
      <c r="O201" s="48"/>
      <c r="P201" s="49"/>
      <c r="Q201" s="49"/>
      <c r="S201" s="49"/>
      <c r="T201" s="49"/>
      <c r="U201" s="49"/>
      <c r="V201" s="49"/>
      <c r="W201" s="46"/>
    </row>
    <row r="202" spans="3:23" ht="11.1" customHeight="1">
      <c r="C202" s="49"/>
      <c r="E202" s="46"/>
      <c r="G202" s="138"/>
      <c r="H202" s="138"/>
      <c r="I202" s="138"/>
      <c r="J202" s="138"/>
      <c r="K202" s="47"/>
      <c r="L202" s="47"/>
      <c r="M202" s="48"/>
      <c r="N202" s="48"/>
      <c r="O202" s="48"/>
      <c r="P202" s="49"/>
      <c r="Q202" s="49"/>
      <c r="S202" s="49"/>
      <c r="T202" s="49"/>
      <c r="U202" s="49"/>
      <c r="V202" s="49"/>
      <c r="W202" s="46"/>
    </row>
    <row r="203" spans="3:23" ht="11.1" customHeight="1">
      <c r="C203" s="49"/>
      <c r="E203" s="46"/>
      <c r="G203" s="138"/>
      <c r="H203" s="138"/>
      <c r="I203" s="138"/>
      <c r="J203" s="138"/>
      <c r="K203" s="47"/>
      <c r="L203" s="47"/>
      <c r="M203" s="48"/>
      <c r="N203" s="48"/>
      <c r="O203" s="48"/>
      <c r="P203" s="49"/>
      <c r="Q203" s="49"/>
      <c r="S203" s="49"/>
      <c r="T203" s="49"/>
      <c r="U203" s="49"/>
      <c r="V203" s="49"/>
      <c r="W203" s="46"/>
    </row>
    <row r="204" spans="3:23" ht="11.1" customHeight="1">
      <c r="C204" s="49"/>
      <c r="E204" s="46"/>
      <c r="G204" s="138"/>
      <c r="H204" s="138"/>
      <c r="I204" s="138"/>
      <c r="J204" s="138"/>
      <c r="K204" s="47"/>
      <c r="L204" s="47"/>
      <c r="M204" s="48"/>
      <c r="N204" s="48"/>
      <c r="O204" s="48"/>
      <c r="P204" s="49"/>
      <c r="Q204" s="49"/>
      <c r="S204" s="49"/>
      <c r="T204" s="49"/>
      <c r="U204" s="49"/>
      <c r="V204" s="49"/>
      <c r="W204" s="46"/>
    </row>
    <row r="205" spans="3:23" ht="11.1" customHeight="1">
      <c r="C205" s="49"/>
      <c r="E205" s="46"/>
      <c r="G205" s="138"/>
      <c r="H205" s="138"/>
      <c r="I205" s="138"/>
      <c r="J205" s="138"/>
      <c r="K205" s="47"/>
      <c r="L205" s="47"/>
      <c r="M205" s="48"/>
      <c r="N205" s="48"/>
      <c r="O205" s="48"/>
      <c r="P205" s="49"/>
      <c r="Q205" s="49"/>
      <c r="S205" s="49"/>
      <c r="T205" s="49"/>
      <c r="U205" s="49"/>
      <c r="V205" s="49"/>
      <c r="W205" s="46"/>
    </row>
    <row r="206" spans="3:23" ht="11.1" customHeight="1">
      <c r="C206" s="49"/>
      <c r="E206" s="46"/>
      <c r="G206" s="138"/>
      <c r="H206" s="138"/>
      <c r="I206" s="138"/>
      <c r="J206" s="138"/>
      <c r="K206" s="47"/>
      <c r="L206" s="47"/>
      <c r="M206" s="48"/>
      <c r="N206" s="48"/>
      <c r="O206" s="48"/>
      <c r="P206" s="49"/>
      <c r="Q206" s="49"/>
      <c r="S206" s="49"/>
      <c r="T206" s="49"/>
      <c r="U206" s="49"/>
      <c r="V206" s="49"/>
      <c r="W206" s="46"/>
    </row>
    <row r="207" spans="3:23" ht="11.1" customHeight="1">
      <c r="C207" s="49"/>
      <c r="E207" s="46"/>
      <c r="G207" s="138"/>
      <c r="H207" s="138"/>
      <c r="I207" s="138"/>
      <c r="J207" s="138"/>
      <c r="K207" s="47"/>
      <c r="L207" s="47"/>
      <c r="M207" s="48"/>
      <c r="N207" s="48"/>
      <c r="O207" s="48"/>
      <c r="P207" s="49"/>
      <c r="Q207" s="49"/>
      <c r="S207" s="49"/>
      <c r="T207" s="49"/>
      <c r="U207" s="49"/>
      <c r="V207" s="49"/>
      <c r="W207" s="46"/>
    </row>
    <row r="208" spans="3:23" ht="11.1" customHeight="1">
      <c r="C208" s="49"/>
      <c r="E208" s="46"/>
      <c r="G208" s="138"/>
      <c r="H208" s="138"/>
      <c r="I208" s="138"/>
      <c r="J208" s="138"/>
      <c r="K208" s="47"/>
      <c r="L208" s="47"/>
      <c r="M208" s="48"/>
      <c r="N208" s="48"/>
      <c r="O208" s="48"/>
      <c r="P208" s="49"/>
      <c r="Q208" s="49"/>
      <c r="S208" s="49"/>
      <c r="T208" s="49"/>
      <c r="U208" s="49"/>
      <c r="V208" s="49"/>
      <c r="W208" s="46"/>
    </row>
    <row r="209" spans="3:23" ht="11.1" customHeight="1">
      <c r="C209" s="49"/>
      <c r="E209" s="46"/>
      <c r="G209" s="138"/>
      <c r="H209" s="138"/>
      <c r="I209" s="138"/>
      <c r="J209" s="138"/>
      <c r="K209" s="47"/>
      <c r="L209" s="47"/>
      <c r="M209" s="48"/>
      <c r="N209" s="48"/>
      <c r="O209" s="48"/>
      <c r="P209" s="49"/>
      <c r="Q209" s="49"/>
      <c r="S209" s="49"/>
      <c r="T209" s="49"/>
      <c r="U209" s="49"/>
      <c r="V209" s="49"/>
      <c r="W209" s="46"/>
    </row>
    <row r="210" spans="3:23" ht="11.1" customHeight="1">
      <c r="C210" s="49"/>
      <c r="E210" s="46"/>
      <c r="G210" s="138"/>
      <c r="H210" s="138"/>
      <c r="I210" s="138"/>
      <c r="J210" s="138"/>
      <c r="K210" s="47"/>
      <c r="L210" s="47"/>
      <c r="M210" s="48"/>
      <c r="N210" s="48"/>
      <c r="O210" s="48"/>
      <c r="P210" s="49"/>
      <c r="Q210" s="49"/>
      <c r="S210" s="49"/>
      <c r="T210" s="49"/>
      <c r="U210" s="49"/>
      <c r="V210" s="49"/>
      <c r="W210" s="46"/>
    </row>
    <row r="211" spans="3:23" ht="11.1" customHeight="1">
      <c r="C211" s="49"/>
      <c r="E211" s="46"/>
      <c r="G211" s="138"/>
      <c r="H211" s="138"/>
      <c r="I211" s="138"/>
      <c r="J211" s="138"/>
      <c r="K211" s="47"/>
      <c r="L211" s="47"/>
      <c r="M211" s="48"/>
      <c r="N211" s="48"/>
      <c r="O211" s="48"/>
      <c r="P211" s="49"/>
      <c r="Q211" s="49"/>
      <c r="S211" s="49"/>
      <c r="T211" s="49"/>
      <c r="U211" s="49"/>
      <c r="V211" s="49"/>
      <c r="W211" s="46"/>
    </row>
    <row r="212" spans="3:23" ht="11.1" customHeight="1">
      <c r="C212" s="49"/>
      <c r="E212" s="46"/>
      <c r="G212" s="138"/>
      <c r="H212" s="138"/>
      <c r="I212" s="138"/>
      <c r="J212" s="138"/>
      <c r="K212" s="47"/>
      <c r="L212" s="47"/>
      <c r="M212" s="48"/>
      <c r="N212" s="48"/>
      <c r="O212" s="48"/>
      <c r="P212" s="49"/>
      <c r="Q212" s="49"/>
      <c r="S212" s="49"/>
      <c r="T212" s="49"/>
      <c r="U212" s="49"/>
      <c r="V212" s="49"/>
      <c r="W212" s="46"/>
    </row>
    <row r="213" spans="3:23" ht="11.1" customHeight="1">
      <c r="C213" s="49"/>
      <c r="E213" s="46"/>
      <c r="G213" s="138"/>
      <c r="H213" s="138"/>
      <c r="I213" s="138"/>
      <c r="J213" s="138"/>
      <c r="K213" s="47"/>
      <c r="L213" s="47"/>
      <c r="M213" s="48"/>
      <c r="N213" s="48"/>
      <c r="O213" s="48"/>
      <c r="P213" s="49"/>
      <c r="Q213" s="49"/>
      <c r="S213" s="49"/>
      <c r="T213" s="49"/>
      <c r="U213" s="49"/>
      <c r="V213" s="49"/>
      <c r="W213" s="46"/>
    </row>
    <row r="214" spans="3:23" ht="11.1" customHeight="1">
      <c r="C214" s="49"/>
      <c r="E214" s="46"/>
      <c r="G214" s="138"/>
      <c r="H214" s="138"/>
      <c r="I214" s="138"/>
      <c r="J214" s="138"/>
      <c r="K214" s="47"/>
      <c r="L214" s="47"/>
      <c r="M214" s="48"/>
      <c r="N214" s="48"/>
      <c r="O214" s="48"/>
      <c r="P214" s="49"/>
      <c r="Q214" s="49"/>
      <c r="S214" s="49"/>
      <c r="T214" s="49"/>
      <c r="U214" s="49"/>
      <c r="V214" s="49"/>
      <c r="W214" s="46"/>
    </row>
    <row r="215" spans="3:23" ht="11.1" customHeight="1">
      <c r="C215" s="49"/>
      <c r="E215" s="46"/>
      <c r="G215" s="138"/>
      <c r="H215" s="138"/>
      <c r="I215" s="138"/>
      <c r="J215" s="138"/>
      <c r="K215" s="47"/>
      <c r="L215" s="47"/>
      <c r="M215" s="48"/>
      <c r="N215" s="48"/>
      <c r="O215" s="48"/>
      <c r="P215" s="49"/>
      <c r="Q215" s="49"/>
      <c r="S215" s="49"/>
      <c r="T215" s="49"/>
      <c r="U215" s="49"/>
      <c r="V215" s="49"/>
      <c r="W215" s="46"/>
    </row>
    <row r="216" spans="3:23" ht="11.1" customHeight="1">
      <c r="C216" s="49"/>
      <c r="E216" s="46"/>
      <c r="G216" s="138"/>
      <c r="H216" s="138"/>
      <c r="I216" s="138"/>
      <c r="J216" s="138"/>
      <c r="K216" s="47"/>
      <c r="L216" s="47"/>
      <c r="M216" s="48"/>
      <c r="N216" s="48"/>
      <c r="O216" s="48"/>
      <c r="P216" s="49"/>
      <c r="Q216" s="49"/>
      <c r="S216" s="49"/>
      <c r="T216" s="49"/>
      <c r="U216" s="49"/>
      <c r="V216" s="49"/>
      <c r="W216" s="46"/>
    </row>
    <row r="217" spans="3:23" ht="11.1" customHeight="1">
      <c r="C217" s="49"/>
      <c r="E217" s="46"/>
      <c r="G217" s="138"/>
      <c r="H217" s="138"/>
      <c r="I217" s="138"/>
      <c r="J217" s="138"/>
      <c r="K217" s="47"/>
      <c r="L217" s="47"/>
      <c r="M217" s="48"/>
      <c r="N217" s="48"/>
      <c r="O217" s="48"/>
      <c r="P217" s="49"/>
      <c r="Q217" s="49"/>
      <c r="S217" s="49"/>
      <c r="T217" s="49"/>
      <c r="U217" s="49"/>
      <c r="V217" s="49"/>
      <c r="W217" s="46"/>
    </row>
    <row r="218" spans="3:23" ht="11.1" customHeight="1">
      <c r="C218" s="49"/>
      <c r="E218" s="46"/>
      <c r="G218" s="138"/>
      <c r="H218" s="138"/>
      <c r="I218" s="138"/>
      <c r="J218" s="138"/>
      <c r="K218" s="47"/>
      <c r="L218" s="47"/>
      <c r="M218" s="48"/>
      <c r="N218" s="48"/>
      <c r="O218" s="48"/>
      <c r="P218" s="49"/>
      <c r="Q218" s="49"/>
      <c r="S218" s="49"/>
      <c r="T218" s="49"/>
      <c r="U218" s="49"/>
      <c r="V218" s="49"/>
      <c r="W218" s="46"/>
    </row>
    <row r="219" spans="3:23" ht="11.1" customHeight="1">
      <c r="C219" s="49"/>
      <c r="E219" s="46"/>
      <c r="G219" s="138"/>
      <c r="H219" s="138"/>
      <c r="I219" s="138"/>
      <c r="J219" s="138"/>
      <c r="K219" s="47"/>
      <c r="L219" s="47"/>
      <c r="M219" s="48"/>
      <c r="N219" s="48"/>
      <c r="O219" s="48"/>
      <c r="P219" s="49"/>
      <c r="Q219" s="49"/>
      <c r="S219" s="49"/>
      <c r="T219" s="49"/>
      <c r="U219" s="49"/>
      <c r="V219" s="49"/>
      <c r="W219" s="46"/>
    </row>
    <row r="220" spans="3:23" ht="11.1" customHeight="1">
      <c r="C220" s="49"/>
      <c r="E220" s="46"/>
      <c r="G220" s="138"/>
      <c r="H220" s="138"/>
      <c r="I220" s="138"/>
      <c r="J220" s="138"/>
      <c r="K220" s="47"/>
      <c r="L220" s="47"/>
      <c r="M220" s="48"/>
      <c r="N220" s="48"/>
      <c r="O220" s="48"/>
      <c r="P220" s="49"/>
      <c r="Q220" s="49"/>
      <c r="S220" s="49"/>
      <c r="T220" s="49"/>
      <c r="U220" s="49"/>
      <c r="V220" s="49"/>
      <c r="W220" s="46"/>
    </row>
    <row r="221" spans="3:23" ht="11.1" customHeight="1">
      <c r="C221" s="49"/>
      <c r="E221" s="46"/>
      <c r="G221" s="138"/>
      <c r="H221" s="138"/>
      <c r="I221" s="138"/>
      <c r="J221" s="138"/>
      <c r="K221" s="47"/>
      <c r="L221" s="47"/>
      <c r="M221" s="48"/>
      <c r="N221" s="48"/>
      <c r="O221" s="48"/>
      <c r="P221" s="49"/>
      <c r="Q221" s="49"/>
      <c r="S221" s="49"/>
      <c r="T221" s="49"/>
      <c r="U221" s="49"/>
      <c r="V221" s="49"/>
      <c r="W221" s="46"/>
    </row>
    <row r="222" spans="3:23" ht="11.1" customHeight="1">
      <c r="C222" s="49"/>
      <c r="E222" s="46"/>
      <c r="G222" s="138"/>
      <c r="H222" s="138"/>
      <c r="I222" s="138"/>
      <c r="J222" s="138"/>
      <c r="K222" s="47"/>
      <c r="L222" s="47"/>
      <c r="M222" s="48"/>
      <c r="N222" s="48"/>
      <c r="O222" s="48"/>
      <c r="P222" s="49"/>
      <c r="Q222" s="49"/>
      <c r="S222" s="49"/>
      <c r="T222" s="49"/>
      <c r="U222" s="49"/>
      <c r="V222" s="49"/>
      <c r="W222" s="46"/>
    </row>
    <row r="223" spans="3:23" ht="11.1" customHeight="1">
      <c r="C223" s="49"/>
      <c r="E223" s="46"/>
      <c r="G223" s="138"/>
      <c r="H223" s="138"/>
      <c r="I223" s="138"/>
      <c r="J223" s="138"/>
      <c r="K223" s="47"/>
      <c r="L223" s="47"/>
      <c r="M223" s="48"/>
      <c r="N223" s="48"/>
      <c r="O223" s="48"/>
      <c r="P223" s="49"/>
      <c r="Q223" s="49"/>
      <c r="S223" s="49"/>
      <c r="T223" s="49"/>
      <c r="U223" s="49"/>
      <c r="V223" s="49"/>
      <c r="W223" s="46"/>
    </row>
    <row r="224" spans="3:23" ht="11.1" customHeight="1">
      <c r="C224" s="49"/>
      <c r="E224" s="46"/>
      <c r="G224" s="138"/>
      <c r="H224" s="138"/>
      <c r="I224" s="138"/>
      <c r="J224" s="138"/>
      <c r="K224" s="47"/>
      <c r="L224" s="47"/>
      <c r="M224" s="48"/>
      <c r="N224" s="48"/>
      <c r="O224" s="48"/>
      <c r="P224" s="49"/>
      <c r="Q224" s="49"/>
      <c r="S224" s="49"/>
      <c r="T224" s="49"/>
      <c r="U224" s="49"/>
      <c r="V224" s="49"/>
      <c r="W224" s="46"/>
    </row>
    <row r="225" spans="3:23" ht="11.1" customHeight="1">
      <c r="C225" s="49"/>
      <c r="E225" s="46"/>
      <c r="G225" s="138"/>
      <c r="H225" s="138"/>
      <c r="I225" s="138"/>
      <c r="J225" s="138"/>
      <c r="K225" s="47"/>
      <c r="L225" s="47"/>
      <c r="M225" s="48"/>
      <c r="N225" s="48"/>
      <c r="O225" s="48"/>
      <c r="P225" s="49"/>
      <c r="Q225" s="49"/>
      <c r="S225" s="49"/>
      <c r="T225" s="49"/>
      <c r="U225" s="49"/>
      <c r="V225" s="49"/>
      <c r="W225" s="46"/>
    </row>
    <row r="226" spans="3:23" ht="11.1" customHeight="1">
      <c r="C226" s="49"/>
      <c r="E226" s="46"/>
      <c r="G226" s="138"/>
      <c r="H226" s="138"/>
      <c r="I226" s="138"/>
      <c r="J226" s="138"/>
      <c r="K226" s="47"/>
      <c r="L226" s="47"/>
      <c r="M226" s="48"/>
      <c r="N226" s="48"/>
      <c r="O226" s="48"/>
      <c r="P226" s="49"/>
      <c r="Q226" s="49"/>
      <c r="S226" s="49"/>
      <c r="T226" s="49"/>
      <c r="U226" s="49"/>
      <c r="V226" s="49"/>
      <c r="W226" s="46"/>
    </row>
    <row r="227" spans="3:23" ht="11.1" customHeight="1">
      <c r="C227" s="49"/>
      <c r="E227" s="46"/>
      <c r="G227" s="138"/>
      <c r="H227" s="138"/>
      <c r="I227" s="138"/>
      <c r="J227" s="138"/>
      <c r="K227" s="47"/>
      <c r="L227" s="47"/>
      <c r="M227" s="48"/>
      <c r="N227" s="48"/>
      <c r="O227" s="48"/>
      <c r="P227" s="49"/>
      <c r="Q227" s="49"/>
      <c r="S227" s="49"/>
      <c r="T227" s="49"/>
      <c r="U227" s="49"/>
      <c r="V227" s="49"/>
      <c r="W227" s="46"/>
    </row>
    <row r="228" spans="3:23" ht="11.1" customHeight="1">
      <c r="C228" s="49"/>
      <c r="E228" s="46"/>
      <c r="G228" s="138"/>
      <c r="H228" s="138"/>
      <c r="I228" s="138"/>
      <c r="J228" s="138"/>
      <c r="K228" s="47"/>
      <c r="L228" s="47"/>
      <c r="M228" s="48"/>
      <c r="N228" s="48"/>
      <c r="O228" s="48"/>
      <c r="P228" s="49"/>
      <c r="Q228" s="49"/>
      <c r="S228" s="49"/>
      <c r="T228" s="49"/>
      <c r="U228" s="49"/>
      <c r="V228" s="49"/>
      <c r="W228" s="46"/>
    </row>
    <row r="229" spans="3:23" ht="11.1" customHeight="1">
      <c r="C229" s="49"/>
      <c r="E229" s="46"/>
      <c r="G229" s="138"/>
      <c r="H229" s="138"/>
      <c r="I229" s="138"/>
      <c r="J229" s="138"/>
      <c r="K229" s="47"/>
      <c r="L229" s="47"/>
      <c r="M229" s="48"/>
      <c r="N229" s="48"/>
      <c r="O229" s="48"/>
      <c r="P229" s="49"/>
      <c r="Q229" s="49"/>
      <c r="S229" s="49"/>
      <c r="T229" s="49"/>
      <c r="U229" s="49"/>
      <c r="V229" s="49"/>
      <c r="W229" s="46"/>
    </row>
    <row r="230" spans="3:23" ht="11.1" customHeight="1">
      <c r="C230" s="49"/>
      <c r="E230" s="46"/>
      <c r="G230" s="138"/>
      <c r="H230" s="138"/>
      <c r="I230" s="138"/>
      <c r="J230" s="138"/>
      <c r="K230" s="47"/>
      <c r="L230" s="47"/>
      <c r="M230" s="48"/>
      <c r="N230" s="48"/>
      <c r="O230" s="48"/>
      <c r="P230" s="49"/>
      <c r="Q230" s="49"/>
      <c r="S230" s="49"/>
      <c r="T230" s="49"/>
      <c r="U230" s="49"/>
      <c r="V230" s="49"/>
      <c r="W230" s="46"/>
    </row>
    <row r="231" spans="3:23" ht="11.1" customHeight="1">
      <c r="C231" s="49"/>
      <c r="E231" s="46"/>
      <c r="G231" s="138"/>
      <c r="H231" s="138"/>
      <c r="I231" s="138"/>
      <c r="J231" s="138"/>
      <c r="K231" s="47"/>
      <c r="L231" s="47"/>
      <c r="M231" s="48"/>
      <c r="N231" s="48"/>
      <c r="O231" s="48"/>
      <c r="P231" s="49"/>
      <c r="Q231" s="49"/>
      <c r="S231" s="49"/>
      <c r="T231" s="49"/>
      <c r="U231" s="49"/>
      <c r="V231" s="49"/>
      <c r="W231" s="46"/>
    </row>
    <row r="232" spans="3:23" ht="11.1" customHeight="1">
      <c r="C232" s="49"/>
      <c r="E232" s="46"/>
      <c r="G232" s="138"/>
      <c r="H232" s="138"/>
      <c r="I232" s="138"/>
      <c r="J232" s="138"/>
      <c r="K232" s="47"/>
      <c r="L232" s="47"/>
      <c r="M232" s="48"/>
      <c r="N232" s="48"/>
      <c r="O232" s="48"/>
      <c r="P232" s="49"/>
      <c r="Q232" s="49"/>
      <c r="S232" s="49"/>
      <c r="T232" s="49"/>
      <c r="U232" s="49"/>
      <c r="V232" s="49"/>
      <c r="W232" s="46"/>
    </row>
    <row r="233" spans="3:23" ht="11.1" customHeight="1">
      <c r="C233" s="49"/>
      <c r="E233" s="46"/>
      <c r="G233" s="138"/>
      <c r="H233" s="138"/>
      <c r="I233" s="138"/>
      <c r="J233" s="138"/>
      <c r="K233" s="47"/>
      <c r="L233" s="47"/>
      <c r="M233" s="48"/>
      <c r="N233" s="48"/>
      <c r="O233" s="48"/>
      <c r="P233" s="49"/>
      <c r="Q233" s="49"/>
      <c r="S233" s="49"/>
      <c r="T233" s="49"/>
      <c r="U233" s="49"/>
      <c r="V233" s="49"/>
      <c r="W233" s="46"/>
    </row>
    <row r="234" spans="3:23" ht="11.1" customHeight="1">
      <c r="C234" s="49"/>
      <c r="E234" s="46"/>
      <c r="G234" s="138"/>
      <c r="H234" s="138"/>
      <c r="I234" s="138"/>
      <c r="J234" s="138"/>
      <c r="K234" s="47"/>
      <c r="L234" s="47"/>
      <c r="M234" s="48"/>
      <c r="N234" s="48"/>
      <c r="O234" s="48"/>
      <c r="P234" s="49"/>
      <c r="Q234" s="49"/>
      <c r="S234" s="49"/>
      <c r="T234" s="49"/>
      <c r="U234" s="49"/>
      <c r="V234" s="49"/>
      <c r="W234" s="46"/>
    </row>
    <row r="235" spans="3:23" ht="11.1" customHeight="1">
      <c r="C235" s="49"/>
      <c r="E235" s="46"/>
      <c r="G235" s="138"/>
      <c r="H235" s="138"/>
      <c r="I235" s="138"/>
      <c r="J235" s="138"/>
      <c r="K235" s="47"/>
      <c r="L235" s="47"/>
      <c r="M235" s="48"/>
      <c r="N235" s="48"/>
      <c r="O235" s="48"/>
      <c r="P235" s="49"/>
      <c r="Q235" s="49"/>
      <c r="S235" s="49"/>
      <c r="T235" s="49"/>
      <c r="U235" s="49"/>
      <c r="V235" s="49"/>
      <c r="W235" s="46"/>
    </row>
    <row r="236" spans="3:23" ht="11.1" customHeight="1">
      <c r="C236" s="49"/>
      <c r="E236" s="46"/>
      <c r="G236" s="138"/>
      <c r="H236" s="138"/>
      <c r="I236" s="138"/>
      <c r="J236" s="138"/>
      <c r="K236" s="47"/>
      <c r="L236" s="47"/>
      <c r="M236" s="48"/>
      <c r="N236" s="48"/>
      <c r="O236" s="48"/>
      <c r="P236" s="49"/>
      <c r="Q236" s="49"/>
      <c r="S236" s="49"/>
      <c r="T236" s="49"/>
      <c r="U236" s="49"/>
      <c r="V236" s="49"/>
      <c r="W236" s="46"/>
    </row>
    <row r="237" spans="3:23" ht="11.1" customHeight="1">
      <c r="C237" s="49"/>
      <c r="E237" s="46"/>
      <c r="G237" s="138"/>
      <c r="H237" s="138"/>
      <c r="I237" s="138"/>
      <c r="J237" s="138"/>
      <c r="K237" s="47"/>
      <c r="L237" s="47"/>
      <c r="M237" s="48"/>
      <c r="N237" s="48"/>
      <c r="O237" s="48"/>
      <c r="P237" s="49"/>
      <c r="Q237" s="49"/>
      <c r="S237" s="49"/>
      <c r="T237" s="49"/>
      <c r="U237" s="49"/>
      <c r="V237" s="49"/>
      <c r="W237" s="46"/>
    </row>
    <row r="238" spans="3:23" ht="11.1" customHeight="1">
      <c r="C238" s="49"/>
      <c r="E238" s="46"/>
      <c r="G238" s="138"/>
      <c r="H238" s="138"/>
      <c r="I238" s="138"/>
      <c r="J238" s="138"/>
      <c r="K238" s="47"/>
      <c r="L238" s="47"/>
      <c r="M238" s="48"/>
      <c r="N238" s="48"/>
      <c r="O238" s="48"/>
      <c r="P238" s="49"/>
      <c r="Q238" s="49"/>
      <c r="S238" s="49"/>
      <c r="T238" s="49"/>
      <c r="U238" s="49"/>
      <c r="V238" s="49"/>
      <c r="W238" s="46"/>
    </row>
    <row r="239" spans="3:23" ht="11.1" customHeight="1">
      <c r="C239" s="49"/>
      <c r="E239" s="46"/>
      <c r="G239" s="138"/>
      <c r="H239" s="138"/>
      <c r="I239" s="138"/>
      <c r="J239" s="138"/>
      <c r="K239" s="47"/>
      <c r="L239" s="47"/>
      <c r="M239" s="48"/>
      <c r="N239" s="48"/>
      <c r="O239" s="48"/>
      <c r="P239" s="49"/>
      <c r="Q239" s="49"/>
      <c r="S239" s="49"/>
      <c r="T239" s="49"/>
      <c r="U239" s="49"/>
      <c r="V239" s="49"/>
      <c r="W239" s="46"/>
    </row>
    <row r="240" spans="3:23" ht="11.1" customHeight="1">
      <c r="C240" s="49"/>
      <c r="E240" s="46"/>
      <c r="G240" s="138"/>
      <c r="H240" s="138"/>
      <c r="I240" s="138"/>
      <c r="J240" s="138"/>
      <c r="K240" s="47"/>
      <c r="L240" s="47"/>
      <c r="M240" s="48"/>
      <c r="N240" s="48"/>
      <c r="O240" s="48"/>
      <c r="P240" s="49"/>
      <c r="Q240" s="49"/>
      <c r="S240" s="49"/>
      <c r="T240" s="49"/>
      <c r="U240" s="49"/>
      <c r="V240" s="49"/>
      <c r="W240" s="46"/>
    </row>
    <row r="241" spans="3:23" ht="11.1" customHeight="1">
      <c r="C241" s="49"/>
      <c r="E241" s="46"/>
      <c r="G241" s="138"/>
      <c r="H241" s="138"/>
      <c r="I241" s="138"/>
      <c r="J241" s="138"/>
      <c r="K241" s="47"/>
      <c r="L241" s="47"/>
      <c r="M241" s="48"/>
      <c r="N241" s="48"/>
      <c r="O241" s="48"/>
      <c r="P241" s="49"/>
      <c r="Q241" s="49"/>
      <c r="S241" s="49"/>
      <c r="T241" s="49"/>
      <c r="U241" s="49"/>
      <c r="V241" s="49"/>
      <c r="W241" s="46"/>
    </row>
    <row r="242" spans="3:23" ht="11.1" customHeight="1">
      <c r="C242" s="49"/>
      <c r="E242" s="46"/>
      <c r="G242" s="138"/>
      <c r="H242" s="138"/>
      <c r="I242" s="138"/>
      <c r="J242" s="138"/>
      <c r="K242" s="47"/>
      <c r="L242" s="47"/>
      <c r="M242" s="48"/>
      <c r="N242" s="48"/>
      <c r="O242" s="48"/>
      <c r="P242" s="49"/>
      <c r="Q242" s="49"/>
      <c r="S242" s="49"/>
      <c r="T242" s="49"/>
      <c r="U242" s="49"/>
      <c r="V242" s="49"/>
      <c r="W242" s="46"/>
    </row>
    <row r="243" spans="3:23" ht="11.1" customHeight="1">
      <c r="C243" s="49"/>
      <c r="E243" s="46"/>
      <c r="G243" s="138"/>
      <c r="H243" s="138"/>
      <c r="I243" s="138"/>
      <c r="J243" s="138"/>
      <c r="K243" s="47"/>
      <c r="L243" s="47"/>
      <c r="M243" s="48"/>
      <c r="N243" s="48"/>
      <c r="O243" s="48"/>
      <c r="P243" s="49"/>
      <c r="Q243" s="49"/>
      <c r="S243" s="49"/>
      <c r="T243" s="49"/>
      <c r="U243" s="49"/>
      <c r="V243" s="49"/>
      <c r="W243" s="46"/>
    </row>
    <row r="244" spans="3:23" ht="11.1" customHeight="1">
      <c r="C244" s="49"/>
      <c r="E244" s="46"/>
      <c r="G244" s="138"/>
      <c r="H244" s="138"/>
      <c r="I244" s="138"/>
      <c r="J244" s="138"/>
      <c r="K244" s="47"/>
      <c r="L244" s="47"/>
      <c r="M244" s="48"/>
      <c r="N244" s="48"/>
      <c r="O244" s="48"/>
      <c r="P244" s="49"/>
      <c r="Q244" s="49"/>
      <c r="S244" s="49"/>
      <c r="T244" s="49"/>
      <c r="U244" s="49"/>
      <c r="V244" s="49"/>
      <c r="W244" s="46"/>
    </row>
    <row r="245" spans="3:23" ht="11.1" customHeight="1">
      <c r="C245" s="49"/>
      <c r="E245" s="46"/>
      <c r="G245" s="138"/>
      <c r="H245" s="138"/>
      <c r="I245" s="138"/>
      <c r="J245" s="138"/>
      <c r="K245" s="47"/>
      <c r="L245" s="47"/>
      <c r="M245" s="48"/>
      <c r="N245" s="48"/>
      <c r="O245" s="48"/>
      <c r="P245" s="49"/>
      <c r="Q245" s="49"/>
      <c r="S245" s="49"/>
      <c r="T245" s="49"/>
      <c r="U245" s="49"/>
      <c r="V245" s="49"/>
      <c r="W245" s="46"/>
    </row>
    <row r="246" spans="3:23" ht="11.1" customHeight="1">
      <c r="C246" s="49"/>
      <c r="E246" s="46"/>
      <c r="G246" s="138"/>
      <c r="H246" s="138"/>
      <c r="I246" s="138"/>
      <c r="J246" s="138"/>
      <c r="K246" s="47"/>
      <c r="L246" s="47"/>
      <c r="M246" s="48"/>
      <c r="N246" s="48"/>
      <c r="O246" s="48"/>
      <c r="P246" s="49"/>
      <c r="Q246" s="49"/>
      <c r="S246" s="49"/>
      <c r="T246" s="49"/>
      <c r="U246" s="49"/>
      <c r="V246" s="49"/>
      <c r="W246" s="46"/>
    </row>
    <row r="247" spans="3:23" ht="11.1" customHeight="1">
      <c r="C247" s="49"/>
      <c r="E247" s="46"/>
      <c r="G247" s="138"/>
      <c r="H247" s="138"/>
      <c r="I247" s="138"/>
      <c r="J247" s="138"/>
      <c r="K247" s="47"/>
      <c r="L247" s="47"/>
      <c r="M247" s="48"/>
      <c r="N247" s="48"/>
      <c r="O247" s="48"/>
      <c r="P247" s="49"/>
      <c r="Q247" s="49"/>
      <c r="S247" s="49"/>
      <c r="T247" s="49"/>
      <c r="U247" s="49"/>
      <c r="V247" s="49"/>
      <c r="W247" s="46"/>
    </row>
    <row r="248" spans="3:23" ht="11.1" customHeight="1">
      <c r="C248" s="49"/>
      <c r="E248" s="46"/>
      <c r="G248" s="138"/>
      <c r="H248" s="138"/>
      <c r="I248" s="138"/>
      <c r="J248" s="138"/>
      <c r="K248" s="47"/>
      <c r="L248" s="47"/>
      <c r="M248" s="48"/>
      <c r="N248" s="48"/>
      <c r="O248" s="48"/>
      <c r="P248" s="49"/>
      <c r="Q248" s="49"/>
      <c r="S248" s="49"/>
      <c r="T248" s="49"/>
      <c r="U248" s="49"/>
      <c r="V248" s="49"/>
      <c r="W248" s="46"/>
    </row>
    <row r="249" spans="3:23" ht="11.1" customHeight="1">
      <c r="C249" s="49"/>
      <c r="E249" s="46"/>
      <c r="G249" s="138"/>
      <c r="H249" s="138"/>
      <c r="I249" s="138"/>
      <c r="J249" s="138"/>
      <c r="K249" s="47"/>
      <c r="L249" s="47"/>
      <c r="M249" s="48"/>
      <c r="N249" s="48"/>
      <c r="O249" s="48"/>
      <c r="P249" s="49"/>
      <c r="Q249" s="49"/>
      <c r="S249" s="49"/>
      <c r="T249" s="49"/>
      <c r="U249" s="49"/>
      <c r="V249" s="49"/>
      <c r="W249" s="46"/>
    </row>
    <row r="250" spans="3:23" ht="11.1" customHeight="1">
      <c r="C250" s="49"/>
      <c r="E250" s="46"/>
      <c r="G250" s="138"/>
      <c r="H250" s="138"/>
      <c r="I250" s="138"/>
      <c r="J250" s="138"/>
      <c r="K250" s="47"/>
      <c r="L250" s="47"/>
      <c r="M250" s="48"/>
      <c r="N250" s="48"/>
      <c r="O250" s="48"/>
      <c r="P250" s="49"/>
      <c r="Q250" s="49"/>
      <c r="S250" s="49"/>
      <c r="T250" s="49"/>
      <c r="U250" s="49"/>
      <c r="V250" s="49"/>
      <c r="W250" s="46"/>
    </row>
    <row r="251" spans="3:23" ht="11.1" customHeight="1">
      <c r="C251" s="49"/>
      <c r="E251" s="46"/>
      <c r="G251" s="138"/>
      <c r="H251" s="138"/>
      <c r="I251" s="138"/>
      <c r="J251" s="138"/>
      <c r="K251" s="47"/>
      <c r="L251" s="47"/>
      <c r="M251" s="48"/>
      <c r="N251" s="48"/>
      <c r="O251" s="48"/>
      <c r="P251" s="49"/>
      <c r="Q251" s="49"/>
      <c r="S251" s="49"/>
      <c r="T251" s="49"/>
      <c r="U251" s="49"/>
      <c r="V251" s="49"/>
      <c r="W251" s="46"/>
    </row>
    <row r="252" spans="3:23" ht="11.1" customHeight="1">
      <c r="C252" s="49"/>
      <c r="E252" s="46"/>
      <c r="G252" s="138"/>
      <c r="H252" s="138"/>
      <c r="I252" s="138"/>
      <c r="J252" s="138"/>
      <c r="K252" s="47"/>
      <c r="L252" s="47"/>
      <c r="M252" s="48"/>
      <c r="N252" s="48"/>
      <c r="O252" s="48"/>
      <c r="P252" s="49"/>
      <c r="Q252" s="49"/>
      <c r="S252" s="49"/>
      <c r="T252" s="49"/>
      <c r="U252" s="49"/>
      <c r="V252" s="49"/>
      <c r="W252" s="46"/>
    </row>
    <row r="253" spans="3:23" ht="11.1" customHeight="1">
      <c r="C253" s="49"/>
      <c r="E253" s="46"/>
      <c r="G253" s="138"/>
      <c r="H253" s="138"/>
      <c r="I253" s="138"/>
      <c r="J253" s="138"/>
      <c r="K253" s="47"/>
      <c r="L253" s="47"/>
      <c r="M253" s="48"/>
      <c r="N253" s="48"/>
      <c r="O253" s="48"/>
      <c r="P253" s="49"/>
      <c r="Q253" s="49"/>
      <c r="S253" s="49"/>
      <c r="T253" s="49"/>
      <c r="U253" s="49"/>
      <c r="V253" s="49"/>
      <c r="W253" s="46"/>
    </row>
    <row r="254" spans="3:23" ht="11.1" customHeight="1">
      <c r="C254" s="49"/>
      <c r="E254" s="46"/>
      <c r="G254" s="138"/>
      <c r="H254" s="138"/>
      <c r="I254" s="138"/>
      <c r="J254" s="138"/>
      <c r="K254" s="47"/>
      <c r="L254" s="47"/>
      <c r="M254" s="48"/>
      <c r="N254" s="48"/>
      <c r="O254" s="48"/>
      <c r="P254" s="49"/>
      <c r="Q254" s="49"/>
      <c r="S254" s="49"/>
      <c r="T254" s="49"/>
      <c r="U254" s="49"/>
      <c r="V254" s="49"/>
      <c r="W254" s="46"/>
    </row>
    <row r="255" spans="3:23" ht="11.1" customHeight="1">
      <c r="C255" s="49"/>
      <c r="E255" s="46"/>
      <c r="G255" s="138"/>
      <c r="H255" s="138"/>
      <c r="I255" s="138"/>
      <c r="J255" s="138"/>
      <c r="K255" s="47"/>
      <c r="L255" s="47"/>
      <c r="M255" s="48"/>
      <c r="N255" s="48"/>
      <c r="O255" s="48"/>
      <c r="P255" s="49"/>
      <c r="Q255" s="49"/>
      <c r="S255" s="49"/>
      <c r="T255" s="49"/>
      <c r="U255" s="49"/>
      <c r="V255" s="49"/>
      <c r="W255" s="46"/>
    </row>
    <row r="256" spans="3:23" ht="11.1" customHeight="1">
      <c r="C256" s="49"/>
      <c r="E256" s="46"/>
      <c r="G256" s="138"/>
      <c r="H256" s="138"/>
      <c r="I256" s="138"/>
      <c r="J256" s="138"/>
      <c r="K256" s="47"/>
      <c r="L256" s="47"/>
      <c r="M256" s="48"/>
      <c r="N256" s="48"/>
      <c r="O256" s="48"/>
      <c r="P256" s="49"/>
      <c r="Q256" s="49"/>
      <c r="S256" s="49"/>
      <c r="T256" s="49"/>
      <c r="U256" s="49"/>
      <c r="V256" s="49"/>
      <c r="W256" s="46"/>
    </row>
    <row r="257" spans="3:23" ht="11.1" customHeight="1">
      <c r="C257" s="49"/>
      <c r="E257" s="46"/>
      <c r="G257" s="138"/>
      <c r="H257" s="138"/>
      <c r="I257" s="138"/>
      <c r="J257" s="138"/>
      <c r="K257" s="47"/>
      <c r="L257" s="47"/>
      <c r="M257" s="48"/>
      <c r="N257" s="48"/>
      <c r="O257" s="48"/>
      <c r="P257" s="49"/>
      <c r="Q257" s="49"/>
      <c r="S257" s="49"/>
      <c r="T257" s="49"/>
      <c r="U257" s="49"/>
      <c r="V257" s="49"/>
      <c r="W257" s="46"/>
    </row>
    <row r="258" spans="3:23" ht="11.1" customHeight="1">
      <c r="C258" s="49"/>
      <c r="E258" s="46"/>
      <c r="G258" s="138"/>
      <c r="H258" s="138"/>
      <c r="I258" s="138"/>
      <c r="J258" s="138"/>
      <c r="K258" s="47"/>
      <c r="L258" s="47"/>
      <c r="M258" s="48"/>
      <c r="N258" s="48"/>
      <c r="O258" s="48"/>
      <c r="P258" s="49"/>
      <c r="Q258" s="49"/>
      <c r="S258" s="49"/>
      <c r="T258" s="49"/>
      <c r="U258" s="49"/>
      <c r="V258" s="49"/>
      <c r="W258" s="46"/>
    </row>
    <row r="259" spans="3:23" ht="11.1" customHeight="1">
      <c r="C259" s="49"/>
      <c r="E259" s="46"/>
      <c r="G259" s="138"/>
      <c r="H259" s="138"/>
      <c r="I259" s="138"/>
      <c r="J259" s="138"/>
      <c r="K259" s="47"/>
      <c r="L259" s="47"/>
      <c r="M259" s="48"/>
      <c r="N259" s="48"/>
      <c r="O259" s="48"/>
      <c r="P259" s="49"/>
      <c r="Q259" s="49"/>
      <c r="S259" s="49"/>
      <c r="T259" s="49"/>
      <c r="U259" s="49"/>
      <c r="V259" s="49"/>
      <c r="W259" s="46"/>
    </row>
    <row r="260" spans="3:23" ht="11.1" customHeight="1">
      <c r="C260" s="49"/>
      <c r="E260" s="46"/>
      <c r="G260" s="138"/>
      <c r="H260" s="138"/>
      <c r="I260" s="138"/>
      <c r="J260" s="138"/>
      <c r="K260" s="47"/>
      <c r="L260" s="47"/>
      <c r="M260" s="48"/>
      <c r="N260" s="48"/>
      <c r="O260" s="48"/>
      <c r="P260" s="49"/>
      <c r="Q260" s="49"/>
      <c r="S260" s="49"/>
      <c r="T260" s="49"/>
      <c r="U260" s="49"/>
      <c r="V260" s="49"/>
      <c r="W260" s="46"/>
    </row>
    <row r="261" spans="3:23" ht="11.1" customHeight="1">
      <c r="C261" s="49"/>
      <c r="E261" s="46"/>
      <c r="G261" s="138"/>
      <c r="H261" s="138"/>
      <c r="I261" s="138"/>
      <c r="J261" s="138"/>
      <c r="K261" s="47"/>
      <c r="L261" s="47"/>
      <c r="M261" s="48"/>
      <c r="N261" s="48"/>
      <c r="O261" s="48"/>
      <c r="P261" s="49"/>
      <c r="Q261" s="49"/>
      <c r="S261" s="49"/>
      <c r="T261" s="49"/>
      <c r="U261" s="49"/>
      <c r="V261" s="49"/>
      <c r="W261" s="46"/>
    </row>
    <row r="262" spans="3:23" ht="11.1" customHeight="1">
      <c r="C262" s="49"/>
      <c r="E262" s="46"/>
      <c r="G262" s="138"/>
      <c r="H262" s="138"/>
      <c r="I262" s="138"/>
      <c r="J262" s="138"/>
      <c r="K262" s="47"/>
      <c r="L262" s="47"/>
      <c r="M262" s="48"/>
      <c r="N262" s="48"/>
      <c r="O262" s="48"/>
      <c r="P262" s="49"/>
      <c r="Q262" s="49"/>
      <c r="S262" s="49"/>
      <c r="T262" s="49"/>
      <c r="U262" s="49"/>
      <c r="V262" s="49"/>
      <c r="W262" s="46"/>
    </row>
  </sheetData>
  <mergeCells count="7">
    <mergeCell ref="E45:K45"/>
    <mergeCell ref="R45:S45"/>
    <mergeCell ref="B1:V1"/>
    <mergeCell ref="B2:V2"/>
    <mergeCell ref="E3:K3"/>
    <mergeCell ref="B44:V44"/>
    <mergeCell ref="R3:U3"/>
  </mergeCells>
  <phoneticPr fontId="60" type="noConversion"/>
  <printOptions horizontalCentered="1"/>
  <pageMargins left="0.7" right="0.7" top="0.75" bottom="0.75" header="0.3" footer="0.3"/>
  <pageSetup scale="58" fitToHeight="2" orientation="landscape" r:id="rId1"/>
  <headerFooter scaleWithDoc="0">
    <oddHeader>&amp;RExhibit No. __(EMA-2)</oddHeader>
    <oddFooter>&amp;RPage &amp;P of &amp;N</oddFooter>
  </headerFooter>
  <rowBreaks count="1" manualBreakCount="1">
    <brk id="4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88"/>
  <sheetViews>
    <sheetView view="pageBreakPreview" topLeftCell="A40" zoomScaleNormal="115" zoomScaleSheetLayoutView="100" workbookViewId="0">
      <selection activeCell="L10" sqref="L10"/>
    </sheetView>
  </sheetViews>
  <sheetFormatPr defaultColWidth="12.42578125" defaultRowHeight="12"/>
  <cols>
    <col min="1" max="1" width="3.85546875" style="38" customWidth="1"/>
    <col min="2" max="2" width="3.42578125" style="38" customWidth="1"/>
    <col min="3" max="3" width="3" style="38" customWidth="1"/>
    <col min="4" max="4" width="22.5703125" style="38" customWidth="1"/>
    <col min="5" max="5" width="9.7109375" style="38" customWidth="1"/>
    <col min="6" max="6" width="8.42578125" style="39" hidden="1" customWidth="1"/>
    <col min="7" max="7" width="9" style="187" hidden="1" customWidth="1"/>
    <col min="8" max="8" width="9.140625" style="187" hidden="1" customWidth="1"/>
    <col min="9" max="9" width="10.28515625" style="187" hidden="1" customWidth="1"/>
    <col min="10" max="10" width="9" style="187" hidden="1" customWidth="1"/>
    <col min="11" max="11" width="9" style="39" hidden="1" customWidth="1"/>
    <col min="12" max="12" width="9.28515625" style="187" hidden="1" customWidth="1"/>
    <col min="13" max="14" width="8.42578125" style="187" bestFit="1" customWidth="1"/>
    <col min="15" max="15" width="10.140625" style="187" bestFit="1" customWidth="1"/>
    <col min="16" max="17" width="9.28515625" style="187" bestFit="1" customWidth="1"/>
    <col min="18" max="18" width="9.28515625" style="38" bestFit="1" customWidth="1"/>
    <col min="19" max="19" width="9.140625" style="39" customWidth="1"/>
    <col min="20" max="21" width="9.5703125" style="39" customWidth="1"/>
    <col min="22" max="16384" width="12.42578125" style="38"/>
  </cols>
  <sheetData>
    <row r="1" spans="1:21" ht="7.5" customHeight="1">
      <c r="A1" s="918"/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</row>
    <row r="2" spans="1:21" ht="23.25" customHeight="1">
      <c r="A2" s="927" t="s">
        <v>617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</row>
    <row r="3" spans="1:21" ht="10.9" customHeigh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21" ht="12.75" customHeight="1">
      <c r="A4" s="262" t="s">
        <v>93</v>
      </c>
      <c r="E4" s="929" t="s">
        <v>410</v>
      </c>
      <c r="F4" s="929"/>
      <c r="G4" s="929"/>
      <c r="H4" s="929"/>
      <c r="I4" s="930"/>
      <c r="J4" s="929"/>
      <c r="K4" s="929"/>
      <c r="L4" s="929"/>
      <c r="M4" s="929"/>
      <c r="N4" s="929"/>
      <c r="O4" s="929"/>
      <c r="P4" s="929"/>
      <c r="Q4" s="929"/>
      <c r="R4" s="929"/>
    </row>
    <row r="5" spans="1:21" ht="15" customHeight="1">
      <c r="A5" s="262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1:21" ht="10.5" customHeight="1">
      <c r="G6" s="39"/>
      <c r="H6" s="39"/>
      <c r="I6" s="39"/>
      <c r="J6" s="39"/>
      <c r="L6" s="39"/>
      <c r="M6" s="39"/>
      <c r="N6" s="39"/>
      <c r="O6" s="39"/>
      <c r="P6" s="39"/>
      <c r="Q6" s="39"/>
      <c r="U6" s="685"/>
    </row>
    <row r="7" spans="1:21" ht="12.75">
      <c r="A7" s="262" t="s">
        <v>92</v>
      </c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40"/>
      <c r="T7" s="535"/>
      <c r="U7" s="111" t="s">
        <v>539</v>
      </c>
    </row>
    <row r="8" spans="1:21">
      <c r="A8" s="52" t="s">
        <v>3</v>
      </c>
      <c r="F8" s="145">
        <v>2000</v>
      </c>
      <c r="G8" s="145">
        <v>2001</v>
      </c>
      <c r="H8" s="145">
        <v>2002</v>
      </c>
      <c r="I8" s="145">
        <v>2003</v>
      </c>
      <c r="J8" s="145">
        <v>2004</v>
      </c>
      <c r="K8" s="145">
        <v>2005</v>
      </c>
      <c r="L8" s="145">
        <v>2006</v>
      </c>
      <c r="M8" s="145">
        <v>2007</v>
      </c>
      <c r="N8" s="145">
        <v>2008</v>
      </c>
      <c r="O8" s="145">
        <v>2009</v>
      </c>
      <c r="P8" s="145">
        <v>2010</v>
      </c>
      <c r="Q8" s="145">
        <v>2011</v>
      </c>
      <c r="R8" s="145">
        <v>2012</v>
      </c>
      <c r="S8" s="145">
        <v>2013</v>
      </c>
      <c r="T8" s="145">
        <v>2014</v>
      </c>
      <c r="U8" s="145">
        <v>9.2014999999999993</v>
      </c>
    </row>
    <row r="9" spans="1:21">
      <c r="A9" s="52" t="s">
        <v>89</v>
      </c>
      <c r="B9" s="38" t="s">
        <v>85</v>
      </c>
      <c r="F9" s="40"/>
      <c r="G9" s="40"/>
      <c r="H9" s="40"/>
      <c r="I9" s="40"/>
      <c r="J9" s="40"/>
      <c r="K9" s="260"/>
      <c r="L9" s="40"/>
      <c r="M9" s="40"/>
      <c r="N9" s="40"/>
      <c r="O9" s="40"/>
      <c r="P9" s="40"/>
      <c r="Q9" s="40"/>
      <c r="S9" s="38"/>
      <c r="T9" s="38"/>
      <c r="U9" s="38"/>
    </row>
    <row r="10" spans="1:21">
      <c r="A10" s="52">
        <v>1</v>
      </c>
      <c r="B10" s="38" t="s">
        <v>84</v>
      </c>
      <c r="F10" s="148">
        <f>'CBR Hist'!F13</f>
        <v>242529</v>
      </c>
      <c r="G10" s="148">
        <f>'CBR Hist'!G13</f>
        <v>258201</v>
      </c>
      <c r="H10" s="148">
        <f>'CBR Hist'!H13</f>
        <v>273318</v>
      </c>
      <c r="I10" s="148">
        <f>'CBR Hist'!I13</f>
        <v>283356</v>
      </c>
      <c r="J10" s="148">
        <f>'CBR Hist'!J13</f>
        <v>285399</v>
      </c>
      <c r="K10" s="148">
        <f>'CBR Hist'!K13</f>
        <v>289216</v>
      </c>
      <c r="L10" s="148">
        <f>'CBR Hist'!L13</f>
        <v>321929</v>
      </c>
      <c r="M10" s="148">
        <f>'CBR Hist'!M13</f>
        <v>326335</v>
      </c>
      <c r="N10" s="148">
        <f>'CBR Hist'!N13</f>
        <v>365425</v>
      </c>
      <c r="O10" s="148">
        <f>'CBR Hist'!O13</f>
        <v>402618</v>
      </c>
      <c r="P10" s="148">
        <f>'CBR Hist'!P13</f>
        <v>415739.9703632</v>
      </c>
      <c r="Q10" s="148">
        <f>'CBR Hist'!Q13</f>
        <v>451837</v>
      </c>
      <c r="R10" s="148">
        <f>'CBR Hist'!R13-816-113</f>
        <v>459266</v>
      </c>
      <c r="S10" s="148">
        <f>'CBR Hist'!S13</f>
        <v>468006</v>
      </c>
      <c r="T10" s="148">
        <f>'CBR Hist'!T13</f>
        <v>488372</v>
      </c>
      <c r="U10" s="148">
        <f>'CBR Hist'!U13</f>
        <v>499323</v>
      </c>
    </row>
    <row r="11" spans="1:21">
      <c r="A11" s="52">
        <v>2</v>
      </c>
      <c r="B11" s="38" t="s">
        <v>83</v>
      </c>
      <c r="F11" s="147">
        <f>'CBR Hist'!F14</f>
        <v>546</v>
      </c>
      <c r="G11" s="147">
        <f>'CBR Hist'!G14</f>
        <v>528</v>
      </c>
      <c r="H11" s="147">
        <f>'CBR Hist'!H14</f>
        <v>791</v>
      </c>
      <c r="I11" s="147">
        <f>'CBR Hist'!I14</f>
        <v>752</v>
      </c>
      <c r="J11" s="147">
        <f>'CBR Hist'!J14</f>
        <v>752</v>
      </c>
      <c r="K11" s="147">
        <f>'CBR Hist'!K14</f>
        <v>713</v>
      </c>
      <c r="L11" s="147">
        <f>'CBR Hist'!L14</f>
        <v>733</v>
      </c>
      <c r="M11" s="147">
        <f>'CBR Hist'!M14</f>
        <v>739</v>
      </c>
      <c r="N11" s="147">
        <f>'CBR Hist'!N14</f>
        <v>820</v>
      </c>
      <c r="O11" s="147">
        <f>'CBR Hist'!O14</f>
        <v>871.54909999999995</v>
      </c>
      <c r="P11" s="147">
        <f>'CBR Hist'!P14</f>
        <v>790</v>
      </c>
      <c r="Q11" s="147">
        <f>'CBR Hist'!Q14</f>
        <v>820</v>
      </c>
      <c r="R11" s="147">
        <f>'CBR Hist'!R14+816+113</f>
        <v>816</v>
      </c>
      <c r="S11" s="147">
        <f>'CBR Hist'!S14</f>
        <v>884</v>
      </c>
      <c r="T11" s="147">
        <f>'CBR Hist'!T14</f>
        <v>922</v>
      </c>
      <c r="U11" s="147">
        <f>'CBR Hist'!U14</f>
        <v>920</v>
      </c>
    </row>
    <row r="12" spans="1:21">
      <c r="A12" s="52">
        <v>3</v>
      </c>
      <c r="B12" s="38" t="s">
        <v>82</v>
      </c>
      <c r="F12" s="147">
        <f>'CBR Hist'!F15</f>
        <v>137117</v>
      </c>
      <c r="G12" s="147">
        <f>'CBR Hist'!G15</f>
        <v>91388</v>
      </c>
      <c r="H12" s="147">
        <f>'CBR Hist'!H15</f>
        <v>29918</v>
      </c>
      <c r="I12" s="147">
        <f>'CBR Hist'!I15</f>
        <v>35252</v>
      </c>
      <c r="J12" s="147">
        <f>'CBR Hist'!J15</f>
        <v>40460</v>
      </c>
      <c r="K12" s="147">
        <f>'CBR Hist'!K15</f>
        <v>44718</v>
      </c>
      <c r="L12" s="147">
        <f>'CBR Hist'!L15</f>
        <v>35380</v>
      </c>
      <c r="M12" s="147">
        <f>'CBR Hist'!M15</f>
        <v>34954</v>
      </c>
      <c r="N12" s="147">
        <f>'CBR Hist'!N15</f>
        <v>46848</v>
      </c>
      <c r="O12" s="147">
        <f>'CBR Hist'!O15</f>
        <v>31491</v>
      </c>
      <c r="P12" s="147">
        <f>'CBR Hist'!P15</f>
        <v>133479</v>
      </c>
      <c r="Q12" s="147">
        <f>'CBR Hist'!Q15</f>
        <v>52604</v>
      </c>
      <c r="R12" s="147">
        <f>'CBR Hist'!R15</f>
        <v>54549</v>
      </c>
      <c r="S12" s="147">
        <f>'CBR Hist'!S15</f>
        <v>75349</v>
      </c>
      <c r="T12" s="147">
        <f>'CBR Hist'!T15</f>
        <v>60998</v>
      </c>
      <c r="U12" s="147">
        <f>'CBR Hist'!U15</f>
        <v>65944</v>
      </c>
    </row>
    <row r="13" spans="1:21">
      <c r="A13" s="52">
        <v>4</v>
      </c>
      <c r="B13" s="38" t="s">
        <v>81</v>
      </c>
      <c r="F13" s="312">
        <f>SUM(F10:F12)</f>
        <v>380192</v>
      </c>
      <c r="G13" s="312">
        <f t="shared" ref="G13:R13" si="0">SUM(G10:G12)</f>
        <v>350117</v>
      </c>
      <c r="H13" s="312">
        <f t="shared" si="0"/>
        <v>304027</v>
      </c>
      <c r="I13" s="312">
        <f t="shared" si="0"/>
        <v>319360</v>
      </c>
      <c r="J13" s="312">
        <f t="shared" si="0"/>
        <v>326611</v>
      </c>
      <c r="K13" s="312">
        <f t="shared" si="0"/>
        <v>334647</v>
      </c>
      <c r="L13" s="312">
        <f t="shared" si="0"/>
        <v>358042</v>
      </c>
      <c r="M13" s="312">
        <f t="shared" si="0"/>
        <v>362028</v>
      </c>
      <c r="N13" s="312">
        <f t="shared" si="0"/>
        <v>413093</v>
      </c>
      <c r="O13" s="312">
        <f t="shared" si="0"/>
        <v>434980.5491</v>
      </c>
      <c r="P13" s="312">
        <f t="shared" si="0"/>
        <v>550008.97036319994</v>
      </c>
      <c r="Q13" s="312">
        <f t="shared" si="0"/>
        <v>505261</v>
      </c>
      <c r="R13" s="312">
        <f t="shared" si="0"/>
        <v>514631</v>
      </c>
      <c r="S13" s="312">
        <f t="shared" ref="S13:T13" si="1">SUM(S10:S12)</f>
        <v>544239</v>
      </c>
      <c r="T13" s="312">
        <f t="shared" si="1"/>
        <v>550292</v>
      </c>
      <c r="U13" s="312">
        <f t="shared" ref="U13" si="2">SUM(U10:U12)</f>
        <v>566187</v>
      </c>
    </row>
    <row r="14" spans="1:21">
      <c r="A14" s="52">
        <v>5</v>
      </c>
      <c r="B14" s="38" t="s">
        <v>80</v>
      </c>
      <c r="F14" s="147">
        <f>'CBR Hist'!F17</f>
        <v>13062</v>
      </c>
      <c r="G14" s="147">
        <f>'CBR Hist'!G17</f>
        <v>14305</v>
      </c>
      <c r="H14" s="147">
        <f>'CBR Hist'!H17</f>
        <v>34274</v>
      </c>
      <c r="I14" s="147">
        <f>'CBR Hist'!I17</f>
        <v>57244</v>
      </c>
      <c r="J14" s="147">
        <f>'CBR Hist'!J17</f>
        <v>8587</v>
      </c>
      <c r="K14" s="147">
        <f>'CBR Hist'!K17</f>
        <v>10259</v>
      </c>
      <c r="L14" s="147">
        <f>'CBR Hist'!L17</f>
        <v>10178</v>
      </c>
      <c r="M14" s="147">
        <f>'CBR Hist'!M17</f>
        <v>10170</v>
      </c>
      <c r="N14" s="147">
        <f>'CBR Hist'!N17</f>
        <v>10927</v>
      </c>
      <c r="O14" s="147">
        <f>'CBR Hist'!O17</f>
        <v>9395</v>
      </c>
      <c r="P14" s="147">
        <f>'CBR Hist'!P17</f>
        <v>11786</v>
      </c>
      <c r="Q14" s="147">
        <f>'CBR Hist'!Q17</f>
        <v>13666</v>
      </c>
      <c r="R14" s="147">
        <f>'CBR Hist'!R17</f>
        <v>13089</v>
      </c>
      <c r="S14" s="147">
        <f>'CBR Hist'!S17</f>
        <v>13408</v>
      </c>
      <c r="T14" s="147">
        <f>'CBR Hist'!T17</f>
        <v>17163</v>
      </c>
      <c r="U14" s="147">
        <f>'CBR Hist'!U17</f>
        <v>12625</v>
      </c>
    </row>
    <row r="15" spans="1:21">
      <c r="A15" s="52">
        <v>6</v>
      </c>
      <c r="B15" s="38" t="s">
        <v>79</v>
      </c>
      <c r="F15" s="312">
        <f>SUM(F13:F14)</f>
        <v>393254</v>
      </c>
      <c r="G15" s="312">
        <f t="shared" ref="G15:R15" si="3">SUM(G13:G14)</f>
        <v>364422</v>
      </c>
      <c r="H15" s="312">
        <f t="shared" si="3"/>
        <v>338301</v>
      </c>
      <c r="I15" s="312">
        <f t="shared" si="3"/>
        <v>376604</v>
      </c>
      <c r="J15" s="312">
        <f t="shared" si="3"/>
        <v>335198</v>
      </c>
      <c r="K15" s="312">
        <f t="shared" si="3"/>
        <v>344906</v>
      </c>
      <c r="L15" s="312">
        <f t="shared" si="3"/>
        <v>368220</v>
      </c>
      <c r="M15" s="312">
        <f t="shared" si="3"/>
        <v>372198</v>
      </c>
      <c r="N15" s="312">
        <f t="shared" si="3"/>
        <v>424020</v>
      </c>
      <c r="O15" s="312">
        <f t="shared" si="3"/>
        <v>444375.5491</v>
      </c>
      <c r="P15" s="312">
        <f t="shared" si="3"/>
        <v>561794.97036319994</v>
      </c>
      <c r="Q15" s="312">
        <f t="shared" si="3"/>
        <v>518927</v>
      </c>
      <c r="R15" s="312">
        <f t="shared" si="3"/>
        <v>527720</v>
      </c>
      <c r="S15" s="312">
        <f t="shared" ref="S15:T15" si="4">SUM(S13:S14)</f>
        <v>557647</v>
      </c>
      <c r="T15" s="312">
        <f t="shared" si="4"/>
        <v>567455</v>
      </c>
      <c r="U15" s="312">
        <f t="shared" ref="U15" si="5">SUM(U13:U14)</f>
        <v>578812</v>
      </c>
    </row>
    <row r="16" spans="1:21" ht="6.75" customHeight="1">
      <c r="A16" s="5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>
      <c r="A17" s="52"/>
      <c r="B17" s="38" t="s">
        <v>78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>
      <c r="A18" s="52"/>
      <c r="B18" s="38" t="s">
        <v>77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>
      <c r="A19" s="52">
        <v>7</v>
      </c>
      <c r="C19" s="38" t="s">
        <v>69</v>
      </c>
      <c r="F19" s="147">
        <f>'CBR Hist'!F22</f>
        <v>78721</v>
      </c>
      <c r="G19" s="147">
        <f>'CBR Hist'!G22</f>
        <v>47157</v>
      </c>
      <c r="H19" s="147">
        <f>'CBR Hist'!H22</f>
        <v>101475</v>
      </c>
      <c r="I19" s="147">
        <f>'CBR Hist'!I22</f>
        <v>132098</v>
      </c>
      <c r="J19" s="147">
        <f>'CBR Hist'!J22</f>
        <v>101545</v>
      </c>
      <c r="K19" s="147">
        <f>'CBR Hist'!K22</f>
        <v>105374</v>
      </c>
      <c r="L19" s="147">
        <f>'CBR Hist'!L22</f>
        <v>104260</v>
      </c>
      <c r="M19" s="147">
        <f>'CBR Hist'!M22</f>
        <v>102890</v>
      </c>
      <c r="N19" s="147">
        <f>'CBR Hist'!N22</f>
        <v>117123</v>
      </c>
      <c r="O19" s="147">
        <f>'CBR Hist'!O22</f>
        <v>87599</v>
      </c>
      <c r="P19" s="147">
        <f>'CBR Hist'!P22</f>
        <v>147107</v>
      </c>
      <c r="Q19" s="147">
        <f>'CBR Hist'!Q22</f>
        <v>145634</v>
      </c>
      <c r="R19" s="147">
        <f>'CBR Hist'!R22</f>
        <v>131795</v>
      </c>
      <c r="S19" s="147">
        <f>'CBR Hist'!S22</f>
        <v>143904</v>
      </c>
      <c r="T19" s="147">
        <f>'CBR Hist'!T22</f>
        <v>120307</v>
      </c>
      <c r="U19" s="147">
        <f>'CBR Hist'!U22</f>
        <v>128239</v>
      </c>
    </row>
    <row r="20" spans="1:21">
      <c r="A20" s="52">
        <v>8</v>
      </c>
      <c r="C20" s="38" t="s">
        <v>76</v>
      </c>
      <c r="F20" s="147">
        <f>'CBR Hist'!F23</f>
        <v>181189</v>
      </c>
      <c r="G20" s="147">
        <f>'CBR Hist'!G23</f>
        <v>132159</v>
      </c>
      <c r="H20" s="147">
        <f>'CBR Hist'!H23</f>
        <v>50769</v>
      </c>
      <c r="I20" s="147">
        <f>'CBR Hist'!I23</f>
        <v>46591</v>
      </c>
      <c r="J20" s="147">
        <f>'CBR Hist'!J23</f>
        <v>51042</v>
      </c>
      <c r="K20" s="147">
        <f>'CBR Hist'!K23</f>
        <v>55046</v>
      </c>
      <c r="L20" s="147">
        <f>'CBR Hist'!L23</f>
        <v>79146</v>
      </c>
      <c r="M20" s="147">
        <f>'CBR Hist'!M23</f>
        <v>65640</v>
      </c>
      <c r="N20" s="147">
        <f>'CBR Hist'!N23</f>
        <v>72508</v>
      </c>
      <c r="O20" s="147">
        <f>'CBR Hist'!O23</f>
        <v>100437</v>
      </c>
      <c r="P20" s="147">
        <f>'CBR Hist'!P23</f>
        <v>142197</v>
      </c>
      <c r="Q20" s="147">
        <f>'CBR Hist'!Q23</f>
        <v>91142</v>
      </c>
      <c r="R20" s="147">
        <f>'CBR Hist'!R23</f>
        <v>101283</v>
      </c>
      <c r="S20" s="147">
        <f>'CBR Hist'!S23</f>
        <v>109034</v>
      </c>
      <c r="T20" s="147">
        <f>'CBR Hist'!T23</f>
        <v>116643</v>
      </c>
      <c r="U20" s="147">
        <f>'CBR Hist'!U23</f>
        <v>96496</v>
      </c>
    </row>
    <row r="21" spans="1:21">
      <c r="A21" s="52">
        <v>9</v>
      </c>
      <c r="C21" s="38" t="s">
        <v>136</v>
      </c>
      <c r="F21" s="147">
        <f>'CBR Hist'!F24+'CBR Hist'!F25-F22</f>
        <v>14850</v>
      </c>
      <c r="G21" s="147">
        <f>'CBR Hist'!G24+'CBR Hist'!G25-G22</f>
        <v>15202</v>
      </c>
      <c r="H21" s="147">
        <f>'CBR Hist'!H24+'CBR Hist'!H25-H22</f>
        <v>20157</v>
      </c>
      <c r="I21" s="147">
        <f>'CBR Hist'!I24+'CBR Hist'!I25-I22</f>
        <v>20523</v>
      </c>
      <c r="J21" s="147">
        <f>'CBR Hist'!J24+'CBR Hist'!J25-J22</f>
        <v>22312</v>
      </c>
      <c r="K21" s="147">
        <f>'CBR Hist'!K24+'CBR Hist'!K25-K22</f>
        <v>22629</v>
      </c>
      <c r="L21" s="147">
        <f>'CBR Hist'!L24+'CBR Hist'!L25-L22</f>
        <v>24577</v>
      </c>
      <c r="M21" s="147">
        <f>'CBR Hist'!M24+'CBR Hist'!M25-M22</f>
        <v>24877</v>
      </c>
      <c r="N21" s="147">
        <f>'CBR Hist'!N24+'CBR Hist'!N25-N22</f>
        <v>23076</v>
      </c>
      <c r="O21" s="147">
        <f>'CBR Hist'!O24+'CBR Hist'!O25-O22</f>
        <v>23969</v>
      </c>
      <c r="P21" s="147">
        <f>'CBR Hist'!P24+'CBR Hist'!P25-P22</f>
        <v>25008</v>
      </c>
      <c r="Q21" s="147">
        <f>'CBR Hist'!Q24+'CBR Hist'!Q25-Q22</f>
        <v>25158</v>
      </c>
      <c r="R21" s="147">
        <f>'CBR Hist'!R24+'CBR Hist'!R25-R22</f>
        <v>25680</v>
      </c>
      <c r="S21" s="147">
        <f>'CBR Hist'!S24+'CBR Hist'!S25-S22</f>
        <v>23284</v>
      </c>
      <c r="T21" s="147">
        <f>'CBR Hist'!T24+'CBR Hist'!T25-T22</f>
        <v>23715</v>
      </c>
      <c r="U21" s="147">
        <f>'CBR Hist'!U24+'CBR Hist'!U25-U22</f>
        <v>24379</v>
      </c>
    </row>
    <row r="22" spans="1:21">
      <c r="A22" s="52">
        <v>10</v>
      </c>
      <c r="C22" s="38" t="s">
        <v>137</v>
      </c>
      <c r="F22" s="147">
        <f>'Reg Amorts'!E43</f>
        <v>-17964</v>
      </c>
      <c r="G22" s="147">
        <f>'Reg Amorts'!F43</f>
        <v>-6050</v>
      </c>
      <c r="H22" s="147">
        <f>'Reg Amorts'!G43</f>
        <v>-6349</v>
      </c>
      <c r="I22" s="147">
        <f>'Reg Amorts'!H43</f>
        <v>-5608</v>
      </c>
      <c r="J22" s="147">
        <f>'Reg Amorts'!I43</f>
        <v>567</v>
      </c>
      <c r="K22" s="147">
        <f>'Reg Amorts'!J43</f>
        <v>-8817</v>
      </c>
      <c r="L22" s="147">
        <f>'Reg Amorts'!K43</f>
        <v>1168</v>
      </c>
      <c r="M22" s="147">
        <f>'Reg Amorts'!L43</f>
        <v>-3082</v>
      </c>
      <c r="N22" s="147">
        <f>'Reg Amorts'!M43</f>
        <v>-1076</v>
      </c>
      <c r="O22" s="147">
        <f>'Reg Amorts'!N43</f>
        <v>-1703</v>
      </c>
      <c r="P22" s="147">
        <f>'Reg Amorts'!O43</f>
        <v>-2879</v>
      </c>
      <c r="Q22" s="147">
        <f>'Reg Amorts'!P43</f>
        <v>403</v>
      </c>
      <c r="R22" s="147">
        <f>'Reg Amorts'!Q43</f>
        <v>-7744</v>
      </c>
      <c r="S22" s="147">
        <f>'Reg Amorts'!R43</f>
        <v>8629</v>
      </c>
      <c r="T22" s="147">
        <f>'Reg Amorts'!S43</f>
        <v>8101</v>
      </c>
      <c r="U22" s="147">
        <f>'Reg Amorts'!T43</f>
        <v>6584</v>
      </c>
    </row>
    <row r="23" spans="1:21">
      <c r="A23" s="52">
        <v>11</v>
      </c>
      <c r="C23" s="38" t="s">
        <v>68</v>
      </c>
      <c r="F23" s="147">
        <f>'CBR Hist'!F26</f>
        <v>9346</v>
      </c>
      <c r="G23" s="147">
        <f>'CBR Hist'!G26</f>
        <v>5139</v>
      </c>
      <c r="H23" s="147">
        <f>'CBR Hist'!H26</f>
        <v>7164</v>
      </c>
      <c r="I23" s="147">
        <f>'CBR Hist'!I26</f>
        <v>6722</v>
      </c>
      <c r="J23" s="147">
        <f>'CBR Hist'!J26</f>
        <v>7283</v>
      </c>
      <c r="K23" s="147">
        <f>'CBR Hist'!K26</f>
        <v>9900</v>
      </c>
      <c r="L23" s="147">
        <f>'CBR Hist'!L26</f>
        <v>9115</v>
      </c>
      <c r="M23" s="147">
        <f>'CBR Hist'!M26</f>
        <v>8319</v>
      </c>
      <c r="N23" s="147">
        <f>'CBR Hist'!N26</f>
        <v>8146</v>
      </c>
      <c r="O23" s="147">
        <f>'CBR Hist'!O26</f>
        <v>9014</v>
      </c>
      <c r="P23" s="147">
        <f>'CBR Hist'!P26</f>
        <v>9955</v>
      </c>
      <c r="Q23" s="147">
        <f>'CBR Hist'!Q26</f>
        <v>10846</v>
      </c>
      <c r="R23" s="147">
        <f>'CBR Hist'!R26</f>
        <v>11456</v>
      </c>
      <c r="S23" s="147">
        <f>'CBR Hist'!S26</f>
        <v>12913</v>
      </c>
      <c r="T23" s="147">
        <f>'CBR Hist'!T26</f>
        <v>12828</v>
      </c>
      <c r="U23" s="147">
        <f>'CBR Hist'!U26</f>
        <v>13712</v>
      </c>
    </row>
    <row r="24" spans="1:21">
      <c r="A24" s="52">
        <v>12</v>
      </c>
      <c r="B24" s="38" t="s">
        <v>75</v>
      </c>
      <c r="F24" s="313">
        <f>SUM(F19:F23)</f>
        <v>266142</v>
      </c>
      <c r="G24" s="313">
        <f t="shared" ref="G24:R24" si="6">SUM(G19:G23)</f>
        <v>193607</v>
      </c>
      <c r="H24" s="313">
        <f t="shared" si="6"/>
        <v>173216</v>
      </c>
      <c r="I24" s="313">
        <f t="shared" si="6"/>
        <v>200326</v>
      </c>
      <c r="J24" s="313">
        <f t="shared" si="6"/>
        <v>182749</v>
      </c>
      <c r="K24" s="313">
        <f t="shared" si="6"/>
        <v>184132</v>
      </c>
      <c r="L24" s="313">
        <f t="shared" si="6"/>
        <v>218266</v>
      </c>
      <c r="M24" s="313">
        <f t="shared" si="6"/>
        <v>198644</v>
      </c>
      <c r="N24" s="313">
        <f t="shared" si="6"/>
        <v>219777</v>
      </c>
      <c r="O24" s="313">
        <f t="shared" si="6"/>
        <v>219316</v>
      </c>
      <c r="P24" s="313">
        <f t="shared" si="6"/>
        <v>321388</v>
      </c>
      <c r="Q24" s="313">
        <f t="shared" si="6"/>
        <v>273183</v>
      </c>
      <c r="R24" s="313">
        <f t="shared" si="6"/>
        <v>262470</v>
      </c>
      <c r="S24" s="313">
        <f t="shared" ref="S24:T24" si="7">SUM(S19:S23)</f>
        <v>297764</v>
      </c>
      <c r="T24" s="313">
        <f t="shared" si="7"/>
        <v>281594</v>
      </c>
      <c r="U24" s="313">
        <f t="shared" ref="U24" si="8">SUM(U19:U23)</f>
        <v>269410</v>
      </c>
    </row>
    <row r="25" spans="1:21" ht="13.5" customHeight="1">
      <c r="A25" s="5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42"/>
      <c r="T25" s="442"/>
      <c r="U25" s="442"/>
    </row>
    <row r="26" spans="1:21">
      <c r="A26" s="52"/>
      <c r="B26" s="38" t="s">
        <v>55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>
      <c r="A27" s="52">
        <v>13</v>
      </c>
      <c r="C27" s="38" t="s">
        <v>69</v>
      </c>
      <c r="F27" s="147">
        <f>'CBR Hist'!F30</f>
        <v>9418</v>
      </c>
      <c r="G27" s="147">
        <f>'CBR Hist'!G30</f>
        <v>10560</v>
      </c>
      <c r="H27" s="147">
        <f>'CBR Hist'!H30</f>
        <v>9631</v>
      </c>
      <c r="I27" s="147">
        <f>'CBR Hist'!I30</f>
        <v>10171</v>
      </c>
      <c r="J27" s="147">
        <f>'CBR Hist'!J30</f>
        <v>12016</v>
      </c>
      <c r="K27" s="147">
        <f>'CBR Hist'!K30</f>
        <v>14263</v>
      </c>
      <c r="L27" s="147">
        <f>'CBR Hist'!L30</f>
        <v>15485</v>
      </c>
      <c r="M27" s="147">
        <f>'CBR Hist'!M30</f>
        <v>14563</v>
      </c>
      <c r="N27" s="147">
        <f>'CBR Hist'!N30</f>
        <v>17329</v>
      </c>
      <c r="O27" s="147">
        <f>'CBR Hist'!O30</f>
        <v>17267</v>
      </c>
      <c r="P27" s="147">
        <f>'CBR Hist'!P30</f>
        <v>18354</v>
      </c>
      <c r="Q27" s="147">
        <f>'CBR Hist'!Q30</f>
        <v>19081</v>
      </c>
      <c r="R27" s="147">
        <f>'CBR Hist'!R30</f>
        <v>21152</v>
      </c>
      <c r="S27" s="147">
        <f>'CBR Hist'!S30</f>
        <v>20878</v>
      </c>
      <c r="T27" s="147">
        <f>'CBR Hist'!T30</f>
        <v>21299</v>
      </c>
      <c r="U27" s="147">
        <f>'CBR Hist'!U30</f>
        <v>22960</v>
      </c>
    </row>
    <row r="28" spans="1:21">
      <c r="A28" s="52">
        <v>14</v>
      </c>
      <c r="C28" s="38" t="s">
        <v>138</v>
      </c>
      <c r="F28" s="147">
        <f>'CBR Hist'!F31</f>
        <v>9056</v>
      </c>
      <c r="G28" s="147">
        <f>'CBR Hist'!G31</f>
        <v>9178</v>
      </c>
      <c r="H28" s="147">
        <f>'CBR Hist'!H31</f>
        <v>9427</v>
      </c>
      <c r="I28" s="147">
        <f>'CBR Hist'!I31</f>
        <v>9752</v>
      </c>
      <c r="J28" s="147">
        <f>'CBR Hist'!J31</f>
        <v>10067</v>
      </c>
      <c r="K28" s="147">
        <f>'CBR Hist'!K31</f>
        <v>10399</v>
      </c>
      <c r="L28" s="147">
        <f>'CBR Hist'!L31</f>
        <v>10776</v>
      </c>
      <c r="M28" s="147">
        <f>'CBR Hist'!M31</f>
        <v>11333</v>
      </c>
      <c r="N28" s="147">
        <f>'CBR Hist'!N31</f>
        <v>15611</v>
      </c>
      <c r="O28" s="147">
        <f>'CBR Hist'!O31</f>
        <v>16809</v>
      </c>
      <c r="P28" s="147">
        <f>'CBR Hist'!P31</f>
        <v>17985</v>
      </c>
      <c r="Q28" s="147">
        <f>'CBR Hist'!Q31</f>
        <v>19240</v>
      </c>
      <c r="R28" s="147">
        <f>'CBR Hist'!R31</f>
        <v>20749</v>
      </c>
      <c r="S28" s="147">
        <f>'CBR Hist'!S31</f>
        <v>22303</v>
      </c>
      <c r="T28" s="147">
        <f>'CBR Hist'!T31</f>
        <v>23794</v>
      </c>
      <c r="U28" s="147">
        <f>'CBR Hist'!U31</f>
        <v>24945</v>
      </c>
    </row>
    <row r="29" spans="1:21">
      <c r="A29" s="52">
        <v>15</v>
      </c>
      <c r="C29" s="38" t="s">
        <v>68</v>
      </c>
      <c r="F29" s="147">
        <f>'CBR Hist'!F32</f>
        <v>11693</v>
      </c>
      <c r="G29" s="147">
        <f>'CBR Hist'!G32</f>
        <v>15462</v>
      </c>
      <c r="H29" s="147">
        <f>'CBR Hist'!H32</f>
        <v>16996</v>
      </c>
      <c r="I29" s="147">
        <f>'CBR Hist'!I32</f>
        <v>17286</v>
      </c>
      <c r="J29" s="147">
        <f>'CBR Hist'!J32</f>
        <v>17401</v>
      </c>
      <c r="K29" s="147">
        <f>'CBR Hist'!K32</f>
        <v>14988</v>
      </c>
      <c r="L29" s="147">
        <f>'CBR Hist'!L32</f>
        <v>16307</v>
      </c>
      <c r="M29" s="147">
        <f>'CBR Hist'!M32</f>
        <v>16156</v>
      </c>
      <c r="N29" s="147">
        <f>'CBR Hist'!N32</f>
        <v>17416</v>
      </c>
      <c r="O29" s="147">
        <f>'CBR Hist'!O32</f>
        <v>18207</v>
      </c>
      <c r="P29" s="147">
        <f>'CBR Hist'!P32</f>
        <v>19990</v>
      </c>
      <c r="Q29" s="147">
        <f>'CBR Hist'!Q32</f>
        <v>22393.453812</v>
      </c>
      <c r="R29" s="147">
        <f>'CBR Hist'!R32</f>
        <v>22594.925350000001</v>
      </c>
      <c r="S29" s="147">
        <f>'CBR Hist'!S32</f>
        <v>23288</v>
      </c>
      <c r="T29" s="147">
        <f>'CBR Hist'!T32</f>
        <v>25575</v>
      </c>
      <c r="U29" s="147">
        <f>'CBR Hist'!U32</f>
        <v>27516</v>
      </c>
    </row>
    <row r="30" spans="1:21">
      <c r="A30" s="52">
        <v>16</v>
      </c>
      <c r="B30" s="38" t="s">
        <v>74</v>
      </c>
      <c r="F30" s="313">
        <f>SUM(F27:F29)</f>
        <v>30167</v>
      </c>
      <c r="G30" s="313">
        <f t="shared" ref="G30:R30" si="9">SUM(G27:G29)</f>
        <v>35200</v>
      </c>
      <c r="H30" s="313">
        <f t="shared" si="9"/>
        <v>36054</v>
      </c>
      <c r="I30" s="313">
        <f t="shared" si="9"/>
        <v>37209</v>
      </c>
      <c r="J30" s="313">
        <f t="shared" si="9"/>
        <v>39484</v>
      </c>
      <c r="K30" s="313">
        <f t="shared" si="9"/>
        <v>39650</v>
      </c>
      <c r="L30" s="313">
        <f t="shared" si="9"/>
        <v>42568</v>
      </c>
      <c r="M30" s="313">
        <f t="shared" si="9"/>
        <v>42052</v>
      </c>
      <c r="N30" s="313">
        <f t="shared" si="9"/>
        <v>50356</v>
      </c>
      <c r="O30" s="313">
        <f t="shared" si="9"/>
        <v>52283</v>
      </c>
      <c r="P30" s="313">
        <f t="shared" si="9"/>
        <v>56329</v>
      </c>
      <c r="Q30" s="313">
        <f t="shared" si="9"/>
        <v>60714.453812</v>
      </c>
      <c r="R30" s="313">
        <f t="shared" si="9"/>
        <v>64495.925350000005</v>
      </c>
      <c r="S30" s="313">
        <f t="shared" ref="S30:T30" si="10">SUM(S27:S29)</f>
        <v>66469</v>
      </c>
      <c r="T30" s="313">
        <f t="shared" si="10"/>
        <v>70668</v>
      </c>
      <c r="U30" s="313">
        <f t="shared" ref="U30" si="11">SUM(U27:U29)</f>
        <v>75421</v>
      </c>
    </row>
    <row r="31" spans="1:21" ht="4.5" customHeight="1">
      <c r="A31" s="5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>
      <c r="A32" s="52">
        <v>17</v>
      </c>
      <c r="B32" s="38" t="s">
        <v>73</v>
      </c>
      <c r="F32" s="147">
        <f>'CBR Hist'!F35</f>
        <v>5768</v>
      </c>
      <c r="G32" s="147">
        <f>'CBR Hist'!G35</f>
        <v>6196</v>
      </c>
      <c r="H32" s="147">
        <f>'CBR Hist'!H35</f>
        <v>7113</v>
      </c>
      <c r="I32" s="147">
        <f>'CBR Hist'!I35</f>
        <v>7129</v>
      </c>
      <c r="J32" s="147">
        <f>'CBR Hist'!J35</f>
        <v>7352</v>
      </c>
      <c r="K32" s="147">
        <f>'CBR Hist'!K35</f>
        <v>7156</v>
      </c>
      <c r="L32" s="147">
        <f>'CBR Hist'!L35</f>
        <v>7097</v>
      </c>
      <c r="M32" s="147">
        <f>'CBR Hist'!M35</f>
        <v>7514</v>
      </c>
      <c r="N32" s="147">
        <f>'CBR Hist'!N35</f>
        <v>7919</v>
      </c>
      <c r="O32" s="147">
        <f>'CBR Hist'!O35</f>
        <v>9646</v>
      </c>
      <c r="P32" s="147">
        <f>'CBR Hist'!P35</f>
        <v>9261</v>
      </c>
      <c r="Q32" s="147">
        <f>'CBR Hist'!Q35</f>
        <v>10274.701588</v>
      </c>
      <c r="R32" s="147">
        <f>'CBR Hist'!R35</f>
        <v>10335.791302</v>
      </c>
      <c r="S32" s="147">
        <f>'CBR Hist'!S35</f>
        <v>11334</v>
      </c>
      <c r="T32" s="147">
        <f>'CBR Hist'!T35</f>
        <v>11166</v>
      </c>
      <c r="U32" s="147">
        <f>'CBR Hist'!U35</f>
        <v>11631</v>
      </c>
    </row>
    <row r="33" spans="1:21">
      <c r="A33" s="52">
        <v>18</v>
      </c>
      <c r="B33" s="38" t="s">
        <v>72</v>
      </c>
      <c r="F33" s="147">
        <f>'CBR Hist'!F36</f>
        <v>5704</v>
      </c>
      <c r="G33" s="147">
        <f>'CBR Hist'!G36</f>
        <v>5381</v>
      </c>
      <c r="H33" s="147">
        <f>'CBR Hist'!H36</f>
        <v>6261</v>
      </c>
      <c r="I33" s="147">
        <f>'CBR Hist'!I36</f>
        <v>6620</v>
      </c>
      <c r="J33" s="147">
        <f>'CBR Hist'!J36</f>
        <v>266</v>
      </c>
      <c r="K33" s="147">
        <f>'CBR Hist'!K36</f>
        <v>7127</v>
      </c>
      <c r="L33" s="147">
        <f>'CBR Hist'!L36</f>
        <v>1159</v>
      </c>
      <c r="M33" s="147">
        <f>'CBR Hist'!M36</f>
        <v>7472</v>
      </c>
      <c r="N33" s="147">
        <f>'CBR Hist'!N36</f>
        <v>12847</v>
      </c>
      <c r="O33" s="147">
        <f>'CBR Hist'!O36</f>
        <v>19736</v>
      </c>
      <c r="P33" s="147">
        <f>'CBR Hist'!P36</f>
        <v>20832</v>
      </c>
      <c r="Q33" s="147">
        <f>'CBR Hist'!Q36</f>
        <v>21292</v>
      </c>
      <c r="R33" s="147">
        <f>'CBR Hist'!R36</f>
        <v>18487</v>
      </c>
      <c r="S33" s="147">
        <f>'CBR Hist'!S36</f>
        <v>1516</v>
      </c>
      <c r="T33" s="147">
        <f>'CBR Hist'!T36</f>
        <v>1383</v>
      </c>
      <c r="U33" s="147">
        <f>'CBR Hist'!U36</f>
        <v>1519</v>
      </c>
    </row>
    <row r="34" spans="1:21">
      <c r="A34" s="52">
        <v>19</v>
      </c>
      <c r="B34" s="38" t="s">
        <v>71</v>
      </c>
      <c r="F34" s="147">
        <f>'CBR Hist'!F37</f>
        <v>1071</v>
      </c>
      <c r="G34" s="147">
        <f>'CBR Hist'!G37</f>
        <v>734</v>
      </c>
      <c r="H34" s="147">
        <f>'CBR Hist'!H37</f>
        <v>628</v>
      </c>
      <c r="I34" s="147">
        <f>'CBR Hist'!I37</f>
        <v>734</v>
      </c>
      <c r="J34" s="147">
        <f>'CBR Hist'!J37</f>
        <v>686</v>
      </c>
      <c r="K34" s="147">
        <f>'CBR Hist'!K37</f>
        <v>430</v>
      </c>
      <c r="L34" s="147">
        <f>'CBR Hist'!L37</f>
        <v>657</v>
      </c>
      <c r="M34" s="147">
        <f>'CBR Hist'!M37</f>
        <v>682</v>
      </c>
      <c r="N34" s="147">
        <f>'CBR Hist'!N37</f>
        <v>571</v>
      </c>
      <c r="O34" s="147">
        <f>'CBR Hist'!O37</f>
        <v>660</v>
      </c>
      <c r="P34" s="147">
        <f>'CBR Hist'!P37</f>
        <v>176</v>
      </c>
      <c r="Q34" s="147">
        <f>'CBR Hist'!Q37</f>
        <v>4</v>
      </c>
      <c r="R34" s="147">
        <f>'CBR Hist'!R37</f>
        <v>5</v>
      </c>
      <c r="S34" s="147">
        <f>'CBR Hist'!S37</f>
        <v>5</v>
      </c>
      <c r="T34" s="147">
        <f>'CBR Hist'!T37</f>
        <v>0</v>
      </c>
      <c r="U34" s="147">
        <f>'CBR Hist'!U37</f>
        <v>0</v>
      </c>
    </row>
    <row r="35" spans="1:21" ht="6.75" customHeight="1">
      <c r="A35" s="5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>
      <c r="A36" s="52"/>
      <c r="B36" s="38" t="s">
        <v>70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>
      <c r="A37" s="52">
        <v>20</v>
      </c>
      <c r="C37" s="38" t="s">
        <v>69</v>
      </c>
      <c r="F37" s="147">
        <f>'CBR Hist'!F40</f>
        <v>30350</v>
      </c>
      <c r="G37" s="147">
        <f>'CBR Hist'!G40</f>
        <v>25102</v>
      </c>
      <c r="H37" s="147">
        <f>'CBR Hist'!H40</f>
        <v>30304</v>
      </c>
      <c r="I37" s="147">
        <f>'CBR Hist'!I40</f>
        <v>30153</v>
      </c>
      <c r="J37" s="147">
        <f>'CBR Hist'!J40</f>
        <v>31927</v>
      </c>
      <c r="K37" s="147">
        <f>'CBR Hist'!K40</f>
        <v>33143</v>
      </c>
      <c r="L37" s="147">
        <f>'CBR Hist'!L40</f>
        <v>33148</v>
      </c>
      <c r="M37" s="147">
        <f>'CBR Hist'!M40</f>
        <v>35844</v>
      </c>
      <c r="N37" s="147">
        <f>'CBR Hist'!N40</f>
        <v>35982</v>
      </c>
      <c r="O37" s="147">
        <f>'CBR Hist'!O40</f>
        <v>38461</v>
      </c>
      <c r="P37" s="147">
        <f>'CBR Hist'!P40</f>
        <v>44662</v>
      </c>
      <c r="Q37" s="147">
        <f>'CBR Hist'!Q40</f>
        <v>44779.252</v>
      </c>
      <c r="R37" s="147">
        <f>'CBR Hist'!R40</f>
        <v>49333.396000000001</v>
      </c>
      <c r="S37" s="147">
        <f>'CBR Hist'!S40</f>
        <v>43310</v>
      </c>
      <c r="T37" s="147">
        <f>'CBR Hist'!T40</f>
        <v>46210</v>
      </c>
      <c r="U37" s="147">
        <f>'CBR Hist'!U40</f>
        <v>49261</v>
      </c>
    </row>
    <row r="38" spans="1:21">
      <c r="A38" s="52">
        <v>21</v>
      </c>
      <c r="C38" s="38" t="s">
        <v>138</v>
      </c>
      <c r="F38" s="147">
        <f>'CBR Hist'!F41</f>
        <v>3998</v>
      </c>
      <c r="G38" s="147">
        <f>'CBR Hist'!G41</f>
        <v>4414</v>
      </c>
      <c r="H38" s="147">
        <f>'CBR Hist'!H41</f>
        <v>6606</v>
      </c>
      <c r="I38" s="147">
        <f>'CBR Hist'!I41</f>
        <v>6659</v>
      </c>
      <c r="J38" s="147">
        <f>'CBR Hist'!J41</f>
        <v>6072</v>
      </c>
      <c r="K38" s="147">
        <f>'CBR Hist'!K41</f>
        <v>6537</v>
      </c>
      <c r="L38" s="147">
        <f>'CBR Hist'!L41</f>
        <v>6459</v>
      </c>
      <c r="M38" s="147">
        <f>'CBR Hist'!M41</f>
        <v>6739</v>
      </c>
      <c r="N38" s="147">
        <f>'CBR Hist'!N41</f>
        <v>7187</v>
      </c>
      <c r="O38" s="147">
        <f>'CBR Hist'!O41</f>
        <v>7688</v>
      </c>
      <c r="P38" s="147">
        <f>'CBR Hist'!P41</f>
        <v>9277</v>
      </c>
      <c r="Q38" s="147">
        <f>'CBR Hist'!Q41</f>
        <v>10906</v>
      </c>
      <c r="R38" s="147">
        <f>'CBR Hist'!R41</f>
        <v>12517</v>
      </c>
      <c r="S38" s="147">
        <f>'CBR Hist'!S41</f>
        <v>14721</v>
      </c>
      <c r="T38" s="147">
        <f>'CBR Hist'!T41</f>
        <v>16947</v>
      </c>
      <c r="U38" s="147">
        <f>'CBR Hist'!U41</f>
        <v>20268</v>
      </c>
    </row>
    <row r="39" spans="1:21">
      <c r="A39" s="52">
        <v>22</v>
      </c>
      <c r="C39" s="38" t="s">
        <v>68</v>
      </c>
      <c r="F39" s="147">
        <f>'CBR Hist'!F42</f>
        <v>5</v>
      </c>
      <c r="G39" s="147">
        <f>'CBR Hist'!G42</f>
        <v>2</v>
      </c>
      <c r="H39" s="147">
        <f>'CBR Hist'!H42</f>
        <v>1</v>
      </c>
      <c r="I39" s="147">
        <f>'CBR Hist'!I42</f>
        <v>2</v>
      </c>
      <c r="J39" s="147">
        <f>'CBR Hist'!J42</f>
        <v>3</v>
      </c>
      <c r="K39" s="147">
        <f>'CBR Hist'!K42</f>
        <v>-4</v>
      </c>
      <c r="L39" s="147">
        <f>'CBR Hist'!L42</f>
        <v>0</v>
      </c>
      <c r="M39" s="147">
        <f>'CBR Hist'!M42</f>
        <v>-9</v>
      </c>
      <c r="N39" s="147">
        <f>'CBR Hist'!N42</f>
        <v>-3</v>
      </c>
      <c r="O39" s="147">
        <f>'CBR Hist'!O42</f>
        <v>-3</v>
      </c>
      <c r="P39" s="147">
        <f>'CBR Hist'!P42</f>
        <v>2</v>
      </c>
      <c r="Q39" s="147">
        <f>'CBR Hist'!Q42</f>
        <v>0</v>
      </c>
      <c r="R39" s="147">
        <f>'CBR Hist'!R42</f>
        <v>-4</v>
      </c>
      <c r="S39" s="147">
        <f>'CBR Hist'!S42</f>
        <v>0</v>
      </c>
      <c r="T39" s="147">
        <f>'CBR Hist'!T42</f>
        <v>0</v>
      </c>
      <c r="U39" s="147">
        <f>'CBR Hist'!U42</f>
        <v>0</v>
      </c>
    </row>
    <row r="40" spans="1:21">
      <c r="A40" s="52">
        <v>23</v>
      </c>
      <c r="B40" s="38" t="s">
        <v>67</v>
      </c>
      <c r="F40" s="313">
        <f>SUM(F37:F39)</f>
        <v>34353</v>
      </c>
      <c r="G40" s="313">
        <f t="shared" ref="G40:R40" si="12">SUM(G37:G39)</f>
        <v>29518</v>
      </c>
      <c r="H40" s="313">
        <f t="shared" si="12"/>
        <v>36911</v>
      </c>
      <c r="I40" s="313">
        <f t="shared" si="12"/>
        <v>36814</v>
      </c>
      <c r="J40" s="313">
        <f t="shared" si="12"/>
        <v>38002</v>
      </c>
      <c r="K40" s="313">
        <f t="shared" si="12"/>
        <v>39676</v>
      </c>
      <c r="L40" s="313">
        <f t="shared" si="12"/>
        <v>39607</v>
      </c>
      <c r="M40" s="313">
        <f t="shared" si="12"/>
        <v>42574</v>
      </c>
      <c r="N40" s="313">
        <f t="shared" si="12"/>
        <v>43166</v>
      </c>
      <c r="O40" s="313">
        <f t="shared" si="12"/>
        <v>46146</v>
      </c>
      <c r="P40" s="313">
        <f t="shared" si="12"/>
        <v>53941</v>
      </c>
      <c r="Q40" s="313">
        <f t="shared" si="12"/>
        <v>55685.252</v>
      </c>
      <c r="R40" s="313">
        <f t="shared" si="12"/>
        <v>61846.396000000001</v>
      </c>
      <c r="S40" s="313">
        <f t="shared" ref="S40:T40" si="13">SUM(S37:S39)</f>
        <v>58031</v>
      </c>
      <c r="T40" s="313">
        <f t="shared" si="13"/>
        <v>63157</v>
      </c>
      <c r="U40" s="313">
        <f t="shared" ref="U40" si="14">SUM(U37:U39)</f>
        <v>69529</v>
      </c>
    </row>
    <row r="41" spans="1:21">
      <c r="A41" s="52">
        <v>24</v>
      </c>
      <c r="B41" s="38" t="s">
        <v>66</v>
      </c>
      <c r="F41" s="313">
        <f>F24+F30+F32+F33+F34+F40</f>
        <v>343205</v>
      </c>
      <c r="G41" s="313">
        <f t="shared" ref="G41:R41" si="15">G24+G30+G32+G33+G34+G40</f>
        <v>270636</v>
      </c>
      <c r="H41" s="313">
        <f t="shared" si="15"/>
        <v>260183</v>
      </c>
      <c r="I41" s="313">
        <f t="shared" si="15"/>
        <v>288832</v>
      </c>
      <c r="J41" s="313">
        <f t="shared" si="15"/>
        <v>268539</v>
      </c>
      <c r="K41" s="313">
        <f t="shared" si="15"/>
        <v>278171</v>
      </c>
      <c r="L41" s="313">
        <f t="shared" si="15"/>
        <v>309354</v>
      </c>
      <c r="M41" s="313">
        <f t="shared" si="15"/>
        <v>298938</v>
      </c>
      <c r="N41" s="313">
        <f t="shared" si="15"/>
        <v>334636</v>
      </c>
      <c r="O41" s="313">
        <f t="shared" si="15"/>
        <v>347787</v>
      </c>
      <c r="P41" s="313">
        <f t="shared" si="15"/>
        <v>461927</v>
      </c>
      <c r="Q41" s="313">
        <f t="shared" si="15"/>
        <v>421153.40739999997</v>
      </c>
      <c r="R41" s="313">
        <f t="shared" si="15"/>
        <v>417640.11265200004</v>
      </c>
      <c r="S41" s="313">
        <f t="shared" ref="S41:T41" si="16">S24+S30+S32+S33+S34+S40</f>
        <v>435119</v>
      </c>
      <c r="T41" s="313">
        <f t="shared" si="16"/>
        <v>427968</v>
      </c>
      <c r="U41" s="313">
        <f t="shared" ref="U41" si="17">U24+U30+U32+U33+U34+U40</f>
        <v>427510</v>
      </c>
    </row>
    <row r="42" spans="1:21" ht="6.75" customHeight="1">
      <c r="A42" s="52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</row>
    <row r="43" spans="1:21">
      <c r="A43" s="52">
        <v>25</v>
      </c>
      <c r="B43" s="38" t="s">
        <v>65</v>
      </c>
      <c r="F43" s="313">
        <f>F15-F41</f>
        <v>50049</v>
      </c>
      <c r="G43" s="313">
        <f t="shared" ref="G43:R43" si="18">G15-G41</f>
        <v>93786</v>
      </c>
      <c r="H43" s="313">
        <f t="shared" si="18"/>
        <v>78118</v>
      </c>
      <c r="I43" s="313">
        <f t="shared" si="18"/>
        <v>87772</v>
      </c>
      <c r="J43" s="313">
        <f t="shared" si="18"/>
        <v>66659</v>
      </c>
      <c r="K43" s="313">
        <f t="shared" si="18"/>
        <v>66735</v>
      </c>
      <c r="L43" s="313">
        <f t="shared" si="18"/>
        <v>58866</v>
      </c>
      <c r="M43" s="313">
        <f t="shared" si="18"/>
        <v>73260</v>
      </c>
      <c r="N43" s="313">
        <f t="shared" si="18"/>
        <v>89384</v>
      </c>
      <c r="O43" s="313">
        <f t="shared" si="18"/>
        <v>96588.549100000004</v>
      </c>
      <c r="P43" s="313">
        <f t="shared" si="18"/>
        <v>99867.970363199944</v>
      </c>
      <c r="Q43" s="313">
        <f t="shared" si="18"/>
        <v>97773.592600000033</v>
      </c>
      <c r="R43" s="313">
        <f t="shared" si="18"/>
        <v>110079.88734799996</v>
      </c>
      <c r="S43" s="313">
        <f t="shared" ref="S43:T43" si="19">S15-S41</f>
        <v>122528</v>
      </c>
      <c r="T43" s="313">
        <f t="shared" si="19"/>
        <v>139487</v>
      </c>
      <c r="U43" s="313">
        <f t="shared" ref="U43" si="20">U15-U41</f>
        <v>151302</v>
      </c>
    </row>
    <row r="44" spans="1:21" ht="6.75" customHeight="1">
      <c r="A44" s="5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>
      <c r="A45" s="52"/>
      <c r="B45" s="38" t="s">
        <v>64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>
      <c r="A46" s="52">
        <v>26</v>
      </c>
      <c r="B46" s="38" t="s">
        <v>139</v>
      </c>
      <c r="F46" s="147">
        <f>'CBR Hist'!F49</f>
        <v>13500</v>
      </c>
      <c r="G46" s="147">
        <f>'CBR Hist'!G49</f>
        <v>7802.6454399910144</v>
      </c>
      <c r="H46" s="147">
        <f>'CBR Hist'!H49</f>
        <v>12532.4934614427</v>
      </c>
      <c r="I46" s="147">
        <f>'CBR Hist'!I49</f>
        <v>18199.38094551977</v>
      </c>
      <c r="J46" s="147">
        <f>'CBR Hist'!J49</f>
        <v>10602.745932108257</v>
      </c>
      <c r="K46" s="147">
        <f>'CBR Hist'!K49</f>
        <v>6760.4768703774607</v>
      </c>
      <c r="L46" s="147">
        <f>'CBR Hist'!L49</f>
        <v>3583.5198936206907</v>
      </c>
      <c r="M46" s="147">
        <f>'CBR Hist'!M49</f>
        <v>5069.5165750000015</v>
      </c>
      <c r="N46" s="147">
        <f>'CBR Hist'!N49</f>
        <v>-6217.1202000000012</v>
      </c>
      <c r="O46" s="147">
        <f>'CBR Hist'!O49</f>
        <v>-1846</v>
      </c>
      <c r="P46" s="147">
        <f>'CBR Hist'!P49</f>
        <v>9263</v>
      </c>
      <c r="Q46" s="147">
        <f>'CBR Hist'!Q49</f>
        <v>6568.9074099999998</v>
      </c>
      <c r="R46" s="147">
        <f>'CBR Hist'!R49</f>
        <v>11499.260571799998</v>
      </c>
      <c r="S46" s="147">
        <f>'CBR Hist'!S49</f>
        <v>19267</v>
      </c>
      <c r="T46" s="147">
        <f>'CBR Hist'!T49</f>
        <v>-7683</v>
      </c>
      <c r="U46" s="147">
        <f>'CBR Hist'!U49</f>
        <v>-2975</v>
      </c>
    </row>
    <row r="47" spans="1:21">
      <c r="A47" s="52">
        <v>27</v>
      </c>
      <c r="B47" s="38" t="s">
        <v>140</v>
      </c>
      <c r="F47" s="147">
        <f>'CBR Hist'!F50</f>
        <v>0</v>
      </c>
      <c r="G47" s="147">
        <f>'CBR Hist'!G50</f>
        <v>0</v>
      </c>
      <c r="H47" s="147">
        <f>'CBR Hist'!H50</f>
        <v>0</v>
      </c>
      <c r="I47" s="147">
        <f>'CBR Hist'!I50</f>
        <v>0</v>
      </c>
      <c r="J47" s="147">
        <f>'CBR Hist'!J50</f>
        <v>0</v>
      </c>
      <c r="K47" s="147">
        <f>'CBR Hist'!K50</f>
        <v>0</v>
      </c>
      <c r="L47" s="147">
        <f>'CBR Hist'!L50</f>
        <v>0</v>
      </c>
      <c r="M47" s="147">
        <f>'CBR Hist'!M50</f>
        <v>0</v>
      </c>
      <c r="N47" s="147">
        <f>'CBR Hist'!N50</f>
        <v>0</v>
      </c>
      <c r="O47" s="147">
        <f>'CBR Hist'!O50</f>
        <v>0</v>
      </c>
      <c r="P47" s="147">
        <f>'CBR Hist'!P50</f>
        <v>0</v>
      </c>
      <c r="Q47" s="147">
        <f>'CBR Hist'!Q50</f>
        <v>206.8288</v>
      </c>
      <c r="R47" s="147">
        <f>'CBR Hist'!R50</f>
        <v>70.410550000000001</v>
      </c>
      <c r="S47" s="147">
        <f>'CBR Hist'!S50</f>
        <v>1</v>
      </c>
      <c r="T47" s="147">
        <f>'CBR Hist'!T50</f>
        <v>-136</v>
      </c>
      <c r="U47" s="147">
        <f>'CBR Hist'!U50</f>
        <v>-54</v>
      </c>
    </row>
    <row r="48" spans="1:21">
      <c r="A48" s="52">
        <v>28</v>
      </c>
      <c r="B48" s="38" t="s">
        <v>63</v>
      </c>
      <c r="F48" s="147">
        <f>'CBR Hist'!F51</f>
        <v>3549</v>
      </c>
      <c r="G48" s="147">
        <f>'CBR Hist'!G51</f>
        <v>16107</v>
      </c>
      <c r="H48" s="147">
        <f>'CBR Hist'!H51</f>
        <v>3470</v>
      </c>
      <c r="I48" s="147">
        <f>'CBR Hist'!I51</f>
        <v>1284</v>
      </c>
      <c r="J48" s="147">
        <f>'CBR Hist'!J51</f>
        <v>608</v>
      </c>
      <c r="K48" s="147">
        <f>'CBR Hist'!K51</f>
        <v>3867</v>
      </c>
      <c r="L48" s="147">
        <f>'CBR Hist'!L51</f>
        <v>3975</v>
      </c>
      <c r="M48" s="147">
        <f>'CBR Hist'!M51</f>
        <v>6497</v>
      </c>
      <c r="N48" s="147">
        <f>'CBR Hist'!N51</f>
        <v>26634</v>
      </c>
      <c r="O48" s="147">
        <f>'CBR Hist'!O51</f>
        <v>23983</v>
      </c>
      <c r="P48" s="147">
        <f>'CBR Hist'!P51</f>
        <v>13823</v>
      </c>
      <c r="Q48" s="147">
        <f>'CBR Hist'!Q51</f>
        <v>16402</v>
      </c>
      <c r="R48" s="147">
        <f>'CBR Hist'!R51</f>
        <v>15684</v>
      </c>
      <c r="S48" s="147">
        <f>'CBR Hist'!S51</f>
        <v>10613</v>
      </c>
      <c r="T48" s="147">
        <f>'CBR Hist'!T51</f>
        <v>46085</v>
      </c>
      <c r="U48" s="147">
        <f>'CBR Hist'!U51</f>
        <v>44788</v>
      </c>
    </row>
    <row r="49" spans="1:21">
      <c r="A49" s="52">
        <v>29</v>
      </c>
      <c r="B49" s="38" t="s">
        <v>62</v>
      </c>
      <c r="F49" s="147">
        <f>'CBR Hist'!F52</f>
        <v>0</v>
      </c>
      <c r="G49" s="147">
        <f>'CBR Hist'!G52</f>
        <v>0</v>
      </c>
      <c r="H49" s="147">
        <f>'CBR Hist'!H52</f>
        <v>0</v>
      </c>
      <c r="I49" s="147">
        <f>'CBR Hist'!I52</f>
        <v>0</v>
      </c>
      <c r="J49" s="147">
        <f>'CBR Hist'!J52</f>
        <v>0</v>
      </c>
      <c r="K49" s="147">
        <f>'CBR Hist'!K52</f>
        <v>0</v>
      </c>
      <c r="L49" s="147">
        <f>'CBR Hist'!L52</f>
        <v>0</v>
      </c>
      <c r="M49" s="147">
        <f>'CBR Hist'!M52</f>
        <v>0</v>
      </c>
      <c r="N49" s="147">
        <f>'CBR Hist'!N52</f>
        <v>0</v>
      </c>
      <c r="O49" s="147">
        <f>'CBR Hist'!O52</f>
        <v>-58</v>
      </c>
      <c r="P49" s="147">
        <f>'CBR Hist'!P52</f>
        <v>-83</v>
      </c>
      <c r="Q49" s="147">
        <f>'CBR Hist'!Q52</f>
        <v>-99</v>
      </c>
      <c r="R49" s="147">
        <f>'CBR Hist'!R52</f>
        <v>-128</v>
      </c>
      <c r="S49" s="147">
        <f>'CBR Hist'!S52</f>
        <v>-130</v>
      </c>
      <c r="T49" s="147">
        <f>'CBR Hist'!T52</f>
        <v>-128</v>
      </c>
      <c r="U49" s="147">
        <f>P49+R49+S49+T49</f>
        <v>-469</v>
      </c>
    </row>
    <row r="50" spans="1:21" s="146" customFormat="1">
      <c r="A50" s="52">
        <v>30</v>
      </c>
      <c r="B50" s="146" t="s">
        <v>296</v>
      </c>
      <c r="F50" s="147">
        <f>'CBR Hist'!F53</f>
        <v>5683</v>
      </c>
      <c r="G50" s="147">
        <f>'CBR Hist'!G53</f>
        <v>5369</v>
      </c>
      <c r="H50" s="147">
        <f>'CBR Hist'!H53</f>
        <v>0</v>
      </c>
      <c r="I50" s="147">
        <f>'CBR Hist'!I53</f>
        <v>0</v>
      </c>
      <c r="J50" s="147">
        <f>'CBR Hist'!J53</f>
        <v>0</v>
      </c>
      <c r="K50" s="147">
        <f>'CBR Hist'!K53</f>
        <v>0</v>
      </c>
      <c r="L50" s="147">
        <f>'CBR Hist'!L53</f>
        <v>0</v>
      </c>
      <c r="M50" s="147">
        <f>'CBR Hist'!M53</f>
        <v>0</v>
      </c>
      <c r="N50" s="147">
        <f>'CBR Hist'!N53</f>
        <v>0</v>
      </c>
      <c r="O50" s="147">
        <f>'CBR Hist'!O53</f>
        <v>0</v>
      </c>
      <c r="P50" s="147">
        <f>'CBR Hist'!P53</f>
        <v>0</v>
      </c>
      <c r="Q50" s="147">
        <f>'CBR Hist'!Q53</f>
        <v>0</v>
      </c>
      <c r="R50" s="147">
        <f>'CBR Hist'!R53</f>
        <v>0</v>
      </c>
      <c r="S50" s="147">
        <f>'CBR Hist'!S53</f>
        <v>0</v>
      </c>
      <c r="T50" s="147">
        <f>T79*ROR!F11*-0.35</f>
        <v>-107.80924</v>
      </c>
      <c r="U50" s="147">
        <f>'CBR Hist'!U53</f>
        <v>0</v>
      </c>
    </row>
    <row r="51" spans="1:21" ht="12.75" thickBot="1">
      <c r="A51" s="52">
        <v>31</v>
      </c>
      <c r="B51" s="38" t="s">
        <v>61</v>
      </c>
      <c r="F51" s="314">
        <f>F43-SUM(F46:F50)</f>
        <v>27317</v>
      </c>
      <c r="G51" s="314">
        <f t="shared" ref="G51:R51" si="21">G43-SUM(G46:G50)</f>
        <v>64507.354560008986</v>
      </c>
      <c r="H51" s="314">
        <f t="shared" si="21"/>
        <v>62115.506538557296</v>
      </c>
      <c r="I51" s="314">
        <f t="shared" si="21"/>
        <v>68288.619054480223</v>
      </c>
      <c r="J51" s="314">
        <f t="shared" si="21"/>
        <v>55448.254067891743</v>
      </c>
      <c r="K51" s="314">
        <f t="shared" si="21"/>
        <v>56107.523129622539</v>
      </c>
      <c r="L51" s="314">
        <f t="shared" si="21"/>
        <v>51307.480106379313</v>
      </c>
      <c r="M51" s="314">
        <f t="shared" si="21"/>
        <v>61693.483424999999</v>
      </c>
      <c r="N51" s="314">
        <f t="shared" si="21"/>
        <v>68967.120200000005</v>
      </c>
      <c r="O51" s="314">
        <f t="shared" si="21"/>
        <v>74509.549100000004</v>
      </c>
      <c r="P51" s="314">
        <f t="shared" si="21"/>
        <v>76864.970363199944</v>
      </c>
      <c r="Q51" s="314">
        <f t="shared" si="21"/>
        <v>74694.85639000003</v>
      </c>
      <c r="R51" s="314">
        <f t="shared" si="21"/>
        <v>82954.216226199962</v>
      </c>
      <c r="S51" s="314">
        <f t="shared" ref="S51:T51" si="22">S43-SUM(S46:S50)</f>
        <v>92777</v>
      </c>
      <c r="T51" s="314">
        <f t="shared" si="22"/>
        <v>101456.80924</v>
      </c>
      <c r="U51" s="314">
        <f t="shared" ref="U51" si="23">U43-SUM(U46:U50)</f>
        <v>110012</v>
      </c>
    </row>
    <row r="52" spans="1:21" ht="12.75" thickTop="1">
      <c r="A52" s="52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111"/>
      <c r="T52" s="111"/>
      <c r="U52" s="111"/>
    </row>
    <row r="53" spans="1:21">
      <c r="A53" s="52"/>
      <c r="C53" s="377" t="s">
        <v>456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11"/>
      <c r="T53" s="111"/>
      <c r="U53" s="111"/>
    </row>
    <row r="54" spans="1:21" ht="13.5" customHeight="1">
      <c r="A54" s="928"/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</row>
    <row r="55" spans="1:21" ht="15.75">
      <c r="A55" s="372" t="str">
        <f>A4</f>
        <v xml:space="preserve">AVISTA UTILITIES  </v>
      </c>
      <c r="E55" s="929" t="str">
        <f>E4</f>
        <v>Commission Basis Results of Operations</v>
      </c>
      <c r="F55" s="929"/>
      <c r="G55" s="929"/>
      <c r="H55" s="929"/>
      <c r="I55" s="929"/>
      <c r="J55" s="929"/>
      <c r="K55" s="929"/>
      <c r="L55" s="929"/>
      <c r="M55" s="929"/>
      <c r="N55" s="929"/>
      <c r="O55" s="929"/>
      <c r="P55" s="929"/>
      <c r="Q55" s="929"/>
      <c r="R55" s="929"/>
      <c r="S55" s="111"/>
      <c r="T55" s="111"/>
      <c r="U55" s="111"/>
    </row>
    <row r="56" spans="1:21">
      <c r="A56" s="372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11"/>
      <c r="T56" s="111"/>
      <c r="U56" s="111"/>
    </row>
    <row r="57" spans="1:21" ht="6" customHeight="1">
      <c r="A57" s="372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11"/>
      <c r="T57" s="111"/>
      <c r="U57" s="111"/>
    </row>
    <row r="58" spans="1:21" ht="12.75">
      <c r="A58" s="372" t="str">
        <f>A7</f>
        <v xml:space="preserve">(000'S OF DOLLARS)  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11"/>
      <c r="T58" s="535"/>
      <c r="U58" s="535"/>
    </row>
    <row r="59" spans="1:21">
      <c r="A59" s="52" t="s">
        <v>3</v>
      </c>
      <c r="F59" s="145">
        <f>F8</f>
        <v>2000</v>
      </c>
      <c r="G59" s="145">
        <f t="shared" ref="G59:R59" si="24">G8</f>
        <v>2001</v>
      </c>
      <c r="H59" s="145">
        <f t="shared" si="24"/>
        <v>2002</v>
      </c>
      <c r="I59" s="145">
        <f t="shared" si="24"/>
        <v>2003</v>
      </c>
      <c r="J59" s="145">
        <f t="shared" si="24"/>
        <v>2004</v>
      </c>
      <c r="K59" s="145">
        <f t="shared" si="24"/>
        <v>2005</v>
      </c>
      <c r="L59" s="145">
        <f t="shared" si="24"/>
        <v>2006</v>
      </c>
      <c r="M59" s="145">
        <f t="shared" si="24"/>
        <v>2007</v>
      </c>
      <c r="N59" s="145">
        <f t="shared" si="24"/>
        <v>2008</v>
      </c>
      <c r="O59" s="145">
        <f t="shared" si="24"/>
        <v>2009</v>
      </c>
      <c r="P59" s="145">
        <f t="shared" si="24"/>
        <v>2010</v>
      </c>
      <c r="Q59" s="145">
        <f t="shared" si="24"/>
        <v>2011</v>
      </c>
      <c r="R59" s="145">
        <f t="shared" si="24"/>
        <v>2012</v>
      </c>
      <c r="S59" s="145">
        <f t="shared" ref="S59:T59" si="25">S8</f>
        <v>2013</v>
      </c>
      <c r="T59" s="145">
        <f t="shared" si="25"/>
        <v>2014</v>
      </c>
      <c r="U59" s="145">
        <f t="shared" ref="U59" si="26">U8</f>
        <v>9.2014999999999993</v>
      </c>
    </row>
    <row r="60" spans="1:21">
      <c r="A60" s="52" t="s">
        <v>452</v>
      </c>
      <c r="B60" s="38" t="s">
        <v>60</v>
      </c>
      <c r="G60" s="39"/>
      <c r="H60" s="39"/>
      <c r="I60" s="39"/>
      <c r="J60" s="39"/>
      <c r="L60" s="39"/>
      <c r="M60" s="39"/>
      <c r="N60" s="39"/>
      <c r="O60" s="39"/>
      <c r="P60" s="39"/>
      <c r="Q60" s="39"/>
      <c r="R60" s="39"/>
    </row>
    <row r="61" spans="1:21">
      <c r="A61" s="52"/>
      <c r="B61" s="38" t="s">
        <v>59</v>
      </c>
      <c r="G61" s="39"/>
      <c r="H61" s="39"/>
      <c r="I61" s="39"/>
      <c r="J61" s="39"/>
      <c r="L61" s="39"/>
      <c r="M61" s="39"/>
      <c r="N61" s="39"/>
      <c r="O61" s="39"/>
      <c r="P61" s="39"/>
      <c r="Q61" s="39"/>
      <c r="R61" s="39"/>
    </row>
    <row r="62" spans="1:21">
      <c r="A62" s="52">
        <v>32</v>
      </c>
      <c r="C62" s="38" t="s">
        <v>58</v>
      </c>
      <c r="F62" s="148">
        <f>'Reg Amorts'!E53</f>
        <v>15127</v>
      </c>
      <c r="G62" s="148">
        <f>'Reg Amorts'!F53</f>
        <v>16340</v>
      </c>
      <c r="H62" s="148">
        <f>'Reg Amorts'!G53</f>
        <v>20910</v>
      </c>
      <c r="I62" s="148">
        <f>'Reg Amorts'!H53</f>
        <v>21299</v>
      </c>
      <c r="J62" s="148">
        <f>'Reg Amorts'!I53</f>
        <v>21374</v>
      </c>
      <c r="K62" s="148">
        <f>'Reg Amorts'!J53</f>
        <v>22459</v>
      </c>
      <c r="L62" s="148">
        <f>'Reg Amorts'!K53</f>
        <v>23458</v>
      </c>
      <c r="M62" s="148">
        <f>'Reg Amorts'!L53</f>
        <v>20632</v>
      </c>
      <c r="N62" s="148">
        <f>'Reg Amorts'!M53</f>
        <v>23321</v>
      </c>
      <c r="O62" s="148">
        <f>'Reg Amorts'!N53</f>
        <v>57116</v>
      </c>
      <c r="P62" s="148">
        <f>'Reg Amorts'!O53</f>
        <v>81955</v>
      </c>
      <c r="Q62" s="148">
        <f>'Reg Amorts'!P53</f>
        <v>84081</v>
      </c>
      <c r="R62" s="148">
        <f>'Reg Amorts'!Q53</f>
        <v>85247</v>
      </c>
      <c r="S62" s="148">
        <f>'Reg Amorts'!R53</f>
        <v>91466</v>
      </c>
      <c r="T62" s="148">
        <f>'Reg Amorts'!S53</f>
        <v>102620</v>
      </c>
      <c r="U62" s="148">
        <f>'Reg Amorts'!T53</f>
        <v>132877</v>
      </c>
    </row>
    <row r="63" spans="1:21">
      <c r="A63" s="52">
        <v>33</v>
      </c>
      <c r="C63" s="38" t="s">
        <v>57</v>
      </c>
      <c r="F63" s="147">
        <f>'Reg Amorts'!E54-'Reg Amorts'!E104</f>
        <v>455498</v>
      </c>
      <c r="G63" s="147">
        <f>'Reg Amorts'!F54-'Reg Amorts'!F104</f>
        <v>460292</v>
      </c>
      <c r="H63" s="147">
        <f>'Reg Amorts'!G54-'Reg Amorts'!G104</f>
        <v>545002</v>
      </c>
      <c r="I63" s="147">
        <f>'Reg Amorts'!H54-'Reg Amorts'!H104</f>
        <v>556067</v>
      </c>
      <c r="J63" s="147">
        <f>'Reg Amorts'!I54-'Reg Amorts'!I104</f>
        <v>598268</v>
      </c>
      <c r="K63" s="147">
        <f>'Reg Amorts'!J54-'Reg Amorts'!J104</f>
        <v>615624</v>
      </c>
      <c r="L63" s="147">
        <f>'Reg Amorts'!K54-'Reg Amorts'!K104</f>
        <v>649965</v>
      </c>
      <c r="M63" s="147">
        <f>'Reg Amorts'!L54-'Reg Amorts'!L104</f>
        <v>645576</v>
      </c>
      <c r="N63" s="147">
        <f>'Reg Amorts'!M54-'Reg Amorts'!M104</f>
        <v>657099</v>
      </c>
      <c r="O63" s="147">
        <f>'Reg Amorts'!N54-'Reg Amorts'!N104</f>
        <v>677646</v>
      </c>
      <c r="P63" s="147">
        <f>'Reg Amorts'!O54-'Reg Amorts'!O104</f>
        <v>692689</v>
      </c>
      <c r="Q63" s="147">
        <f>'Reg Amorts'!P54</f>
        <v>706894</v>
      </c>
      <c r="R63" s="147">
        <f>'Reg Amorts'!Q54</f>
        <v>717448</v>
      </c>
      <c r="S63" s="147">
        <f>'Reg Amorts'!R54</f>
        <v>738315</v>
      </c>
      <c r="T63" s="147">
        <f>'Reg Amorts'!S54</f>
        <v>746101</v>
      </c>
      <c r="U63" s="147">
        <f>'Reg Amorts'!T54</f>
        <v>762834</v>
      </c>
    </row>
    <row r="64" spans="1:21">
      <c r="A64" s="52">
        <v>34</v>
      </c>
      <c r="C64" s="38" t="s">
        <v>56</v>
      </c>
      <c r="F64" s="147">
        <f>'Reg Amorts'!E55</f>
        <v>181627</v>
      </c>
      <c r="G64" s="147">
        <f>'Reg Amorts'!F55</f>
        <v>191517</v>
      </c>
      <c r="H64" s="147">
        <f>'Reg Amorts'!G55</f>
        <v>186550</v>
      </c>
      <c r="I64" s="147">
        <f>'Reg Amorts'!H55</f>
        <v>196937</v>
      </c>
      <c r="J64" s="147">
        <f>'Reg Amorts'!I55</f>
        <v>213539</v>
      </c>
      <c r="K64" s="147">
        <f>'Reg Amorts'!J55</f>
        <v>224696</v>
      </c>
      <c r="L64" s="147">
        <f>'Reg Amorts'!K55</f>
        <v>244435</v>
      </c>
      <c r="M64" s="147">
        <f>'Reg Amorts'!L55</f>
        <v>259532</v>
      </c>
      <c r="N64" s="147">
        <f>'Reg Amorts'!M55</f>
        <v>289302</v>
      </c>
      <c r="O64" s="147">
        <f>'Reg Amorts'!N55</f>
        <v>301090</v>
      </c>
      <c r="P64" s="147">
        <f>'Reg Amorts'!O55</f>
        <v>312505</v>
      </c>
      <c r="Q64" s="147">
        <f>'Reg Amorts'!P55</f>
        <v>328012</v>
      </c>
      <c r="R64" s="147">
        <f>'Reg Amorts'!Q55</f>
        <v>342382</v>
      </c>
      <c r="S64" s="147">
        <f>'Reg Amorts'!R55</f>
        <v>359941</v>
      </c>
      <c r="T64" s="147">
        <f>'Reg Amorts'!S55</f>
        <v>371971</v>
      </c>
      <c r="U64" s="147">
        <f>'Reg Amorts'!T55</f>
        <v>390240</v>
      </c>
    </row>
    <row r="65" spans="1:21">
      <c r="A65" s="52">
        <v>35</v>
      </c>
      <c r="C65" s="38" t="s">
        <v>55</v>
      </c>
      <c r="F65" s="147">
        <f>'Reg Amorts'!E56-'Reg Amorts'!E105</f>
        <v>398952</v>
      </c>
      <c r="G65" s="147">
        <f>'Reg Amorts'!F56-'Reg Amorts'!F105</f>
        <v>416914</v>
      </c>
      <c r="H65" s="147">
        <f>'Reg Amorts'!G56-'Reg Amorts'!G105</f>
        <v>429987</v>
      </c>
      <c r="I65" s="147">
        <f>'Reg Amorts'!H56-'Reg Amorts'!H105</f>
        <v>443649</v>
      </c>
      <c r="J65" s="147">
        <f>'Reg Amorts'!I56-'Reg Amorts'!I105</f>
        <v>459739</v>
      </c>
      <c r="K65" s="147">
        <f>'Reg Amorts'!J56-'Reg Amorts'!J105</f>
        <v>480886</v>
      </c>
      <c r="L65" s="147">
        <f>'Reg Amorts'!K56-'Reg Amorts'!K105</f>
        <v>502838</v>
      </c>
      <c r="M65" s="147">
        <f>'Reg Amorts'!L56-'Reg Amorts'!L105</f>
        <v>529067</v>
      </c>
      <c r="N65" s="147">
        <f>'Reg Amorts'!M56-'Reg Amorts'!M105</f>
        <v>561248</v>
      </c>
      <c r="O65" s="147">
        <f>'Reg Amorts'!N56-'Reg Amorts'!N105</f>
        <v>602201</v>
      </c>
      <c r="P65" s="147">
        <f>'Reg Amorts'!O56-'Reg Amorts'!O105</f>
        <v>642143</v>
      </c>
      <c r="Q65" s="147">
        <f>'Reg Amorts'!P56</f>
        <v>696082</v>
      </c>
      <c r="R65" s="147">
        <f>'Reg Amorts'!Q56</f>
        <v>743732</v>
      </c>
      <c r="S65" s="147">
        <f>'Reg Amorts'!R56</f>
        <v>796640</v>
      </c>
      <c r="T65" s="147">
        <f>'Reg Amorts'!S56</f>
        <v>842795</v>
      </c>
      <c r="U65" s="147">
        <f>'Reg Amorts'!T56</f>
        <v>880960</v>
      </c>
    </row>
    <row r="66" spans="1:21">
      <c r="A66" s="52">
        <v>36</v>
      </c>
      <c r="C66" s="38" t="s">
        <v>54</v>
      </c>
      <c r="F66" s="147">
        <f>'Reg Amorts'!E57</f>
        <v>58402</v>
      </c>
      <c r="G66" s="147">
        <f>'Reg Amorts'!F57</f>
        <v>59846</v>
      </c>
      <c r="H66" s="147">
        <f>'Reg Amorts'!G57</f>
        <v>59771</v>
      </c>
      <c r="I66" s="147">
        <f>'Reg Amorts'!H57</f>
        <v>60444</v>
      </c>
      <c r="J66" s="147">
        <f>'Reg Amorts'!I57</f>
        <v>63155</v>
      </c>
      <c r="K66" s="147">
        <f>'Reg Amorts'!J57</f>
        <v>65299</v>
      </c>
      <c r="L66" s="147">
        <f>'Reg Amorts'!K57</f>
        <v>80110</v>
      </c>
      <c r="M66" s="147">
        <f>'Reg Amorts'!L57</f>
        <v>81368</v>
      </c>
      <c r="N66" s="147">
        <f>'Reg Amorts'!M57</f>
        <v>91205</v>
      </c>
      <c r="O66" s="147">
        <f>'Reg Amorts'!N57</f>
        <v>98727</v>
      </c>
      <c r="P66" s="147">
        <f>'Reg Amorts'!O57</f>
        <v>120996</v>
      </c>
      <c r="Q66" s="147">
        <f>'Reg Amorts'!P57</f>
        <v>140218</v>
      </c>
      <c r="R66" s="147">
        <f>'Reg Amorts'!Q57</f>
        <v>155104</v>
      </c>
      <c r="S66" s="147">
        <f>'Reg Amorts'!R57</f>
        <v>179134</v>
      </c>
      <c r="T66" s="147">
        <f>'Reg Amorts'!S57</f>
        <v>196867</v>
      </c>
      <c r="U66" s="147">
        <f>'Reg Amorts'!T57</f>
        <v>207659</v>
      </c>
    </row>
    <row r="67" spans="1:21">
      <c r="A67" s="52">
        <v>37</v>
      </c>
      <c r="B67" s="38" t="s">
        <v>53</v>
      </c>
      <c r="F67" s="313">
        <f>SUM(F62:F66)</f>
        <v>1109606</v>
      </c>
      <c r="G67" s="313">
        <f t="shared" ref="G67:R67" si="27">SUM(G62:G66)</f>
        <v>1144909</v>
      </c>
      <c r="H67" s="313">
        <f t="shared" si="27"/>
        <v>1242220</v>
      </c>
      <c r="I67" s="313">
        <f t="shared" si="27"/>
        <v>1278396</v>
      </c>
      <c r="J67" s="313">
        <f t="shared" si="27"/>
        <v>1356075</v>
      </c>
      <c r="K67" s="313">
        <f t="shared" si="27"/>
        <v>1408964</v>
      </c>
      <c r="L67" s="313">
        <f t="shared" si="27"/>
        <v>1500806</v>
      </c>
      <c r="M67" s="313">
        <f t="shared" si="27"/>
        <v>1536175</v>
      </c>
      <c r="N67" s="313">
        <f t="shared" si="27"/>
        <v>1622175</v>
      </c>
      <c r="O67" s="313">
        <f t="shared" si="27"/>
        <v>1736780</v>
      </c>
      <c r="P67" s="313">
        <f t="shared" si="27"/>
        <v>1850288</v>
      </c>
      <c r="Q67" s="313">
        <f t="shared" si="27"/>
        <v>1955287</v>
      </c>
      <c r="R67" s="313">
        <f t="shared" si="27"/>
        <v>2043913</v>
      </c>
      <c r="S67" s="313">
        <f t="shared" ref="S67:T67" si="28">SUM(S62:S66)</f>
        <v>2165496</v>
      </c>
      <c r="T67" s="313">
        <f t="shared" si="28"/>
        <v>2260354</v>
      </c>
      <c r="U67" s="313">
        <f t="shared" ref="U67" si="29">SUM(U62:U66)</f>
        <v>2374570</v>
      </c>
    </row>
    <row r="68" spans="1:21">
      <c r="A68" s="52"/>
      <c r="B68" s="38" t="s">
        <v>141</v>
      </c>
      <c r="G68" s="39"/>
      <c r="H68" s="39"/>
      <c r="I68" s="39"/>
      <c r="J68" s="39"/>
      <c r="L68" s="39"/>
      <c r="M68" s="39"/>
      <c r="N68" s="39"/>
      <c r="O68" s="39"/>
      <c r="P68" s="39"/>
      <c r="Q68" s="39"/>
      <c r="R68" s="39"/>
    </row>
    <row r="69" spans="1:21">
      <c r="A69" s="52">
        <v>38</v>
      </c>
      <c r="C69" s="38" t="s">
        <v>58</v>
      </c>
      <c r="F69" s="149" t="s">
        <v>277</v>
      </c>
      <c r="G69" s="149" t="s">
        <v>277</v>
      </c>
      <c r="H69" s="149" t="s">
        <v>277</v>
      </c>
      <c r="I69" s="149" t="s">
        <v>277</v>
      </c>
      <c r="J69" s="149" t="s">
        <v>277</v>
      </c>
      <c r="K69" s="149" t="s">
        <v>277</v>
      </c>
      <c r="L69" s="149" t="s">
        <v>277</v>
      </c>
      <c r="M69" s="149" t="s">
        <v>277</v>
      </c>
      <c r="N69" s="149" t="s">
        <v>277</v>
      </c>
      <c r="O69" s="149" t="s">
        <v>277</v>
      </c>
      <c r="P69" s="149" t="s">
        <v>277</v>
      </c>
      <c r="Q69" s="147">
        <f>'Reg Amorts'!P60</f>
        <v>3744</v>
      </c>
      <c r="R69" s="147">
        <f>'Reg Amorts'!Q60</f>
        <v>4369</v>
      </c>
      <c r="S69" s="147">
        <f>'Reg Amorts'!R60</f>
        <v>17667</v>
      </c>
      <c r="T69" s="147">
        <f>'Reg Amorts'!S60</f>
        <v>20242</v>
      </c>
      <c r="U69" s="147">
        <f>'Reg Amorts'!T60</f>
        <v>23450</v>
      </c>
    </row>
    <row r="70" spans="1:21" ht="12.75" customHeight="1">
      <c r="A70" s="52">
        <v>39</v>
      </c>
      <c r="C70" s="38" t="s">
        <v>57</v>
      </c>
      <c r="F70" s="149" t="s">
        <v>277</v>
      </c>
      <c r="G70" s="149" t="s">
        <v>277</v>
      </c>
      <c r="H70" s="149" t="s">
        <v>277</v>
      </c>
      <c r="I70" s="149" t="s">
        <v>277</v>
      </c>
      <c r="J70" s="149" t="s">
        <v>277</v>
      </c>
      <c r="K70" s="149" t="s">
        <v>277</v>
      </c>
      <c r="L70" s="149" t="s">
        <v>277</v>
      </c>
      <c r="M70" s="149" t="s">
        <v>277</v>
      </c>
      <c r="N70" s="149" t="s">
        <v>277</v>
      </c>
      <c r="O70" s="149" t="s">
        <v>277</v>
      </c>
      <c r="P70" s="149" t="s">
        <v>277</v>
      </c>
      <c r="Q70" s="147">
        <f>'Reg Amorts'!P61</f>
        <v>286300</v>
      </c>
      <c r="R70" s="147">
        <f>'Reg Amorts'!Q61</f>
        <v>300170</v>
      </c>
      <c r="S70" s="147">
        <f>'Reg Amorts'!R61</f>
        <v>314599</v>
      </c>
      <c r="T70" s="147">
        <f>'Reg Amorts'!S61</f>
        <v>325531</v>
      </c>
      <c r="U70" s="147">
        <f>'Reg Amorts'!T61</f>
        <v>334622</v>
      </c>
    </row>
    <row r="71" spans="1:21" ht="12.75" customHeight="1">
      <c r="A71" s="52">
        <v>40</v>
      </c>
      <c r="C71" s="38" t="s">
        <v>56</v>
      </c>
      <c r="F71" s="149" t="s">
        <v>277</v>
      </c>
      <c r="G71" s="149" t="s">
        <v>277</v>
      </c>
      <c r="H71" s="149" t="s">
        <v>277</v>
      </c>
      <c r="I71" s="149" t="s">
        <v>277</v>
      </c>
      <c r="J71" s="149" t="s">
        <v>277</v>
      </c>
      <c r="K71" s="149" t="s">
        <v>277</v>
      </c>
      <c r="L71" s="149" t="s">
        <v>277</v>
      </c>
      <c r="M71" s="149" t="s">
        <v>277</v>
      </c>
      <c r="N71" s="149" t="s">
        <v>277</v>
      </c>
      <c r="O71" s="149" t="s">
        <v>277</v>
      </c>
      <c r="P71" s="149" t="s">
        <v>277</v>
      </c>
      <c r="Q71" s="147">
        <f>'Reg Amorts'!P62</f>
        <v>111144</v>
      </c>
      <c r="R71" s="147">
        <f>'Reg Amorts'!Q62</f>
        <v>116316</v>
      </c>
      <c r="S71" s="147">
        <f>'Reg Amorts'!R62</f>
        <v>122308</v>
      </c>
      <c r="T71" s="147">
        <f>'Reg Amorts'!S62</f>
        <v>123869</v>
      </c>
      <c r="U71" s="147">
        <f>'Reg Amorts'!T62</f>
        <v>126839</v>
      </c>
    </row>
    <row r="72" spans="1:21" ht="12.75" customHeight="1">
      <c r="A72" s="52">
        <v>41</v>
      </c>
      <c r="C72" s="38" t="s">
        <v>55</v>
      </c>
      <c r="F72" s="149" t="s">
        <v>277</v>
      </c>
      <c r="G72" s="149" t="s">
        <v>277</v>
      </c>
      <c r="H72" s="149" t="s">
        <v>277</v>
      </c>
      <c r="I72" s="149" t="s">
        <v>277</v>
      </c>
      <c r="J72" s="149" t="s">
        <v>277</v>
      </c>
      <c r="K72" s="149" t="s">
        <v>277</v>
      </c>
      <c r="L72" s="149" t="s">
        <v>277</v>
      </c>
      <c r="M72" s="149" t="s">
        <v>277</v>
      </c>
      <c r="N72" s="149" t="s">
        <v>277</v>
      </c>
      <c r="O72" s="149" t="s">
        <v>277</v>
      </c>
      <c r="P72" s="149" t="s">
        <v>277</v>
      </c>
      <c r="Q72" s="147">
        <f>'Reg Amorts'!P63</f>
        <v>209101</v>
      </c>
      <c r="R72" s="147">
        <f>'Reg Amorts'!Q63</f>
        <v>221408</v>
      </c>
      <c r="S72" s="147">
        <f>'Reg Amorts'!R63</f>
        <v>236201</v>
      </c>
      <c r="T72" s="147">
        <f>'Reg Amorts'!S63</f>
        <v>252722</v>
      </c>
      <c r="U72" s="147">
        <f>'Reg Amorts'!T63</f>
        <v>268267</v>
      </c>
    </row>
    <row r="73" spans="1:21" ht="12.75" customHeight="1">
      <c r="A73" s="52">
        <v>42</v>
      </c>
      <c r="C73" s="38" t="s">
        <v>54</v>
      </c>
      <c r="F73" s="149" t="s">
        <v>277</v>
      </c>
      <c r="G73" s="149" t="s">
        <v>277</v>
      </c>
      <c r="H73" s="149" t="s">
        <v>277</v>
      </c>
      <c r="I73" s="149" t="s">
        <v>277</v>
      </c>
      <c r="J73" s="149" t="s">
        <v>277</v>
      </c>
      <c r="K73" s="149" t="s">
        <v>277</v>
      </c>
      <c r="L73" s="149" t="s">
        <v>277</v>
      </c>
      <c r="M73" s="686" t="s">
        <v>277</v>
      </c>
      <c r="N73" s="686" t="s">
        <v>277</v>
      </c>
      <c r="O73" s="686" t="s">
        <v>277</v>
      </c>
      <c r="P73" s="686" t="s">
        <v>277</v>
      </c>
      <c r="Q73" s="687">
        <f>'Reg Amorts'!P64</f>
        <v>56694</v>
      </c>
      <c r="R73" s="687">
        <f>'Reg Amorts'!Q64</f>
        <v>61871</v>
      </c>
      <c r="S73" s="687">
        <f>'Reg Amorts'!R64</f>
        <v>58357</v>
      </c>
      <c r="T73" s="687">
        <f>'Reg Amorts'!S64</f>
        <v>65720</v>
      </c>
      <c r="U73" s="687">
        <f>'Reg Amorts'!T64</f>
        <v>70794</v>
      </c>
    </row>
    <row r="74" spans="1:21" ht="12.75" customHeight="1">
      <c r="A74" s="52">
        <v>43</v>
      </c>
      <c r="B74" s="38" t="s">
        <v>142</v>
      </c>
      <c r="F74" s="147">
        <f>'Reg Amorts'!E65--'Reg Amorts'!E106</f>
        <v>354682</v>
      </c>
      <c r="G74" s="147">
        <f>'Reg Amorts'!F65--'Reg Amorts'!F106</f>
        <v>373090</v>
      </c>
      <c r="H74" s="147">
        <f>'Reg Amorts'!G65--'Reg Amorts'!G106</f>
        <v>391351</v>
      </c>
      <c r="I74" s="147">
        <f>'Reg Amorts'!H65--'Reg Amorts'!H106</f>
        <v>422390</v>
      </c>
      <c r="J74" s="147">
        <f>'Reg Amorts'!I65--'Reg Amorts'!I106</f>
        <v>447359</v>
      </c>
      <c r="K74" s="147">
        <f>'Reg Amorts'!J65--'Reg Amorts'!J106</f>
        <v>474906</v>
      </c>
      <c r="L74" s="147">
        <f>'Reg Amorts'!K65--'Reg Amorts'!K106</f>
        <v>506599</v>
      </c>
      <c r="M74" s="147">
        <f>'Reg Amorts'!L65--'Reg Amorts'!L106</f>
        <v>526307</v>
      </c>
      <c r="N74" s="147">
        <f>'Reg Amorts'!M65--'Reg Amorts'!M106</f>
        <v>557426</v>
      </c>
      <c r="O74" s="147">
        <f>'Reg Amorts'!N65--'Reg Amorts'!N106</f>
        <v>585821</v>
      </c>
      <c r="P74" s="147">
        <f>'Reg Amorts'!O65--'Reg Amorts'!O106</f>
        <v>629399</v>
      </c>
      <c r="Q74" s="147">
        <f>SUM(Q69:Q73)</f>
        <v>666983</v>
      </c>
      <c r="R74" s="147">
        <f>SUM(R69:R73)</f>
        <v>704134</v>
      </c>
      <c r="S74" s="147">
        <f>SUM(S69:S73)</f>
        <v>749132</v>
      </c>
      <c r="T74" s="147">
        <f>SUM(T69:T73)</f>
        <v>788084</v>
      </c>
      <c r="U74" s="147">
        <f>SUM(U69:U73)</f>
        <v>823972</v>
      </c>
    </row>
    <row r="75" spans="1:21" ht="12.75" customHeight="1">
      <c r="A75" s="52">
        <v>44</v>
      </c>
      <c r="B75" s="38" t="s">
        <v>143</v>
      </c>
      <c r="F75" s="312">
        <f t="shared" ref="F75:R75" si="30">F67-F74</f>
        <v>754924</v>
      </c>
      <c r="G75" s="312">
        <f t="shared" si="30"/>
        <v>771819</v>
      </c>
      <c r="H75" s="312">
        <f t="shared" si="30"/>
        <v>850869</v>
      </c>
      <c r="I75" s="312">
        <f t="shared" si="30"/>
        <v>856006</v>
      </c>
      <c r="J75" s="312">
        <f t="shared" si="30"/>
        <v>908716</v>
      </c>
      <c r="K75" s="312">
        <f t="shared" si="30"/>
        <v>934058</v>
      </c>
      <c r="L75" s="312">
        <f t="shared" si="30"/>
        <v>994207</v>
      </c>
      <c r="M75" s="312">
        <f t="shared" si="30"/>
        <v>1009868</v>
      </c>
      <c r="N75" s="312">
        <f t="shared" si="30"/>
        <v>1064749</v>
      </c>
      <c r="O75" s="312">
        <f t="shared" si="30"/>
        <v>1150959</v>
      </c>
      <c r="P75" s="312">
        <f t="shared" si="30"/>
        <v>1220889</v>
      </c>
      <c r="Q75" s="312">
        <f>Q67-Q74</f>
        <v>1288304</v>
      </c>
      <c r="R75" s="312">
        <f t="shared" si="30"/>
        <v>1339779</v>
      </c>
      <c r="S75" s="312">
        <f t="shared" ref="S75:T75" si="31">S67-S74</f>
        <v>1416364</v>
      </c>
      <c r="T75" s="312">
        <f t="shared" si="31"/>
        <v>1472270</v>
      </c>
      <c r="U75" s="312">
        <f t="shared" ref="U75" si="32">U67-U74</f>
        <v>1550598</v>
      </c>
    </row>
    <row r="76" spans="1:21">
      <c r="A76" s="52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>
      <c r="A77" s="52">
        <v>45</v>
      </c>
      <c r="B77" s="38" t="s">
        <v>51</v>
      </c>
      <c r="F77" s="42">
        <f>'Reg Amorts'!E68-'Reg Amorts'!E107</f>
        <v>-105775</v>
      </c>
      <c r="G77" s="42">
        <f>'Reg Amorts'!F68-'Reg Amorts'!F107</f>
        <v>-109541</v>
      </c>
      <c r="H77" s="42">
        <f>'Reg Amorts'!G68-'Reg Amorts'!G107</f>
        <v>-111367</v>
      </c>
      <c r="I77" s="42">
        <f>'Reg Amorts'!H68-'Reg Amorts'!H107</f>
        <v>-135404</v>
      </c>
      <c r="J77" s="42">
        <f>'Reg Amorts'!I68-'Reg Amorts'!I107</f>
        <v>-150960</v>
      </c>
      <c r="K77" s="42">
        <f>'Reg Amorts'!J68-'Reg Amorts'!J107</f>
        <v>-134967</v>
      </c>
      <c r="L77" s="42">
        <f>'Reg Amorts'!K68-'Reg Amorts'!K107</f>
        <v>-138495</v>
      </c>
      <c r="M77" s="42">
        <f>'Reg Amorts'!L68-'Reg Amorts'!L107</f>
        <v>-139033</v>
      </c>
      <c r="N77" s="42">
        <f>'Reg Amorts'!M68-'Reg Amorts'!M107</f>
        <v>-147502</v>
      </c>
      <c r="O77" s="42">
        <f>'Reg Amorts'!N68-'Reg Amorts'!N107</f>
        <v>-163716</v>
      </c>
      <c r="P77" s="42">
        <f>'Reg Amorts'!O68-'Reg Amorts'!O107</f>
        <v>-184825</v>
      </c>
      <c r="Q77" s="42">
        <f>'Reg Amorts'!P68</f>
        <v>-201163</v>
      </c>
      <c r="R77" s="42">
        <f>'Reg Amorts'!Q68</f>
        <v>-208209</v>
      </c>
      <c r="S77" s="42">
        <f>'Reg Amorts'!R68</f>
        <v>-221354</v>
      </c>
      <c r="T77" s="42">
        <f>'Reg Amorts'!S68</f>
        <v>-257766</v>
      </c>
      <c r="U77" s="42">
        <f>'Reg Amorts'!T68</f>
        <v>-300583</v>
      </c>
    </row>
    <row r="78" spans="1:21">
      <c r="A78" s="52">
        <v>46</v>
      </c>
      <c r="C78" s="262" t="s">
        <v>291</v>
      </c>
      <c r="D78" s="262"/>
      <c r="E78" s="262"/>
      <c r="F78" s="315">
        <f t="shared" ref="F78:P78" si="33">F75+F77</f>
        <v>649149</v>
      </c>
      <c r="G78" s="315">
        <f t="shared" si="33"/>
        <v>662278</v>
      </c>
      <c r="H78" s="315">
        <f t="shared" si="33"/>
        <v>739502</v>
      </c>
      <c r="I78" s="315">
        <f t="shared" si="33"/>
        <v>720602</v>
      </c>
      <c r="J78" s="315">
        <f t="shared" si="33"/>
        <v>757756</v>
      </c>
      <c r="K78" s="315">
        <f t="shared" si="33"/>
        <v>799091</v>
      </c>
      <c r="L78" s="315">
        <f t="shared" si="33"/>
        <v>855712</v>
      </c>
      <c r="M78" s="315">
        <f t="shared" si="33"/>
        <v>870835</v>
      </c>
      <c r="N78" s="315">
        <f t="shared" si="33"/>
        <v>917247</v>
      </c>
      <c r="O78" s="315">
        <f t="shared" si="33"/>
        <v>987243</v>
      </c>
      <c r="P78" s="315">
        <f t="shared" si="33"/>
        <v>1036064</v>
      </c>
      <c r="Q78" s="315">
        <f>Q75+Q77</f>
        <v>1087141</v>
      </c>
      <c r="R78" s="315">
        <f>R75+R77</f>
        <v>1131570</v>
      </c>
      <c r="S78" s="315">
        <f>S75+S77</f>
        <v>1195010</v>
      </c>
      <c r="T78" s="315">
        <f>T75+T77</f>
        <v>1214504</v>
      </c>
      <c r="U78" s="315">
        <f>U75+U77</f>
        <v>1250015</v>
      </c>
    </row>
    <row r="79" spans="1:21">
      <c r="A79" s="52">
        <v>47</v>
      </c>
      <c r="B79" s="38" t="s">
        <v>145</v>
      </c>
      <c r="F79" s="147">
        <f>'Reg Amorts'!E103</f>
        <v>-80657</v>
      </c>
      <c r="G79" s="147">
        <f>'Reg Amorts'!F103</f>
        <v>-64763</v>
      </c>
      <c r="H79" s="147">
        <f>'Reg Amorts'!G103</f>
        <v>22356</v>
      </c>
      <c r="I79" s="147">
        <f>'Reg Amorts'!H103</f>
        <v>21841</v>
      </c>
      <c r="J79" s="147">
        <f>'Reg Amorts'!I103</f>
        <v>20255</v>
      </c>
      <c r="K79" s="147">
        <f>'Reg Amorts'!J103</f>
        <v>20751</v>
      </c>
      <c r="L79" s="147">
        <f>'Reg Amorts'!K103</f>
        <v>18799</v>
      </c>
      <c r="M79" s="147">
        <f>'Reg Amorts'!L103</f>
        <v>21020</v>
      </c>
      <c r="N79" s="147">
        <f>'Reg Amorts'!M103</f>
        <v>19593</v>
      </c>
      <c r="O79" s="147">
        <f>'Reg Amorts'!N103</f>
        <v>17776</v>
      </c>
      <c r="P79" s="147">
        <f>'Reg Amorts'!O103</f>
        <v>17776</v>
      </c>
      <c r="Q79" s="147">
        <f>'Reg Amorts'!P103</f>
        <v>18845</v>
      </c>
      <c r="R79" s="147">
        <f>'Reg Amorts'!Q103</f>
        <v>16438</v>
      </c>
      <c r="S79" s="147">
        <f>'Reg Amorts'!R103</f>
        <v>14761</v>
      </c>
      <c r="T79" s="147">
        <f>'Reg Amorts'!S103</f>
        <v>10846</v>
      </c>
      <c r="U79" s="147">
        <f>U72+U74+U76+U77</f>
        <v>791656</v>
      </c>
    </row>
    <row r="80" spans="1:21">
      <c r="A80" s="52">
        <v>48</v>
      </c>
      <c r="B80" s="38" t="s">
        <v>52</v>
      </c>
      <c r="F80" s="147">
        <f>'Reg Amorts'!E71</f>
        <v>0</v>
      </c>
      <c r="G80" s="147">
        <f>'Reg Amorts'!F71</f>
        <v>0</v>
      </c>
      <c r="H80" s="147">
        <f>'Reg Amorts'!G71</f>
        <v>0</v>
      </c>
      <c r="I80" s="147">
        <f>'Reg Amorts'!H71</f>
        <v>0</v>
      </c>
      <c r="J80" s="147">
        <f>'Reg Amorts'!I71</f>
        <v>0</v>
      </c>
      <c r="K80" s="147">
        <f>'Reg Amorts'!J71</f>
        <v>0</v>
      </c>
      <c r="L80" s="147">
        <f>'Reg Amorts'!K71</f>
        <v>0</v>
      </c>
      <c r="M80" s="147">
        <f>'Reg Amorts'!L71</f>
        <v>0</v>
      </c>
      <c r="N80" s="147">
        <f>'Reg Amorts'!M71</f>
        <v>0</v>
      </c>
      <c r="O80" s="147">
        <f>'Reg Amorts'!N71</f>
        <v>0</v>
      </c>
      <c r="P80" s="147">
        <f>'Reg Amorts'!O71</f>
        <v>18188</v>
      </c>
      <c r="Q80" s="147">
        <f>'Reg Amorts'!P71+'Reg Amorts'!P111</f>
        <v>31877</v>
      </c>
      <c r="R80" s="147">
        <f>'Reg Amorts'!Q71</f>
        <v>10967</v>
      </c>
      <c r="S80" s="147">
        <f>'Reg Amorts'!R71</f>
        <v>16281</v>
      </c>
      <c r="T80" s="147">
        <f>'Reg Amorts'!S71</f>
        <v>47807</v>
      </c>
      <c r="U80" s="147">
        <f>'Reg Amorts'!T71</f>
        <v>56566</v>
      </c>
    </row>
    <row r="81" spans="1:21" ht="6.75" customHeight="1">
      <c r="A81" s="52"/>
      <c r="G81" s="39"/>
      <c r="H81" s="39"/>
      <c r="I81" s="39"/>
      <c r="J81" s="39"/>
      <c r="L81" s="39"/>
      <c r="M81" s="39"/>
      <c r="N81" s="39"/>
      <c r="O81" s="39"/>
      <c r="P81" s="39"/>
      <c r="Q81" s="147"/>
      <c r="R81" s="147"/>
      <c r="S81" s="147"/>
      <c r="T81" s="147"/>
      <c r="U81" s="147"/>
    </row>
    <row r="82" spans="1:21" ht="12.75" thickBot="1">
      <c r="A82" s="52">
        <v>49</v>
      </c>
      <c r="B82" s="38" t="s">
        <v>50</v>
      </c>
      <c r="F82" s="314">
        <f>'CBR Hist'!F78</f>
        <v>568492</v>
      </c>
      <c r="G82" s="314">
        <f>'CBR Hist'!G78</f>
        <v>597515</v>
      </c>
      <c r="H82" s="314">
        <f>'CBR Hist'!H78</f>
        <v>761858</v>
      </c>
      <c r="I82" s="314">
        <f>'CBR Hist'!I78</f>
        <v>742443</v>
      </c>
      <c r="J82" s="314">
        <f>'CBR Hist'!J78</f>
        <v>778011</v>
      </c>
      <c r="K82" s="314">
        <f>'CBR Hist'!K78</f>
        <v>819842</v>
      </c>
      <c r="L82" s="314">
        <f>'CBR Hist'!L78</f>
        <v>874511</v>
      </c>
      <c r="M82" s="314">
        <f>'CBR Hist'!M78</f>
        <v>891855</v>
      </c>
      <c r="N82" s="314">
        <f>'CBR Hist'!N78</f>
        <v>936840</v>
      </c>
      <c r="O82" s="314">
        <f>'CBR Hist'!O78</f>
        <v>1005019</v>
      </c>
      <c r="P82" s="314">
        <f>'CBR Hist'!P78</f>
        <v>1072028</v>
      </c>
      <c r="Q82" s="314">
        <f>'CBR Hist'!Q78</f>
        <v>1137863</v>
      </c>
      <c r="R82" s="314">
        <f>'CBR Hist'!R78</f>
        <v>1158975</v>
      </c>
      <c r="S82" s="314">
        <f>'CBR Hist'!S78</f>
        <v>1226052</v>
      </c>
      <c r="T82" s="314">
        <f>'CBR Hist'!T78</f>
        <v>1273157</v>
      </c>
      <c r="U82" s="314">
        <f>'CBR Hist'!U78</f>
        <v>1314785</v>
      </c>
    </row>
    <row r="83" spans="1:21" ht="12.75" thickTop="1">
      <c r="A83" s="52"/>
      <c r="F83" s="375">
        <f>F78+F79+F80-F82</f>
        <v>0</v>
      </c>
      <c r="G83" s="375">
        <f t="shared" ref="G83:P83" si="34">G78+G79+G80-G82</f>
        <v>0</v>
      </c>
      <c r="H83" s="375">
        <f t="shared" si="34"/>
        <v>0</v>
      </c>
      <c r="I83" s="375">
        <f t="shared" si="34"/>
        <v>0</v>
      </c>
      <c r="J83" s="375">
        <f t="shared" si="34"/>
        <v>0</v>
      </c>
      <c r="K83" s="375">
        <f t="shared" si="34"/>
        <v>0</v>
      </c>
      <c r="L83" s="375">
        <f t="shared" si="34"/>
        <v>0</v>
      </c>
      <c r="M83" s="375">
        <f t="shared" si="34"/>
        <v>0</v>
      </c>
      <c r="N83" s="375">
        <f t="shared" si="34"/>
        <v>0</v>
      </c>
      <c r="O83" s="375">
        <f t="shared" si="34"/>
        <v>0</v>
      </c>
      <c r="P83" s="375">
        <f t="shared" si="34"/>
        <v>0</v>
      </c>
      <c r="Q83" s="375">
        <f>Q78+Q79+Q80-Q82</f>
        <v>0</v>
      </c>
      <c r="R83" s="375">
        <f t="shared" ref="R83:S83" si="35">R78+R79+R80-R82</f>
        <v>0</v>
      </c>
      <c r="S83" s="375">
        <f t="shared" si="35"/>
        <v>0</v>
      </c>
      <c r="T83" s="375">
        <f>T78+T79+T80-T82</f>
        <v>0</v>
      </c>
      <c r="U83" s="375">
        <f>U78+U79+U80-U82</f>
        <v>783452</v>
      </c>
    </row>
    <row r="84" spans="1:21">
      <c r="A84" s="52"/>
      <c r="C84" s="377" t="s">
        <v>455</v>
      </c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111"/>
      <c r="T84" s="111"/>
      <c r="U84" s="111"/>
    </row>
    <row r="85" spans="1:21">
      <c r="A85" s="387" t="s">
        <v>93</v>
      </c>
      <c r="B85" s="377"/>
      <c r="C85" s="377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111"/>
      <c r="T85" s="111"/>
      <c r="U85" s="111"/>
    </row>
    <row r="86" spans="1:21">
      <c r="A86" s="387" t="s">
        <v>133</v>
      </c>
      <c r="B86" s="377"/>
      <c r="C86" s="377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111"/>
      <c r="T86" s="111"/>
      <c r="U86" s="111"/>
    </row>
    <row r="87" spans="1:21" ht="4.5" customHeight="1">
      <c r="A87" s="52"/>
      <c r="C87" s="377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111"/>
      <c r="T87" s="111"/>
      <c r="U87" s="111"/>
    </row>
    <row r="88" spans="1:21" ht="15.75">
      <c r="A88" s="388" t="str">
        <f>A58</f>
        <v xml:space="preserve">(000'S OF DOLLARS)  </v>
      </c>
      <c r="E88" s="925" t="s">
        <v>470</v>
      </c>
      <c r="F88" s="925"/>
      <c r="G88" s="925"/>
      <c r="H88" s="925"/>
      <c r="I88" s="925"/>
      <c r="J88" s="925"/>
      <c r="K88" s="925"/>
      <c r="L88" s="925"/>
      <c r="M88" s="925"/>
      <c r="N88" s="925"/>
      <c r="O88" s="925"/>
      <c r="P88" s="925"/>
      <c r="Q88" s="925"/>
      <c r="R88" s="925"/>
      <c r="S88" s="111"/>
      <c r="T88" s="535"/>
      <c r="U88" s="535"/>
    </row>
    <row r="89" spans="1:21" ht="3" customHeight="1">
      <c r="A89" s="52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111"/>
      <c r="T89" s="111"/>
      <c r="U89" s="111"/>
    </row>
    <row r="90" spans="1:21" ht="12" customHeight="1">
      <c r="A90" s="52"/>
      <c r="F90" s="145">
        <f>F8</f>
        <v>2000</v>
      </c>
      <c r="G90" s="145">
        <f t="shared" ref="G90:R90" si="36">G8</f>
        <v>2001</v>
      </c>
      <c r="H90" s="145">
        <f t="shared" si="36"/>
        <v>2002</v>
      </c>
      <c r="I90" s="145">
        <f t="shared" si="36"/>
        <v>2003</v>
      </c>
      <c r="J90" s="145">
        <f t="shared" si="36"/>
        <v>2004</v>
      </c>
      <c r="K90" s="145">
        <f t="shared" si="36"/>
        <v>2005</v>
      </c>
      <c r="L90" s="145">
        <f t="shared" si="36"/>
        <v>2006</v>
      </c>
      <c r="M90" s="145">
        <f t="shared" si="36"/>
        <v>2007</v>
      </c>
      <c r="N90" s="145">
        <f t="shared" si="36"/>
        <v>2008</v>
      </c>
      <c r="O90" s="145">
        <f t="shared" si="36"/>
        <v>2009</v>
      </c>
      <c r="P90" s="145">
        <f t="shared" si="36"/>
        <v>2010</v>
      </c>
      <c r="Q90" s="145">
        <f t="shared" si="36"/>
        <v>2011</v>
      </c>
      <c r="R90" s="145">
        <f t="shared" si="36"/>
        <v>2012</v>
      </c>
      <c r="S90" s="145">
        <f t="shared" ref="S90:T90" si="37">S8</f>
        <v>2013</v>
      </c>
      <c r="T90" s="145">
        <f t="shared" si="37"/>
        <v>2014</v>
      </c>
      <c r="U90" s="145">
        <f t="shared" ref="U90" si="38">U8</f>
        <v>9.2014999999999993</v>
      </c>
    </row>
    <row r="91" spans="1:21" ht="25.9" customHeight="1">
      <c r="A91" s="409" t="s">
        <v>472</v>
      </c>
      <c r="D91" s="38" t="s">
        <v>453</v>
      </c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414"/>
      <c r="T91" s="503"/>
      <c r="U91" s="688"/>
    </row>
    <row r="92" spans="1:21" ht="12" customHeight="1">
      <c r="A92" s="52">
        <v>1</v>
      </c>
      <c r="B92" s="38" t="s">
        <v>415</v>
      </c>
      <c r="E92" s="253" t="s">
        <v>431</v>
      </c>
      <c r="F92" s="147">
        <f>F19</f>
        <v>78721</v>
      </c>
      <c r="G92" s="147">
        <f t="shared" ref="G92:R92" si="39">G19</f>
        <v>47157</v>
      </c>
      <c r="H92" s="147">
        <f t="shared" si="39"/>
        <v>101475</v>
      </c>
      <c r="I92" s="147">
        <f t="shared" si="39"/>
        <v>132098</v>
      </c>
      <c r="J92" s="147">
        <f t="shared" si="39"/>
        <v>101545</v>
      </c>
      <c r="K92" s="147">
        <f t="shared" si="39"/>
        <v>105374</v>
      </c>
      <c r="L92" s="147">
        <f t="shared" si="39"/>
        <v>104260</v>
      </c>
      <c r="M92" s="147">
        <f t="shared" si="39"/>
        <v>102890</v>
      </c>
      <c r="N92" s="147">
        <f t="shared" si="39"/>
        <v>117123</v>
      </c>
      <c r="O92" s="147">
        <f t="shared" si="39"/>
        <v>87599</v>
      </c>
      <c r="P92" s="147">
        <f t="shared" si="39"/>
        <v>147107</v>
      </c>
      <c r="Q92" s="147">
        <f t="shared" si="39"/>
        <v>145634</v>
      </c>
      <c r="R92" s="147">
        <f t="shared" si="39"/>
        <v>131795</v>
      </c>
      <c r="S92" s="147">
        <f>S19</f>
        <v>143904</v>
      </c>
      <c r="T92" s="147">
        <f>T19</f>
        <v>120307</v>
      </c>
      <c r="U92" s="147">
        <f>U19</f>
        <v>128239</v>
      </c>
    </row>
    <row r="93" spans="1:21" ht="12" customHeight="1">
      <c r="A93" s="52">
        <v>2</v>
      </c>
      <c r="B93" s="38" t="s">
        <v>416</v>
      </c>
      <c r="E93" s="253" t="s">
        <v>432</v>
      </c>
      <c r="F93" s="147">
        <f>F20</f>
        <v>181189</v>
      </c>
      <c r="G93" s="147">
        <f t="shared" ref="G93:R93" si="40">G20</f>
        <v>132159</v>
      </c>
      <c r="H93" s="147">
        <f t="shared" si="40"/>
        <v>50769</v>
      </c>
      <c r="I93" s="147">
        <f t="shared" si="40"/>
        <v>46591</v>
      </c>
      <c r="J93" s="147">
        <f t="shared" si="40"/>
        <v>51042</v>
      </c>
      <c r="K93" s="147">
        <f t="shared" si="40"/>
        <v>55046</v>
      </c>
      <c r="L93" s="147">
        <f t="shared" si="40"/>
        <v>79146</v>
      </c>
      <c r="M93" s="147">
        <f t="shared" si="40"/>
        <v>65640</v>
      </c>
      <c r="N93" s="147">
        <f t="shared" si="40"/>
        <v>72508</v>
      </c>
      <c r="O93" s="147">
        <f t="shared" si="40"/>
        <v>100437</v>
      </c>
      <c r="P93" s="147">
        <f t="shared" si="40"/>
        <v>142197</v>
      </c>
      <c r="Q93" s="147">
        <f t="shared" si="40"/>
        <v>91142</v>
      </c>
      <c r="R93" s="147">
        <f t="shared" si="40"/>
        <v>101283</v>
      </c>
      <c r="S93" s="147">
        <f t="shared" ref="S93:T93" si="41">S20</f>
        <v>109034</v>
      </c>
      <c r="T93" s="147">
        <f t="shared" si="41"/>
        <v>116643</v>
      </c>
      <c r="U93" s="147">
        <f t="shared" ref="U93" si="42">U20</f>
        <v>96496</v>
      </c>
    </row>
    <row r="94" spans="1:21" ht="12" customHeight="1">
      <c r="A94" s="52">
        <v>3</v>
      </c>
      <c r="B94" s="38" t="s">
        <v>417</v>
      </c>
      <c r="E94" s="253" t="s">
        <v>433</v>
      </c>
      <c r="F94" s="147">
        <f>F27</f>
        <v>9418</v>
      </c>
      <c r="G94" s="147">
        <f t="shared" ref="G94:R94" si="43">G27</f>
        <v>10560</v>
      </c>
      <c r="H94" s="147">
        <f t="shared" si="43"/>
        <v>9631</v>
      </c>
      <c r="I94" s="147">
        <f t="shared" si="43"/>
        <v>10171</v>
      </c>
      <c r="J94" s="147">
        <f t="shared" si="43"/>
        <v>12016</v>
      </c>
      <c r="K94" s="147">
        <f t="shared" si="43"/>
        <v>14263</v>
      </c>
      <c r="L94" s="147">
        <f t="shared" si="43"/>
        <v>15485</v>
      </c>
      <c r="M94" s="147">
        <f t="shared" si="43"/>
        <v>14563</v>
      </c>
      <c r="N94" s="147">
        <f t="shared" si="43"/>
        <v>17329</v>
      </c>
      <c r="O94" s="147">
        <f t="shared" si="43"/>
        <v>17267</v>
      </c>
      <c r="P94" s="147">
        <f t="shared" si="43"/>
        <v>18354</v>
      </c>
      <c r="Q94" s="147">
        <f t="shared" si="43"/>
        <v>19081</v>
      </c>
      <c r="R94" s="147">
        <f t="shared" si="43"/>
        <v>21152</v>
      </c>
      <c r="S94" s="147">
        <f t="shared" ref="S94:T94" si="44">S27</f>
        <v>20878</v>
      </c>
      <c r="T94" s="147">
        <f t="shared" si="44"/>
        <v>21299</v>
      </c>
      <c r="U94" s="147">
        <f t="shared" ref="U94" si="45">U27</f>
        <v>22960</v>
      </c>
    </row>
    <row r="95" spans="1:21" ht="12" customHeight="1">
      <c r="A95" s="52">
        <v>4</v>
      </c>
      <c r="B95" s="38" t="s">
        <v>418</v>
      </c>
      <c r="E95" s="253" t="s">
        <v>434</v>
      </c>
      <c r="F95" s="147">
        <f>F32</f>
        <v>5768</v>
      </c>
      <c r="G95" s="147">
        <f t="shared" ref="G95:R95" si="46">G32</f>
        <v>6196</v>
      </c>
      <c r="H95" s="147">
        <f t="shared" si="46"/>
        <v>7113</v>
      </c>
      <c r="I95" s="147">
        <f t="shared" si="46"/>
        <v>7129</v>
      </c>
      <c r="J95" s="147">
        <f t="shared" si="46"/>
        <v>7352</v>
      </c>
      <c r="K95" s="147">
        <f t="shared" si="46"/>
        <v>7156</v>
      </c>
      <c r="L95" s="147">
        <f t="shared" si="46"/>
        <v>7097</v>
      </c>
      <c r="M95" s="147">
        <f t="shared" si="46"/>
        <v>7514</v>
      </c>
      <c r="N95" s="147">
        <f t="shared" si="46"/>
        <v>7919</v>
      </c>
      <c r="O95" s="147">
        <f t="shared" si="46"/>
        <v>9646</v>
      </c>
      <c r="P95" s="147">
        <f t="shared" si="46"/>
        <v>9261</v>
      </c>
      <c r="Q95" s="147">
        <f t="shared" si="46"/>
        <v>10274.701588</v>
      </c>
      <c r="R95" s="147">
        <f t="shared" si="46"/>
        <v>10335.791302</v>
      </c>
      <c r="S95" s="147">
        <f t="shared" ref="S95:T95" si="47">S32</f>
        <v>11334</v>
      </c>
      <c r="T95" s="147">
        <f t="shared" si="47"/>
        <v>11166</v>
      </c>
      <c r="U95" s="147">
        <f t="shared" ref="U95" si="48">U32</f>
        <v>11631</v>
      </c>
    </row>
    <row r="96" spans="1:21" ht="12" customHeight="1">
      <c r="A96" s="52">
        <v>5</v>
      </c>
      <c r="B96" s="38" t="s">
        <v>419</v>
      </c>
      <c r="E96" s="253" t="s">
        <v>435</v>
      </c>
      <c r="F96" s="147">
        <f>F33</f>
        <v>5704</v>
      </c>
      <c r="G96" s="147">
        <f t="shared" ref="G96:R96" si="49">G33</f>
        <v>5381</v>
      </c>
      <c r="H96" s="147">
        <f t="shared" si="49"/>
        <v>6261</v>
      </c>
      <c r="I96" s="147">
        <f t="shared" si="49"/>
        <v>6620</v>
      </c>
      <c r="J96" s="147">
        <f t="shared" si="49"/>
        <v>266</v>
      </c>
      <c r="K96" s="147">
        <f t="shared" si="49"/>
        <v>7127</v>
      </c>
      <c r="L96" s="147">
        <f t="shared" si="49"/>
        <v>1159</v>
      </c>
      <c r="M96" s="147">
        <f t="shared" si="49"/>
        <v>7472</v>
      </c>
      <c r="N96" s="147">
        <f t="shared" si="49"/>
        <v>12847</v>
      </c>
      <c r="O96" s="147">
        <f t="shared" si="49"/>
        <v>19736</v>
      </c>
      <c r="P96" s="147">
        <f t="shared" si="49"/>
        <v>20832</v>
      </c>
      <c r="Q96" s="147">
        <f t="shared" si="49"/>
        <v>21292</v>
      </c>
      <c r="R96" s="147">
        <f t="shared" si="49"/>
        <v>18487</v>
      </c>
      <c r="S96" s="147">
        <f t="shared" ref="S96:T96" si="50">S33</f>
        <v>1516</v>
      </c>
      <c r="T96" s="147">
        <f t="shared" si="50"/>
        <v>1383</v>
      </c>
      <c r="U96" s="147">
        <f t="shared" ref="U96" si="51">U33</f>
        <v>1519</v>
      </c>
    </row>
    <row r="97" spans="1:21" ht="12" customHeight="1">
      <c r="A97" s="52">
        <v>6</v>
      </c>
      <c r="B97" s="38" t="s">
        <v>420</v>
      </c>
      <c r="E97" s="253" t="s">
        <v>436</v>
      </c>
      <c r="F97" s="147">
        <f>F34</f>
        <v>1071</v>
      </c>
      <c r="G97" s="147">
        <f t="shared" ref="G97:R97" si="52">G34</f>
        <v>734</v>
      </c>
      <c r="H97" s="147">
        <f t="shared" si="52"/>
        <v>628</v>
      </c>
      <c r="I97" s="147">
        <f t="shared" si="52"/>
        <v>734</v>
      </c>
      <c r="J97" s="147">
        <f t="shared" si="52"/>
        <v>686</v>
      </c>
      <c r="K97" s="147">
        <f t="shared" si="52"/>
        <v>430</v>
      </c>
      <c r="L97" s="147">
        <f t="shared" si="52"/>
        <v>657</v>
      </c>
      <c r="M97" s="147">
        <f t="shared" si="52"/>
        <v>682</v>
      </c>
      <c r="N97" s="147">
        <f t="shared" si="52"/>
        <v>571</v>
      </c>
      <c r="O97" s="147">
        <f t="shared" si="52"/>
        <v>660</v>
      </c>
      <c r="P97" s="147">
        <f t="shared" si="52"/>
        <v>176</v>
      </c>
      <c r="Q97" s="147">
        <f t="shared" si="52"/>
        <v>4</v>
      </c>
      <c r="R97" s="147">
        <f t="shared" si="52"/>
        <v>5</v>
      </c>
      <c r="S97" s="147">
        <f t="shared" ref="S97:T97" si="53">S34</f>
        <v>5</v>
      </c>
      <c r="T97" s="147">
        <f t="shared" si="53"/>
        <v>0</v>
      </c>
      <c r="U97" s="147">
        <f t="shared" ref="U97" si="54">U34</f>
        <v>0</v>
      </c>
    </row>
    <row r="98" spans="1:21" ht="12" customHeight="1">
      <c r="A98" s="52">
        <v>7</v>
      </c>
      <c r="B98" s="38" t="s">
        <v>421</v>
      </c>
      <c r="E98" s="253" t="s">
        <v>437</v>
      </c>
      <c r="F98" s="147">
        <f>F37</f>
        <v>30350</v>
      </c>
      <c r="G98" s="147">
        <f t="shared" ref="G98:R98" si="55">G37</f>
        <v>25102</v>
      </c>
      <c r="H98" s="147">
        <f t="shared" si="55"/>
        <v>30304</v>
      </c>
      <c r="I98" s="147">
        <f t="shared" si="55"/>
        <v>30153</v>
      </c>
      <c r="J98" s="147">
        <f t="shared" si="55"/>
        <v>31927</v>
      </c>
      <c r="K98" s="147">
        <f t="shared" si="55"/>
        <v>33143</v>
      </c>
      <c r="L98" s="147">
        <f t="shared" si="55"/>
        <v>33148</v>
      </c>
      <c r="M98" s="147">
        <f t="shared" si="55"/>
        <v>35844</v>
      </c>
      <c r="N98" s="147">
        <f t="shared" si="55"/>
        <v>35982</v>
      </c>
      <c r="O98" s="147">
        <f t="shared" si="55"/>
        <v>38461</v>
      </c>
      <c r="P98" s="147">
        <f t="shared" si="55"/>
        <v>44662</v>
      </c>
      <c r="Q98" s="147">
        <f t="shared" si="55"/>
        <v>44779.252</v>
      </c>
      <c r="R98" s="147">
        <f t="shared" si="55"/>
        <v>49333.396000000001</v>
      </c>
      <c r="S98" s="147">
        <f t="shared" ref="S98:T98" si="56">S37</f>
        <v>43310</v>
      </c>
      <c r="T98" s="147">
        <f t="shared" si="56"/>
        <v>46210</v>
      </c>
      <c r="U98" s="147">
        <f t="shared" ref="U98" si="57">U37</f>
        <v>49261</v>
      </c>
    </row>
    <row r="99" spans="1:21" ht="12" customHeight="1">
      <c r="A99" s="52">
        <v>8</v>
      </c>
      <c r="B99" s="82" t="s">
        <v>422</v>
      </c>
      <c r="C99" s="52"/>
      <c r="D99" s="52"/>
      <c r="E99" s="52"/>
      <c r="F99" s="312">
        <f>SUM(F92:F98)</f>
        <v>312221</v>
      </c>
      <c r="G99" s="312">
        <f t="shared" ref="G99:R99" si="58">SUM(G92:G98)</f>
        <v>227289</v>
      </c>
      <c r="H99" s="312">
        <f t="shared" si="58"/>
        <v>206181</v>
      </c>
      <c r="I99" s="312">
        <f t="shared" si="58"/>
        <v>233496</v>
      </c>
      <c r="J99" s="312">
        <f t="shared" si="58"/>
        <v>204834</v>
      </c>
      <c r="K99" s="312">
        <f t="shared" si="58"/>
        <v>222539</v>
      </c>
      <c r="L99" s="312">
        <f t="shared" si="58"/>
        <v>240952</v>
      </c>
      <c r="M99" s="312">
        <f t="shared" si="58"/>
        <v>234605</v>
      </c>
      <c r="N99" s="312">
        <f t="shared" si="58"/>
        <v>264279</v>
      </c>
      <c r="O99" s="312">
        <f t="shared" si="58"/>
        <v>273806</v>
      </c>
      <c r="P99" s="312">
        <f t="shared" si="58"/>
        <v>382589</v>
      </c>
      <c r="Q99" s="312">
        <f t="shared" si="58"/>
        <v>332206.95358799997</v>
      </c>
      <c r="R99" s="312">
        <f t="shared" si="58"/>
        <v>332391.18730200001</v>
      </c>
      <c r="S99" s="312">
        <f t="shared" ref="S99:T99" si="59">SUM(S92:S98)</f>
        <v>329981</v>
      </c>
      <c r="T99" s="312">
        <f t="shared" si="59"/>
        <v>317008</v>
      </c>
      <c r="U99" s="312">
        <f t="shared" ref="U99" si="60">SUM(U92:U98)</f>
        <v>310106</v>
      </c>
    </row>
    <row r="100" spans="1:21">
      <c r="A100" s="52">
        <v>9</v>
      </c>
      <c r="B100" s="52"/>
      <c r="C100" s="82" t="s">
        <v>414</v>
      </c>
      <c r="D100" s="52"/>
      <c r="E100" s="52"/>
      <c r="F100" s="147">
        <f>-'PS Consolidated'!E29</f>
        <v>-234785.2591</v>
      </c>
      <c r="G100" s="147">
        <f>-'PS Consolidated'!F29</f>
        <v>-156185</v>
      </c>
      <c r="H100" s="147">
        <f>-'PS Consolidated'!G29</f>
        <v>-124379</v>
      </c>
      <c r="I100" s="147">
        <f>-'PS Consolidated'!H29</f>
        <v>-154282</v>
      </c>
      <c r="J100" s="147">
        <f>-'PS Consolidated'!I29</f>
        <v>-122799</v>
      </c>
      <c r="K100" s="147">
        <f>-'PS Consolidated'!J29</f>
        <v>-133120.12169999999</v>
      </c>
      <c r="L100" s="147">
        <f>-'PS Consolidated'!K29</f>
        <v>-152124</v>
      </c>
      <c r="M100" s="147">
        <f>-'PS Consolidated'!L29</f>
        <v>-135719</v>
      </c>
      <c r="N100" s="147">
        <f>-'PS Consolidated'!M29</f>
        <v>-152984</v>
      </c>
      <c r="O100" s="147">
        <f>-'PS Consolidated'!N29</f>
        <v>-146538.0865</v>
      </c>
      <c r="P100" s="147">
        <f>-'PS Consolidated'!O29</f>
        <v>-249368.62319999994</v>
      </c>
      <c r="Q100" s="147">
        <f>-'PS Consolidated'!P29</f>
        <v>-188583.39639999997</v>
      </c>
      <c r="R100" s="147">
        <f>-'PS Consolidated'!Q29</f>
        <v>-180833.76630000002</v>
      </c>
      <c r="S100" s="147">
        <f>-'PS Consolidated'!R29</f>
        <v>-201471</v>
      </c>
      <c r="T100" s="147">
        <f>-'PS Consolidated'!S29</f>
        <v>-186117</v>
      </c>
      <c r="U100" s="147">
        <f>-'PS Consolidated'!T29</f>
        <v>-177522</v>
      </c>
    </row>
    <row r="101" spans="1:21">
      <c r="A101" s="52">
        <v>10</v>
      </c>
      <c r="B101" s="52"/>
      <c r="C101" s="82" t="s">
        <v>411</v>
      </c>
      <c r="D101" s="52"/>
      <c r="E101" s="52"/>
      <c r="F101" s="147">
        <f>SUM(DSM!I34:I39)</f>
        <v>-3471.3606724107085</v>
      </c>
      <c r="G101" s="147">
        <f>SUM(DSM!J34:J39)</f>
        <v>-5115.7955422050345</v>
      </c>
      <c r="H101" s="147">
        <f>SUM(DSM!K34:K39)</f>
        <v>-6113.9503681378264</v>
      </c>
      <c r="I101" s="147">
        <f>SUM(DSM!L34:L39)</f>
        <v>-6180.4940232000126</v>
      </c>
      <c r="J101" s="147">
        <v>0</v>
      </c>
      <c r="K101" s="147">
        <f>SUM(DSM!N34:N39)</f>
        <v>-6651.8503863469796</v>
      </c>
      <c r="L101" s="147">
        <v>0</v>
      </c>
      <c r="M101" s="147">
        <f>SUM(DSM!P34:P39)</f>
        <v>-6711.241907653648</v>
      </c>
      <c r="N101" s="147">
        <f>SUM(DSM!Q34:Q39)</f>
        <v>-12172.241960004189</v>
      </c>
      <c r="O101" s="147">
        <f>SUM(DSM!R34:R39)</f>
        <v>-19005.286818134227</v>
      </c>
      <c r="P101" s="147">
        <f>SUM(DSM!S34:S39)</f>
        <v>-19612.288298607476</v>
      </c>
      <c r="Q101" s="147">
        <f>SUM(DSM!T34:T39)</f>
        <v>-20235.39595435033</v>
      </c>
      <c r="R101" s="147">
        <f>SUM(DSM!U34:U39)</f>
        <v>-17018.187444246676</v>
      </c>
      <c r="S101" s="147">
        <f>SUM(DSM!V34:V39)</f>
        <v>0</v>
      </c>
      <c r="T101" s="147">
        <f>SUM(DSM!W34:W39)</f>
        <v>0</v>
      </c>
      <c r="U101" s="147">
        <f>SUM(DSM!X34:X39)</f>
        <v>0</v>
      </c>
    </row>
    <row r="102" spans="1:21">
      <c r="A102" s="52">
        <v>11</v>
      </c>
      <c r="B102" s="52"/>
      <c r="C102" s="82" t="s">
        <v>412</v>
      </c>
      <c r="D102" s="52"/>
      <c r="E102" s="52"/>
      <c r="F102" s="147">
        <f>SUM(ResX!I34:I39)</f>
        <v>137.09992204584259</v>
      </c>
      <c r="G102" s="147">
        <f>SUM(ResX!J34:J39)</f>
        <v>11.663872243265626</v>
      </c>
      <c r="H102" s="147">
        <f>SUM(ResX!K34:K39)</f>
        <v>61.877830714273578</v>
      </c>
      <c r="I102" s="147">
        <f>SUM(ResX!L34:L39)</f>
        <v>52.215597563602266</v>
      </c>
      <c r="J102" s="147">
        <v>0</v>
      </c>
      <c r="K102" s="147">
        <f>SUM(ResX!N34:N39)</f>
        <v>62.298339440896243</v>
      </c>
      <c r="L102" s="147">
        <v>0</v>
      </c>
      <c r="M102" s="147">
        <f>SUM(ResX!P34:P39)</f>
        <v>37.041897183540996</v>
      </c>
      <c r="N102" s="147">
        <f>SUM(ResX!Q34:Q39)</f>
        <v>23.730172756779396</v>
      </c>
      <c r="O102" s="147">
        <f>SUM(ResX!R34:R39)</f>
        <v>26.576997173070886</v>
      </c>
      <c r="P102" s="147">
        <f>SUM(ResX!S34:S39)</f>
        <v>41.434898963459318</v>
      </c>
      <c r="Q102" s="147">
        <f>SUM(ResX!T34:T39)</f>
        <v>30.591749555020414</v>
      </c>
      <c r="R102" s="147">
        <f>SUM(ResX!U34:U39)</f>
        <v>55.257591875196319</v>
      </c>
      <c r="S102" s="147">
        <f>SUM(ResX!V34:V39)</f>
        <v>0</v>
      </c>
      <c r="T102" s="147">
        <f>SUM(ResX!W34:W39)</f>
        <v>0</v>
      </c>
      <c r="U102" s="147">
        <f>SUM(ResX!X34:X39)</f>
        <v>0</v>
      </c>
    </row>
    <row r="103" spans="1:21" ht="1.5" customHeight="1">
      <c r="A103" s="52"/>
      <c r="B103" s="52"/>
      <c r="C103" s="82"/>
      <c r="D103" s="52"/>
      <c r="E103" s="52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1" ht="12.75" thickBot="1">
      <c r="A104" s="52">
        <v>12</v>
      </c>
      <c r="B104" s="372" t="s">
        <v>413</v>
      </c>
      <c r="C104" s="52"/>
      <c r="D104" s="52"/>
      <c r="E104" s="52"/>
      <c r="F104" s="370">
        <f>SUM(F99:F102)</f>
        <v>74101.480149635143</v>
      </c>
      <c r="G104" s="370">
        <f t="shared" ref="G104:T104" si="61">SUM(G99:G103)</f>
        <v>65999.86833003824</v>
      </c>
      <c r="H104" s="370">
        <f t="shared" si="61"/>
        <v>75749.927462576452</v>
      </c>
      <c r="I104" s="370">
        <f t="shared" si="61"/>
        <v>73085.72157436359</v>
      </c>
      <c r="J104" s="370">
        <f t="shared" si="61"/>
        <v>82035</v>
      </c>
      <c r="K104" s="370">
        <f t="shared" si="61"/>
        <v>82829.326253093925</v>
      </c>
      <c r="L104" s="370">
        <f t="shared" si="61"/>
        <v>88828</v>
      </c>
      <c r="M104" s="370">
        <f t="shared" si="61"/>
        <v>92211.7999895299</v>
      </c>
      <c r="N104" s="370">
        <f t="shared" si="61"/>
        <v>99146.488212752593</v>
      </c>
      <c r="O104" s="370">
        <f t="shared" si="61"/>
        <v>108289.20367903885</v>
      </c>
      <c r="P104" s="370">
        <f t="shared" si="61"/>
        <v>113649.52340035603</v>
      </c>
      <c r="Q104" s="370">
        <f t="shared" si="61"/>
        <v>123418.7529832047</v>
      </c>
      <c r="R104" s="370">
        <f t="shared" si="61"/>
        <v>134594.49114962851</v>
      </c>
      <c r="S104" s="370">
        <f t="shared" si="61"/>
        <v>128510</v>
      </c>
      <c r="T104" s="370">
        <f t="shared" si="61"/>
        <v>130891</v>
      </c>
      <c r="U104" s="370">
        <f t="shared" ref="U104" si="62">SUM(U99:U103)</f>
        <v>132584</v>
      </c>
    </row>
    <row r="105" spans="1:21" ht="12.75" thickTop="1">
      <c r="A105" s="52"/>
      <c r="B105" s="52"/>
      <c r="C105" s="52"/>
      <c r="D105" s="52"/>
      <c r="E105" s="52"/>
      <c r="F105" s="147"/>
      <c r="G105" s="371"/>
      <c r="H105" s="371"/>
      <c r="I105" s="371"/>
      <c r="J105" s="371"/>
      <c r="K105" s="371"/>
      <c r="L105" s="371">
        <f t="shared" ref="L105:U105" si="63">(L104-K104)/K104</f>
        <v>7.242209997672179E-2</v>
      </c>
      <c r="M105" s="371">
        <f t="shared" si="63"/>
        <v>3.809384416546472E-2</v>
      </c>
      <c r="N105" s="371">
        <f t="shared" si="63"/>
        <v>7.5203913425506114E-2</v>
      </c>
      <c r="O105" s="371">
        <f t="shared" si="63"/>
        <v>9.2214213847569129E-2</v>
      </c>
      <c r="P105" s="371">
        <f t="shared" si="63"/>
        <v>4.9500038223614332E-2</v>
      </c>
      <c r="Q105" s="371">
        <f t="shared" si="63"/>
        <v>8.595926573694776E-2</v>
      </c>
      <c r="R105" s="371">
        <f t="shared" si="63"/>
        <v>9.0551378103331207E-2</v>
      </c>
      <c r="S105" s="371">
        <f t="shared" si="63"/>
        <v>-4.5206093486132248E-2</v>
      </c>
      <c r="T105" s="371">
        <f t="shared" si="63"/>
        <v>1.8527741031826316E-2</v>
      </c>
      <c r="U105" s="371">
        <f t="shared" si="63"/>
        <v>1.2934426354753191E-2</v>
      </c>
    </row>
    <row r="106" spans="1:21" ht="5.25" customHeight="1">
      <c r="A106" s="52"/>
      <c r="B106" s="52"/>
      <c r="C106" s="52"/>
      <c r="D106" s="52"/>
      <c r="E106" s="52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1">
      <c r="A107" s="52"/>
      <c r="B107" s="52"/>
      <c r="C107" s="52"/>
      <c r="D107" s="82" t="s">
        <v>138</v>
      </c>
      <c r="E107" s="52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>
      <c r="A108" s="52">
        <v>13</v>
      </c>
      <c r="B108" s="82" t="s">
        <v>415</v>
      </c>
      <c r="C108" s="52"/>
      <c r="D108" s="52"/>
      <c r="E108" s="253" t="s">
        <v>438</v>
      </c>
      <c r="F108" s="147">
        <f>F21</f>
        <v>14850</v>
      </c>
      <c r="G108" s="147">
        <f t="shared" ref="G108:R108" si="64">G21</f>
        <v>15202</v>
      </c>
      <c r="H108" s="147">
        <f t="shared" si="64"/>
        <v>20157</v>
      </c>
      <c r="I108" s="147">
        <f t="shared" si="64"/>
        <v>20523</v>
      </c>
      <c r="J108" s="147">
        <f t="shared" si="64"/>
        <v>22312</v>
      </c>
      <c r="K108" s="147">
        <f t="shared" si="64"/>
        <v>22629</v>
      </c>
      <c r="L108" s="147">
        <f t="shared" si="64"/>
        <v>24577</v>
      </c>
      <c r="M108" s="147">
        <f t="shared" si="64"/>
        <v>24877</v>
      </c>
      <c r="N108" s="147">
        <f t="shared" si="64"/>
        <v>23076</v>
      </c>
      <c r="O108" s="147">
        <f t="shared" si="64"/>
        <v>23969</v>
      </c>
      <c r="P108" s="147">
        <f t="shared" si="64"/>
        <v>25008</v>
      </c>
      <c r="Q108" s="147">
        <f t="shared" si="64"/>
        <v>25158</v>
      </c>
      <c r="R108" s="147">
        <f t="shared" si="64"/>
        <v>25680</v>
      </c>
      <c r="S108" s="147">
        <f t="shared" ref="S108:T108" si="65">S21</f>
        <v>23284</v>
      </c>
      <c r="T108" s="147">
        <f t="shared" si="65"/>
        <v>23715</v>
      </c>
      <c r="U108" s="147">
        <f t="shared" ref="U108" si="66">U21</f>
        <v>24379</v>
      </c>
    </row>
    <row r="109" spans="1:21">
      <c r="A109" s="52">
        <v>14</v>
      </c>
      <c r="B109" s="82" t="s">
        <v>417</v>
      </c>
      <c r="C109" s="52"/>
      <c r="D109" s="52"/>
      <c r="E109" s="253" t="s">
        <v>439</v>
      </c>
      <c r="F109" s="147">
        <f>F28</f>
        <v>9056</v>
      </c>
      <c r="G109" s="147">
        <f t="shared" ref="G109:R109" si="67">G28</f>
        <v>9178</v>
      </c>
      <c r="H109" s="147">
        <f t="shared" si="67"/>
        <v>9427</v>
      </c>
      <c r="I109" s="147">
        <f t="shared" si="67"/>
        <v>9752</v>
      </c>
      <c r="J109" s="147">
        <f t="shared" si="67"/>
        <v>10067</v>
      </c>
      <c r="K109" s="147">
        <f t="shared" si="67"/>
        <v>10399</v>
      </c>
      <c r="L109" s="147">
        <f t="shared" si="67"/>
        <v>10776</v>
      </c>
      <c r="M109" s="147">
        <f t="shared" si="67"/>
        <v>11333</v>
      </c>
      <c r="N109" s="147">
        <f t="shared" si="67"/>
        <v>15611</v>
      </c>
      <c r="O109" s="147">
        <f t="shared" si="67"/>
        <v>16809</v>
      </c>
      <c r="P109" s="147">
        <f t="shared" si="67"/>
        <v>17985</v>
      </c>
      <c r="Q109" s="147">
        <f t="shared" si="67"/>
        <v>19240</v>
      </c>
      <c r="R109" s="147">
        <f t="shared" si="67"/>
        <v>20749</v>
      </c>
      <c r="S109" s="147">
        <f t="shared" ref="S109:T109" si="68">S28</f>
        <v>22303</v>
      </c>
      <c r="T109" s="147">
        <f t="shared" si="68"/>
        <v>23794</v>
      </c>
      <c r="U109" s="147">
        <f t="shared" ref="U109" si="69">U28</f>
        <v>24945</v>
      </c>
    </row>
    <row r="110" spans="1:21">
      <c r="A110" s="52">
        <v>15</v>
      </c>
      <c r="B110" s="38" t="s">
        <v>421</v>
      </c>
      <c r="C110" s="52"/>
      <c r="D110" s="52"/>
      <c r="E110" s="253" t="s">
        <v>440</v>
      </c>
      <c r="F110" s="147">
        <f>F38</f>
        <v>3998</v>
      </c>
      <c r="G110" s="147">
        <f t="shared" ref="G110:R110" si="70">G38</f>
        <v>4414</v>
      </c>
      <c r="H110" s="147">
        <f t="shared" si="70"/>
        <v>6606</v>
      </c>
      <c r="I110" s="147">
        <f t="shared" si="70"/>
        <v>6659</v>
      </c>
      <c r="J110" s="147">
        <f t="shared" si="70"/>
        <v>6072</v>
      </c>
      <c r="K110" s="147">
        <f t="shared" si="70"/>
        <v>6537</v>
      </c>
      <c r="L110" s="147">
        <f t="shared" si="70"/>
        <v>6459</v>
      </c>
      <c r="M110" s="147">
        <f t="shared" si="70"/>
        <v>6739</v>
      </c>
      <c r="N110" s="147">
        <f t="shared" si="70"/>
        <v>7187</v>
      </c>
      <c r="O110" s="147">
        <f t="shared" si="70"/>
        <v>7688</v>
      </c>
      <c r="P110" s="147">
        <f t="shared" si="70"/>
        <v>9277</v>
      </c>
      <c r="Q110" s="147">
        <f t="shared" si="70"/>
        <v>10906</v>
      </c>
      <c r="R110" s="147">
        <f t="shared" si="70"/>
        <v>12517</v>
      </c>
      <c r="S110" s="147">
        <f t="shared" ref="S110:T110" si="71">S38</f>
        <v>14721</v>
      </c>
      <c r="T110" s="147">
        <f t="shared" si="71"/>
        <v>16947</v>
      </c>
      <c r="U110" s="147">
        <f t="shared" ref="U110" si="72">U38</f>
        <v>20268</v>
      </c>
    </row>
    <row r="111" spans="1:21" ht="12.75" thickBot="1">
      <c r="A111" s="52">
        <v>16</v>
      </c>
      <c r="B111" s="372" t="s">
        <v>423</v>
      </c>
      <c r="C111" s="52"/>
      <c r="D111" s="52"/>
      <c r="E111" s="52"/>
      <c r="F111" s="370">
        <f>SUM(F108:F110)</f>
        <v>27904</v>
      </c>
      <c r="G111" s="370">
        <f t="shared" ref="G111:R111" si="73">SUM(G108:G110)</f>
        <v>28794</v>
      </c>
      <c r="H111" s="370">
        <f t="shared" si="73"/>
        <v>36190</v>
      </c>
      <c r="I111" s="370">
        <f t="shared" si="73"/>
        <v>36934</v>
      </c>
      <c r="J111" s="370">
        <f t="shared" si="73"/>
        <v>38451</v>
      </c>
      <c r="K111" s="370">
        <f t="shared" si="73"/>
        <v>39565</v>
      </c>
      <c r="L111" s="370">
        <f t="shared" si="73"/>
        <v>41812</v>
      </c>
      <c r="M111" s="370">
        <f t="shared" si="73"/>
        <v>42949</v>
      </c>
      <c r="N111" s="370">
        <f t="shared" si="73"/>
        <v>45874</v>
      </c>
      <c r="O111" s="370">
        <f t="shared" si="73"/>
        <v>48466</v>
      </c>
      <c r="P111" s="370">
        <f t="shared" si="73"/>
        <v>52270</v>
      </c>
      <c r="Q111" s="370">
        <f t="shared" si="73"/>
        <v>55304</v>
      </c>
      <c r="R111" s="370">
        <f t="shared" si="73"/>
        <v>58946</v>
      </c>
      <c r="S111" s="370">
        <f t="shared" ref="S111:T111" si="74">SUM(S108:S110)</f>
        <v>60308</v>
      </c>
      <c r="T111" s="370">
        <f t="shared" si="74"/>
        <v>64456</v>
      </c>
      <c r="U111" s="370">
        <f t="shared" ref="U111" si="75">SUM(U108:U110)</f>
        <v>69592</v>
      </c>
    </row>
    <row r="112" spans="1:21" ht="12.75" thickTop="1">
      <c r="A112" s="52"/>
      <c r="B112" s="52"/>
      <c r="C112" s="52"/>
      <c r="D112" s="52"/>
      <c r="E112" s="52"/>
      <c r="F112" s="147"/>
      <c r="G112" s="371">
        <f>(G111-F111)/F111</f>
        <v>3.1895068807339451E-2</v>
      </c>
      <c r="H112" s="371">
        <f t="shared" ref="H112:U112" si="76">(H111-G111)/G111</f>
        <v>0.25685906786135998</v>
      </c>
      <c r="I112" s="371">
        <f t="shared" si="76"/>
        <v>2.0558165239016303E-2</v>
      </c>
      <c r="J112" s="371">
        <f t="shared" si="76"/>
        <v>4.1073265825526617E-2</v>
      </c>
      <c r="K112" s="371">
        <f t="shared" si="76"/>
        <v>2.8971938311097241E-2</v>
      </c>
      <c r="L112" s="371">
        <f t="shared" si="76"/>
        <v>5.6792619739668898E-2</v>
      </c>
      <c r="M112" s="371">
        <f t="shared" si="76"/>
        <v>2.7193150291782264E-2</v>
      </c>
      <c r="N112" s="371">
        <f t="shared" si="76"/>
        <v>6.8104030361591655E-2</v>
      </c>
      <c r="O112" s="371">
        <f t="shared" si="76"/>
        <v>5.6502594061995905E-2</v>
      </c>
      <c r="P112" s="371">
        <f t="shared" si="76"/>
        <v>7.8488012214748479E-2</v>
      </c>
      <c r="Q112" s="371">
        <f t="shared" si="76"/>
        <v>5.8044767553089724E-2</v>
      </c>
      <c r="R112" s="371">
        <f t="shared" si="76"/>
        <v>6.5854187762187183E-2</v>
      </c>
      <c r="S112" s="371">
        <f t="shared" si="76"/>
        <v>2.3105893529671226E-2</v>
      </c>
      <c r="T112" s="371">
        <f t="shared" si="76"/>
        <v>6.8780261325197323E-2</v>
      </c>
      <c r="U112" s="371">
        <f t="shared" si="76"/>
        <v>7.9682263869926773E-2</v>
      </c>
    </row>
    <row r="113" spans="1:21">
      <c r="A113" s="52"/>
      <c r="B113" s="52"/>
      <c r="C113" s="52"/>
      <c r="D113" s="52"/>
      <c r="E113" s="52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</row>
    <row r="114" spans="1:21">
      <c r="A114" s="52"/>
      <c r="B114" s="52"/>
      <c r="C114" s="52"/>
      <c r="D114" s="82" t="s">
        <v>454</v>
      </c>
      <c r="E114" s="52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>
      <c r="A115" s="52">
        <v>17</v>
      </c>
      <c r="B115" s="82" t="s">
        <v>327</v>
      </c>
      <c r="C115" s="52"/>
      <c r="D115" s="52"/>
      <c r="E115" s="253" t="s">
        <v>441</v>
      </c>
      <c r="F115" s="147">
        <f>F22</f>
        <v>-17964</v>
      </c>
      <c r="G115" s="147">
        <f t="shared" ref="G115:R115" si="77">G22</f>
        <v>-6050</v>
      </c>
      <c r="H115" s="147">
        <f t="shared" si="77"/>
        <v>-6349</v>
      </c>
      <c r="I115" s="147">
        <f t="shared" si="77"/>
        <v>-5608</v>
      </c>
      <c r="J115" s="147">
        <f t="shared" si="77"/>
        <v>567</v>
      </c>
      <c r="K115" s="147">
        <f t="shared" si="77"/>
        <v>-8817</v>
      </c>
      <c r="L115" s="147">
        <f t="shared" si="77"/>
        <v>1168</v>
      </c>
      <c r="M115" s="147">
        <f t="shared" si="77"/>
        <v>-3082</v>
      </c>
      <c r="N115" s="147">
        <f t="shared" si="77"/>
        <v>-1076</v>
      </c>
      <c r="O115" s="147">
        <f t="shared" si="77"/>
        <v>-1703</v>
      </c>
      <c r="P115" s="147">
        <f t="shared" si="77"/>
        <v>-2879</v>
      </c>
      <c r="Q115" s="147">
        <f t="shared" si="77"/>
        <v>403</v>
      </c>
      <c r="R115" s="147">
        <f t="shared" si="77"/>
        <v>-7744</v>
      </c>
      <c r="S115" s="147">
        <f t="shared" ref="S115:T115" si="78">S22</f>
        <v>8629</v>
      </c>
      <c r="T115" s="147">
        <f t="shared" si="78"/>
        <v>8101</v>
      </c>
      <c r="U115" s="147">
        <f t="shared" ref="U115" si="79">U22</f>
        <v>6584</v>
      </c>
    </row>
    <row r="116" spans="1:21">
      <c r="A116" s="52">
        <v>18</v>
      </c>
      <c r="B116" s="52"/>
      <c r="C116" s="82" t="s">
        <v>457</v>
      </c>
      <c r="D116" s="52"/>
      <c r="E116" s="52"/>
      <c r="F116" s="147">
        <f>ResX!I24</f>
        <v>16644</v>
      </c>
      <c r="G116" s="147">
        <f>ResX!J24</f>
        <v>1416</v>
      </c>
      <c r="H116" s="147">
        <f>ResX!K24</f>
        <v>7512</v>
      </c>
      <c r="I116" s="147">
        <f>ResX!L24</f>
        <v>6339</v>
      </c>
      <c r="J116" s="147">
        <v>0</v>
      </c>
      <c r="K116" s="147">
        <f>ResX!N24</f>
        <v>9388</v>
      </c>
      <c r="L116" s="147">
        <v>0</v>
      </c>
      <c r="M116" s="147">
        <f>ResX!P24</f>
        <v>5582</v>
      </c>
      <c r="N116" s="147">
        <f>ResX!Q24</f>
        <v>3576</v>
      </c>
      <c r="O116" s="147">
        <f>ResX!R24</f>
        <v>4005</v>
      </c>
      <c r="P116" s="147">
        <f>ResX!S24</f>
        <v>6244</v>
      </c>
      <c r="Q116" s="147">
        <f>ResX!T24</f>
        <v>4610</v>
      </c>
      <c r="R116" s="147">
        <f>ResX!U24</f>
        <v>8327</v>
      </c>
      <c r="S116" s="147">
        <f>ResX!V24</f>
        <v>0</v>
      </c>
      <c r="T116" s="147">
        <f>ResX!W24</f>
        <v>0</v>
      </c>
      <c r="U116" s="147">
        <f>ResX!X24</f>
        <v>0</v>
      </c>
    </row>
    <row r="117" spans="1:21" ht="12.75" thickBot="1">
      <c r="A117" s="52">
        <v>19</v>
      </c>
      <c r="B117" s="372" t="s">
        <v>328</v>
      </c>
      <c r="C117" s="52"/>
      <c r="D117" s="52"/>
      <c r="E117" s="52"/>
      <c r="F117" s="370">
        <f>SUM(F115:F116)</f>
        <v>-1320</v>
      </c>
      <c r="G117" s="370">
        <f t="shared" ref="G117:R117" si="80">SUM(G115:G116)</f>
        <v>-4634</v>
      </c>
      <c r="H117" s="370">
        <f t="shared" si="80"/>
        <v>1163</v>
      </c>
      <c r="I117" s="370">
        <f t="shared" si="80"/>
        <v>731</v>
      </c>
      <c r="J117" s="370">
        <f t="shared" si="80"/>
        <v>567</v>
      </c>
      <c r="K117" s="370">
        <f t="shared" si="80"/>
        <v>571</v>
      </c>
      <c r="L117" s="370">
        <f t="shared" si="80"/>
        <v>1168</v>
      </c>
      <c r="M117" s="370">
        <f t="shared" si="80"/>
        <v>2500</v>
      </c>
      <c r="N117" s="370">
        <f t="shared" si="80"/>
        <v>2500</v>
      </c>
      <c r="O117" s="370">
        <f t="shared" si="80"/>
        <v>2302</v>
      </c>
      <c r="P117" s="370">
        <f t="shared" si="80"/>
        <v>3365</v>
      </c>
      <c r="Q117" s="370">
        <f t="shared" si="80"/>
        <v>5013</v>
      </c>
      <c r="R117" s="370">
        <f t="shared" si="80"/>
        <v>583</v>
      </c>
      <c r="S117" s="370">
        <f t="shared" ref="S117:T117" si="81">SUM(S115:S116)</f>
        <v>8629</v>
      </c>
      <c r="T117" s="370">
        <f t="shared" si="81"/>
        <v>8101</v>
      </c>
      <c r="U117" s="370">
        <f t="shared" ref="U117" si="82">SUM(U115:U116)</f>
        <v>6584</v>
      </c>
    </row>
    <row r="118" spans="1:21" ht="6" customHeight="1" thickTop="1">
      <c r="A118" s="52"/>
      <c r="B118" s="52"/>
      <c r="C118" s="52"/>
      <c r="D118" s="52"/>
      <c r="E118" s="52"/>
      <c r="F118" s="147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</row>
    <row r="119" spans="1:21" ht="5.25" customHeight="1">
      <c r="A119" s="52"/>
      <c r="B119" s="52"/>
      <c r="C119" s="52"/>
      <c r="D119" s="52"/>
      <c r="E119" s="52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</row>
    <row r="120" spans="1:21">
      <c r="A120" s="52"/>
      <c r="B120" s="82"/>
      <c r="C120" s="52"/>
      <c r="D120" s="82" t="s">
        <v>473</v>
      </c>
      <c r="E120" s="52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</row>
    <row r="121" spans="1:21">
      <c r="A121" s="52">
        <v>20</v>
      </c>
      <c r="B121" s="82" t="s">
        <v>415</v>
      </c>
      <c r="C121" s="52"/>
      <c r="D121" s="52"/>
      <c r="E121" s="253" t="s">
        <v>442</v>
      </c>
      <c r="F121" s="147">
        <f>F23</f>
        <v>9346</v>
      </c>
      <c r="G121" s="147">
        <f t="shared" ref="G121:M121" si="83">G23</f>
        <v>5139</v>
      </c>
      <c r="H121" s="147">
        <f t="shared" si="83"/>
        <v>7164</v>
      </c>
      <c r="I121" s="147">
        <f t="shared" si="83"/>
        <v>6722</v>
      </c>
      <c r="J121" s="147">
        <f t="shared" si="83"/>
        <v>7283</v>
      </c>
      <c r="K121" s="147">
        <f t="shared" si="83"/>
        <v>9900</v>
      </c>
      <c r="L121" s="147">
        <f t="shared" si="83"/>
        <v>9115</v>
      </c>
      <c r="M121" s="147">
        <f t="shared" si="83"/>
        <v>8319</v>
      </c>
      <c r="N121" s="147">
        <f>N23</f>
        <v>8146</v>
      </c>
      <c r="O121" s="147">
        <f t="shared" ref="O121:R121" si="84">O23</f>
        <v>9014</v>
      </c>
      <c r="P121" s="147">
        <f t="shared" si="84"/>
        <v>9955</v>
      </c>
      <c r="Q121" s="147">
        <f t="shared" si="84"/>
        <v>10846</v>
      </c>
      <c r="R121" s="147">
        <f t="shared" si="84"/>
        <v>11456</v>
      </c>
      <c r="S121" s="147">
        <f t="shared" ref="S121" si="85">S23</f>
        <v>12913</v>
      </c>
      <c r="T121" s="147">
        <f>T23</f>
        <v>12828</v>
      </c>
      <c r="U121" s="147">
        <f>U23</f>
        <v>13712</v>
      </c>
    </row>
    <row r="122" spans="1:21">
      <c r="A122" s="52">
        <v>21</v>
      </c>
      <c r="B122" s="82" t="s">
        <v>417</v>
      </c>
      <c r="C122" s="52"/>
      <c r="D122" s="52"/>
      <c r="E122" s="253" t="s">
        <v>443</v>
      </c>
      <c r="F122" s="147">
        <f>F29</f>
        <v>11693</v>
      </c>
      <c r="G122" s="147">
        <f t="shared" ref="G122:M122" si="86">G29</f>
        <v>15462</v>
      </c>
      <c r="H122" s="147">
        <f t="shared" si="86"/>
        <v>16996</v>
      </c>
      <c r="I122" s="147">
        <f t="shared" si="86"/>
        <v>17286</v>
      </c>
      <c r="J122" s="147">
        <f t="shared" si="86"/>
        <v>17401</v>
      </c>
      <c r="K122" s="147">
        <f t="shared" si="86"/>
        <v>14988</v>
      </c>
      <c r="L122" s="147">
        <f t="shared" si="86"/>
        <v>16307</v>
      </c>
      <c r="M122" s="147">
        <f t="shared" si="86"/>
        <v>16156</v>
      </c>
      <c r="N122" s="147">
        <f>N29</f>
        <v>17416</v>
      </c>
      <c r="O122" s="147">
        <f t="shared" ref="O122:R122" si="87">O29</f>
        <v>18207</v>
      </c>
      <c r="P122" s="147">
        <f t="shared" si="87"/>
        <v>19990</v>
      </c>
      <c r="Q122" s="147">
        <f t="shared" si="87"/>
        <v>22393.453812</v>
      </c>
      <c r="R122" s="147">
        <f t="shared" si="87"/>
        <v>22594.925350000001</v>
      </c>
      <c r="S122" s="147">
        <f t="shared" ref="S122:T122" si="88">S29</f>
        <v>23288</v>
      </c>
      <c r="T122" s="147">
        <f t="shared" si="88"/>
        <v>25575</v>
      </c>
      <c r="U122" s="147">
        <f t="shared" ref="U122" si="89">U29</f>
        <v>27516</v>
      </c>
    </row>
    <row r="123" spans="1:21">
      <c r="A123" s="52">
        <v>22</v>
      </c>
      <c r="B123" s="38" t="s">
        <v>421</v>
      </c>
      <c r="C123" s="52"/>
      <c r="D123" s="52"/>
      <c r="E123" s="253" t="s">
        <v>444</v>
      </c>
      <c r="F123" s="147">
        <f>F39</f>
        <v>5</v>
      </c>
      <c r="G123" s="147">
        <f t="shared" ref="G123:M123" si="90">G39</f>
        <v>2</v>
      </c>
      <c r="H123" s="147">
        <f t="shared" si="90"/>
        <v>1</v>
      </c>
      <c r="I123" s="147">
        <f t="shared" si="90"/>
        <v>2</v>
      </c>
      <c r="J123" s="147">
        <f t="shared" si="90"/>
        <v>3</v>
      </c>
      <c r="K123" s="147">
        <f t="shared" si="90"/>
        <v>-4</v>
      </c>
      <c r="L123" s="147">
        <f t="shared" si="90"/>
        <v>0</v>
      </c>
      <c r="M123" s="147">
        <f t="shared" si="90"/>
        <v>-9</v>
      </c>
      <c r="N123" s="147">
        <f>N39</f>
        <v>-3</v>
      </c>
      <c r="O123" s="147">
        <f t="shared" ref="O123:R123" si="91">O39</f>
        <v>-3</v>
      </c>
      <c r="P123" s="147">
        <f t="shared" si="91"/>
        <v>2</v>
      </c>
      <c r="Q123" s="147">
        <f t="shared" si="91"/>
        <v>0</v>
      </c>
      <c r="R123" s="147">
        <f t="shared" si="91"/>
        <v>-4</v>
      </c>
      <c r="S123" s="147">
        <f t="shared" ref="S123:T123" si="92">S39</f>
        <v>0</v>
      </c>
      <c r="T123" s="147">
        <f t="shared" si="92"/>
        <v>0</v>
      </c>
      <c r="U123" s="147">
        <f t="shared" ref="U123" si="93">U39</f>
        <v>0</v>
      </c>
    </row>
    <row r="124" spans="1:21">
      <c r="A124" s="52">
        <v>23</v>
      </c>
      <c r="B124" s="82" t="s">
        <v>424</v>
      </c>
      <c r="C124" s="52"/>
      <c r="D124" s="52"/>
      <c r="E124" s="52"/>
      <c r="F124" s="312">
        <f>SUM(F121:F123)</f>
        <v>21044</v>
      </c>
      <c r="G124" s="312">
        <f t="shared" ref="G124:M124" si="94">SUM(G121:G123)</f>
        <v>20603</v>
      </c>
      <c r="H124" s="312">
        <f t="shared" si="94"/>
        <v>24161</v>
      </c>
      <c r="I124" s="312">
        <f t="shared" si="94"/>
        <v>24010</v>
      </c>
      <c r="J124" s="312">
        <f t="shared" si="94"/>
        <v>24687</v>
      </c>
      <c r="K124" s="312">
        <f t="shared" si="94"/>
        <v>24884</v>
      </c>
      <c r="L124" s="312">
        <f t="shared" si="94"/>
        <v>25422</v>
      </c>
      <c r="M124" s="312">
        <f t="shared" si="94"/>
        <v>24466</v>
      </c>
      <c r="N124" s="312">
        <f>SUM(N121:N123)</f>
        <v>25559</v>
      </c>
      <c r="O124" s="312">
        <f t="shared" ref="O124" si="95">SUM(O121:O123)</f>
        <v>27218</v>
      </c>
      <c r="P124" s="312">
        <f t="shared" ref="P124" si="96">SUM(P121:P123)</f>
        <v>29947</v>
      </c>
      <c r="Q124" s="312">
        <f t="shared" ref="Q124" si="97">SUM(Q121:Q123)</f>
        <v>33239.453812</v>
      </c>
      <c r="R124" s="312">
        <f t="shared" ref="R124:S124" si="98">SUM(R121:R123)</f>
        <v>34046.925350000005</v>
      </c>
      <c r="S124" s="312">
        <f t="shared" si="98"/>
        <v>36201</v>
      </c>
      <c r="T124" s="312">
        <f t="shared" ref="T124:U124" si="99">SUM(T121:T123)</f>
        <v>38403</v>
      </c>
      <c r="U124" s="312">
        <f t="shared" si="99"/>
        <v>41228</v>
      </c>
    </row>
    <row r="125" spans="1:21">
      <c r="A125" s="52">
        <v>24</v>
      </c>
      <c r="B125" s="52"/>
      <c r="C125" s="82" t="s">
        <v>425</v>
      </c>
      <c r="D125" s="52"/>
      <c r="E125" s="52"/>
      <c r="F125" s="147">
        <f>DSM!I31</f>
        <v>-139.02625243095542</v>
      </c>
      <c r="G125" s="147">
        <f>DSM!J31</f>
        <v>-204.88504351863716</v>
      </c>
      <c r="H125" s="147">
        <f>DSM!K31</f>
        <v>-244.86064325916749</v>
      </c>
      <c r="I125" s="147">
        <f>DSM!L31</f>
        <v>-247.5256832418695</v>
      </c>
      <c r="J125" s="147">
        <v>0</v>
      </c>
      <c r="K125" s="147">
        <f>DSM!N31</f>
        <v>-266.79687571981992</v>
      </c>
      <c r="L125" s="147">
        <v>0</v>
      </c>
      <c r="M125" s="147">
        <f>DSM!P31</f>
        <v>-269.17899068160403</v>
      </c>
      <c r="N125" s="147">
        <f>DSM!Q31</f>
        <v>-488.21244267615958</v>
      </c>
      <c r="O125" s="147">
        <f>DSM!R31</f>
        <v>-762.2767877709141</v>
      </c>
      <c r="P125" s="147">
        <f>DSM!S31</f>
        <v>-786.62281017694488</v>
      </c>
      <c r="Q125" s="147">
        <f>DSM!T31</f>
        <v>-811.61482986074759</v>
      </c>
      <c r="R125" s="147">
        <f>DSM!U31</f>
        <v>-682.57687362579838</v>
      </c>
      <c r="S125" s="147">
        <f>DSM!V31</f>
        <v>0</v>
      </c>
      <c r="T125" s="147">
        <f>DSM!W31</f>
        <v>0</v>
      </c>
      <c r="U125" s="147">
        <f>DSM!X31</f>
        <v>0</v>
      </c>
    </row>
    <row r="126" spans="1:21">
      <c r="A126" s="52">
        <v>25</v>
      </c>
      <c r="B126" s="52"/>
      <c r="C126" s="82" t="s">
        <v>426</v>
      </c>
      <c r="D126" s="52"/>
      <c r="E126" s="52"/>
      <c r="F126" s="147">
        <f>ResX!I31</f>
        <v>672.07462836503692</v>
      </c>
      <c r="G126" s="147">
        <f>ResX!J31</f>
        <v>57.177221447061534</v>
      </c>
      <c r="H126" s="147">
        <f>ResX!K31</f>
        <v>303.33000530390274</v>
      </c>
      <c r="I126" s="147">
        <f>ResX!L31</f>
        <v>255.96497652042592</v>
      </c>
      <c r="J126" s="147">
        <v>0</v>
      </c>
      <c r="K126" s="147">
        <f>ResX!N31</f>
        <v>379.03890273269815</v>
      </c>
      <c r="L126" s="147">
        <v>0</v>
      </c>
      <c r="M126" s="147">
        <f>ResX!P31</f>
        <v>225.37230028269292</v>
      </c>
      <c r="N126" s="147">
        <f>ResX!Q31</f>
        <v>144.3803915820333</v>
      </c>
      <c r="O126" s="147">
        <f>ResX!R31</f>
        <v>161.701193592294</v>
      </c>
      <c r="P126" s="147">
        <f>ResX!S31</f>
        <v>252.10043765050779</v>
      </c>
      <c r="Q126" s="147">
        <f>ResX!T31</f>
        <v>186.12796565804626</v>
      </c>
      <c r="R126" s="147">
        <f>ResX!U31</f>
        <v>336.20120825044501</v>
      </c>
      <c r="S126" s="147">
        <f>ResX!V31</f>
        <v>0</v>
      </c>
      <c r="T126" s="147">
        <f>ResX!W31</f>
        <v>0</v>
      </c>
      <c r="U126" s="147">
        <f>ResX!X31</f>
        <v>0</v>
      </c>
    </row>
    <row r="127" spans="1:21" ht="12.75" thickBot="1">
      <c r="A127" s="52">
        <v>26</v>
      </c>
      <c r="B127" s="372" t="s">
        <v>427</v>
      </c>
      <c r="C127" s="52"/>
      <c r="D127" s="52"/>
      <c r="E127" s="52"/>
      <c r="F127" s="370">
        <f>SUM(F124:F126)</f>
        <v>21577.048375934082</v>
      </c>
      <c r="G127" s="370">
        <f t="shared" ref="G127:R127" si="100">SUM(G124:G126)</f>
        <v>20455.292177928426</v>
      </c>
      <c r="H127" s="370">
        <f t="shared" si="100"/>
        <v>24219.469362044736</v>
      </c>
      <c r="I127" s="370">
        <f t="shared" si="100"/>
        <v>24018.439293278556</v>
      </c>
      <c r="J127" s="370">
        <f t="shared" si="100"/>
        <v>24687</v>
      </c>
      <c r="K127" s="370">
        <f t="shared" si="100"/>
        <v>24996.242027012875</v>
      </c>
      <c r="L127" s="370">
        <f t="shared" si="100"/>
        <v>25422</v>
      </c>
      <c r="M127" s="370">
        <f t="shared" si="100"/>
        <v>24422.193309601087</v>
      </c>
      <c r="N127" s="370">
        <f t="shared" si="100"/>
        <v>25215.167948905873</v>
      </c>
      <c r="O127" s="370">
        <f t="shared" si="100"/>
        <v>26617.424405821377</v>
      </c>
      <c r="P127" s="370">
        <f t="shared" si="100"/>
        <v>29412.477627473563</v>
      </c>
      <c r="Q127" s="370">
        <f t="shared" si="100"/>
        <v>32613.966947797297</v>
      </c>
      <c r="R127" s="370">
        <f t="shared" si="100"/>
        <v>33700.549684624653</v>
      </c>
      <c r="S127" s="370">
        <f t="shared" ref="S127:T127" si="101">SUM(S124:S126)</f>
        <v>36201</v>
      </c>
      <c r="T127" s="370">
        <f t="shared" si="101"/>
        <v>38403</v>
      </c>
      <c r="U127" s="370">
        <f t="shared" ref="U127" si="102">SUM(U124:U126)</f>
        <v>41228</v>
      </c>
    </row>
    <row r="128" spans="1:21" ht="12.75" thickTop="1">
      <c r="A128" s="52"/>
      <c r="B128" s="52"/>
      <c r="C128" s="52"/>
      <c r="D128" s="52"/>
      <c r="E128" s="52"/>
      <c r="F128" s="147"/>
      <c r="G128" s="371">
        <f>(G127-F127)/F127</f>
        <v>-5.1988398897821662E-2</v>
      </c>
      <c r="H128" s="371">
        <f t="shared" ref="H128:U128" si="103">(H127-G127)/G127</f>
        <v>0.18401972220068871</v>
      </c>
      <c r="I128" s="371">
        <f t="shared" si="103"/>
        <v>-8.3003498450392212E-3</v>
      </c>
      <c r="J128" s="371">
        <f t="shared" si="103"/>
        <v>2.7835310136430789E-2</v>
      </c>
      <c r="K128" s="371">
        <f t="shared" si="103"/>
        <v>1.2526513023570099E-2</v>
      </c>
      <c r="L128" s="371">
        <f t="shared" si="103"/>
        <v>1.7032879283494611E-2</v>
      </c>
      <c r="M128" s="371">
        <f t="shared" si="103"/>
        <v>-3.9328404153839702E-2</v>
      </c>
      <c r="N128" s="371">
        <f t="shared" si="103"/>
        <v>3.2469427673928221E-2</v>
      </c>
      <c r="O128" s="371">
        <f t="shared" si="103"/>
        <v>5.5611624707673224E-2</v>
      </c>
      <c r="P128" s="371">
        <f t="shared" si="103"/>
        <v>0.10500840273038936</v>
      </c>
      <c r="Q128" s="371">
        <f t="shared" si="103"/>
        <v>0.10884799848800535</v>
      </c>
      <c r="R128" s="371">
        <f t="shared" si="103"/>
        <v>3.3316484884116281E-2</v>
      </c>
      <c r="S128" s="371">
        <f t="shared" si="103"/>
        <v>7.4196128513480536E-2</v>
      </c>
      <c r="T128" s="371">
        <f t="shared" si="103"/>
        <v>6.0827048976547608E-2</v>
      </c>
      <c r="U128" s="371">
        <f t="shared" si="103"/>
        <v>7.3561961305106366E-2</v>
      </c>
    </row>
    <row r="129" spans="1:21" ht="5.25" customHeight="1">
      <c r="A129" s="52"/>
      <c r="B129" s="82"/>
      <c r="C129" s="52"/>
      <c r="D129" s="52"/>
      <c r="E129" s="52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ht="12.75" thickBot="1">
      <c r="A130" s="52">
        <v>27</v>
      </c>
      <c r="B130" s="372" t="s">
        <v>428</v>
      </c>
      <c r="C130" s="52"/>
      <c r="D130" s="52"/>
      <c r="E130" s="253" t="s">
        <v>445</v>
      </c>
      <c r="F130" s="370">
        <f>F78</f>
        <v>649149</v>
      </c>
      <c r="G130" s="370">
        <f t="shared" ref="G130:R130" si="104">G78</f>
        <v>662278</v>
      </c>
      <c r="H130" s="370">
        <f t="shared" si="104"/>
        <v>739502</v>
      </c>
      <c r="I130" s="370">
        <f t="shared" si="104"/>
        <v>720602</v>
      </c>
      <c r="J130" s="370">
        <f t="shared" si="104"/>
        <v>757756</v>
      </c>
      <c r="K130" s="370">
        <f t="shared" si="104"/>
        <v>799091</v>
      </c>
      <c r="L130" s="370">
        <f t="shared" si="104"/>
        <v>855712</v>
      </c>
      <c r="M130" s="370">
        <f t="shared" si="104"/>
        <v>870835</v>
      </c>
      <c r="N130" s="370">
        <f t="shared" si="104"/>
        <v>917247</v>
      </c>
      <c r="O130" s="370">
        <f t="shared" si="104"/>
        <v>987243</v>
      </c>
      <c r="P130" s="370">
        <f t="shared" si="104"/>
        <v>1036064</v>
      </c>
      <c r="Q130" s="370">
        <f t="shared" si="104"/>
        <v>1087141</v>
      </c>
      <c r="R130" s="370">
        <f t="shared" si="104"/>
        <v>1131570</v>
      </c>
      <c r="S130" s="370">
        <f t="shared" ref="S130:T130" si="105">S78</f>
        <v>1195010</v>
      </c>
      <c r="T130" s="370">
        <f t="shared" si="105"/>
        <v>1214504</v>
      </c>
      <c r="U130" s="370">
        <f t="shared" ref="U130" si="106">U78</f>
        <v>1250015</v>
      </c>
    </row>
    <row r="131" spans="1:21" ht="12.75" thickTop="1">
      <c r="A131" s="52"/>
      <c r="B131" s="52"/>
      <c r="C131" s="52"/>
      <c r="D131" s="52"/>
      <c r="E131" s="52"/>
      <c r="F131" s="147"/>
      <c r="G131" s="371">
        <f>(G130-F130)/F130</f>
        <v>2.0224940653070404E-2</v>
      </c>
      <c r="H131" s="371">
        <f t="shared" ref="H131:U131" si="107">(H130-G130)/G130</f>
        <v>0.11660360150873199</v>
      </c>
      <c r="I131" s="371">
        <f t="shared" si="107"/>
        <v>-2.5557740208951428E-2</v>
      </c>
      <c r="J131" s="371">
        <f t="shared" si="107"/>
        <v>5.1559668166338703E-2</v>
      </c>
      <c r="K131" s="371">
        <f t="shared" si="107"/>
        <v>5.4549221649185228E-2</v>
      </c>
      <c r="L131" s="371">
        <f t="shared" si="107"/>
        <v>7.0856760994680204E-2</v>
      </c>
      <c r="M131" s="371">
        <f t="shared" si="107"/>
        <v>1.7673002131558282E-2</v>
      </c>
      <c r="N131" s="371">
        <f t="shared" si="107"/>
        <v>5.3295974553158751E-2</v>
      </c>
      <c r="O131" s="371">
        <f t="shared" si="107"/>
        <v>7.6310960951630258E-2</v>
      </c>
      <c r="P131" s="371">
        <f t="shared" si="107"/>
        <v>4.9451857344139184E-2</v>
      </c>
      <c r="Q131" s="371">
        <f t="shared" si="107"/>
        <v>4.9299078049232482E-2</v>
      </c>
      <c r="R131" s="371">
        <f t="shared" si="107"/>
        <v>4.0867743926500798E-2</v>
      </c>
      <c r="S131" s="371">
        <f t="shared" si="107"/>
        <v>5.6063699108318529E-2</v>
      </c>
      <c r="T131" s="371">
        <f t="shared" si="107"/>
        <v>1.631283420222425E-2</v>
      </c>
      <c r="U131" s="371">
        <f t="shared" si="107"/>
        <v>2.923909678354291E-2</v>
      </c>
    </row>
    <row r="132" spans="1:21" ht="4.5" customHeight="1">
      <c r="A132" s="52"/>
      <c r="B132" s="372"/>
      <c r="C132" s="52"/>
      <c r="D132" s="52"/>
      <c r="E132" s="253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</row>
    <row r="133" spans="1:21" ht="12.75" thickBot="1">
      <c r="A133" s="52">
        <v>28</v>
      </c>
      <c r="B133" s="372" t="s">
        <v>429</v>
      </c>
      <c r="C133" s="52"/>
      <c r="D133" s="52"/>
      <c r="E133" s="253" t="s">
        <v>446</v>
      </c>
      <c r="F133" s="370">
        <f>F82</f>
        <v>568492</v>
      </c>
      <c r="G133" s="370">
        <f t="shared" ref="G133:R133" si="108">G82</f>
        <v>597515</v>
      </c>
      <c r="H133" s="370">
        <f t="shared" si="108"/>
        <v>761858</v>
      </c>
      <c r="I133" s="370">
        <f t="shared" si="108"/>
        <v>742443</v>
      </c>
      <c r="J133" s="370">
        <f t="shared" si="108"/>
        <v>778011</v>
      </c>
      <c r="K133" s="370">
        <f t="shared" si="108"/>
        <v>819842</v>
      </c>
      <c r="L133" s="370">
        <f t="shared" si="108"/>
        <v>874511</v>
      </c>
      <c r="M133" s="370">
        <f t="shared" si="108"/>
        <v>891855</v>
      </c>
      <c r="N133" s="370">
        <f t="shared" si="108"/>
        <v>936840</v>
      </c>
      <c r="O133" s="370">
        <f t="shared" si="108"/>
        <v>1005019</v>
      </c>
      <c r="P133" s="370">
        <f t="shared" si="108"/>
        <v>1072028</v>
      </c>
      <c r="Q133" s="370">
        <f t="shared" si="108"/>
        <v>1137863</v>
      </c>
      <c r="R133" s="370">
        <f t="shared" si="108"/>
        <v>1158975</v>
      </c>
      <c r="S133" s="370">
        <f t="shared" ref="S133:T133" si="109">S82</f>
        <v>1226052</v>
      </c>
      <c r="T133" s="370">
        <f t="shared" si="109"/>
        <v>1273157</v>
      </c>
      <c r="U133" s="370">
        <f t="shared" ref="U133" si="110">U82</f>
        <v>1314785</v>
      </c>
    </row>
    <row r="134" spans="1:21" ht="12.75" thickTop="1">
      <c r="A134" s="52"/>
      <c r="B134" s="52"/>
      <c r="C134" s="52"/>
      <c r="D134" s="52"/>
      <c r="E134" s="52"/>
      <c r="F134" s="147"/>
      <c r="G134" s="371">
        <f>(G133-F133)/F133</f>
        <v>5.1052609359498465E-2</v>
      </c>
      <c r="H134" s="371">
        <f t="shared" ref="H134:U134" si="111">(H133-G133)/G133</f>
        <v>0.27504414115126818</v>
      </c>
      <c r="I134" s="371">
        <f t="shared" si="111"/>
        <v>-2.5483751565252316E-2</v>
      </c>
      <c r="J134" s="371">
        <f t="shared" si="111"/>
        <v>4.7906707989704263E-2</v>
      </c>
      <c r="K134" s="371">
        <f t="shared" si="111"/>
        <v>5.3766591989059281E-2</v>
      </c>
      <c r="L134" s="371">
        <f t="shared" si="111"/>
        <v>6.6682360747558678E-2</v>
      </c>
      <c r="M134" s="371">
        <f t="shared" si="111"/>
        <v>1.9832797986531901E-2</v>
      </c>
      <c r="N134" s="371">
        <f t="shared" si="111"/>
        <v>5.0439813646837209E-2</v>
      </c>
      <c r="O134" s="371">
        <f t="shared" si="111"/>
        <v>7.2775500619102512E-2</v>
      </c>
      <c r="P134" s="371">
        <f t="shared" si="111"/>
        <v>6.6674361380232611E-2</v>
      </c>
      <c r="Q134" s="371">
        <f t="shared" si="111"/>
        <v>6.1411642233225254E-2</v>
      </c>
      <c r="R134" s="371">
        <f t="shared" si="111"/>
        <v>1.855407900599633E-2</v>
      </c>
      <c r="S134" s="371">
        <f t="shared" si="111"/>
        <v>5.7876140555231992E-2</v>
      </c>
      <c r="T134" s="371">
        <f t="shared" si="111"/>
        <v>3.8420067011839629E-2</v>
      </c>
      <c r="U134" s="371">
        <f t="shared" si="111"/>
        <v>3.2696674487121387E-2</v>
      </c>
    </row>
    <row r="135" spans="1:21" ht="4.5" customHeight="1">
      <c r="A135" s="52"/>
      <c r="B135" s="52"/>
      <c r="C135" s="52"/>
      <c r="D135" s="52"/>
      <c r="E135" s="52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>
      <c r="A136" s="52"/>
      <c r="B136" s="82" t="s">
        <v>430</v>
      </c>
      <c r="C136" s="52"/>
      <c r="D136" s="52"/>
      <c r="E136" s="52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</row>
    <row r="137" spans="1:21">
      <c r="A137" s="52">
        <v>29</v>
      </c>
      <c r="B137" s="82" t="s">
        <v>447</v>
      </c>
      <c r="C137" s="52"/>
      <c r="D137" s="52"/>
      <c r="E137" s="253" t="s">
        <v>448</v>
      </c>
      <c r="F137" s="147">
        <f>F14</f>
        <v>13062</v>
      </c>
      <c r="G137" s="147">
        <f t="shared" ref="G137:R137" si="112">G14</f>
        <v>14305</v>
      </c>
      <c r="H137" s="147">
        <f t="shared" si="112"/>
        <v>34274</v>
      </c>
      <c r="I137" s="147">
        <f t="shared" si="112"/>
        <v>57244</v>
      </c>
      <c r="J137" s="147">
        <f t="shared" si="112"/>
        <v>8587</v>
      </c>
      <c r="K137" s="147">
        <f t="shared" si="112"/>
        <v>10259</v>
      </c>
      <c r="L137" s="147">
        <f t="shared" si="112"/>
        <v>10178</v>
      </c>
      <c r="M137" s="147">
        <f t="shared" si="112"/>
        <v>10170</v>
      </c>
      <c r="N137" s="147">
        <f t="shared" si="112"/>
        <v>10927</v>
      </c>
      <c r="O137" s="147">
        <f t="shared" si="112"/>
        <v>9395</v>
      </c>
      <c r="P137" s="147">
        <f t="shared" si="112"/>
        <v>11786</v>
      </c>
      <c r="Q137" s="147">
        <f t="shared" si="112"/>
        <v>13666</v>
      </c>
      <c r="R137" s="147">
        <f t="shared" si="112"/>
        <v>13089</v>
      </c>
      <c r="S137" s="147">
        <f t="shared" ref="S137:T137" si="113">S14</f>
        <v>13408</v>
      </c>
      <c r="T137" s="147">
        <f t="shared" si="113"/>
        <v>17163</v>
      </c>
      <c r="U137" s="147">
        <f t="shared" ref="U137" si="114">U14</f>
        <v>12625</v>
      </c>
    </row>
    <row r="138" spans="1:21">
      <c r="A138" s="52">
        <v>30</v>
      </c>
      <c r="B138" s="82"/>
      <c r="C138" s="82" t="s">
        <v>643</v>
      </c>
      <c r="D138" s="52"/>
      <c r="E138" s="253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>
        <f>1500-2604+2986</f>
        <v>1882</v>
      </c>
    </row>
    <row r="139" spans="1:21">
      <c r="A139" s="52">
        <v>31</v>
      </c>
      <c r="B139" s="82"/>
      <c r="C139" s="82" t="s">
        <v>449</v>
      </c>
      <c r="D139" s="52"/>
      <c r="E139" s="52"/>
      <c r="F139" s="147">
        <f>-'Other Rev'!E16</f>
        <v>-7824</v>
      </c>
      <c r="G139" s="147">
        <f>-'Other Rev'!F19</f>
        <v>-2251</v>
      </c>
      <c r="H139" s="147">
        <f>-'Other Rev'!G19</f>
        <v>-25293</v>
      </c>
      <c r="I139" s="147">
        <f>-'Other Rev'!H19</f>
        <v>-47139</v>
      </c>
      <c r="J139" s="147">
        <f>-'Other Rev'!I19</f>
        <v>-285</v>
      </c>
      <c r="K139" s="147">
        <f>-'Other Rev'!J19</f>
        <v>-179.11379999999997</v>
      </c>
      <c r="L139" s="147">
        <f>-'Other Rev'!K19</f>
        <v>-198</v>
      </c>
      <c r="M139" s="147">
        <f>-'Other Rev'!L19</f>
        <v>-221</v>
      </c>
      <c r="N139" s="147">
        <f>-'Other Rev'!M19</f>
        <v>-1839</v>
      </c>
      <c r="O139" s="147">
        <f>-'Other Rev'!N19</f>
        <v>-448.37979999999999</v>
      </c>
      <c r="P139" s="147">
        <f>-'Other Rev'!O19</f>
        <v>-639.87119999999993</v>
      </c>
      <c r="Q139" s="147">
        <f>-'Other Rev'!P19</f>
        <v>-1751.694</v>
      </c>
      <c r="R139" s="147">
        <f>-'Other Rev'!Q19</f>
        <v>-1489.3194000000001</v>
      </c>
      <c r="S139" s="147">
        <f>-'Other Rev'!R19</f>
        <v>-282</v>
      </c>
      <c r="T139" s="147">
        <f>-'Other Rev'!S19</f>
        <v>-3062.3724999999999</v>
      </c>
      <c r="U139" s="147">
        <f>-'Other Rev'!T19</f>
        <v>-270.48779999999999</v>
      </c>
    </row>
    <row r="140" spans="1:21">
      <c r="A140" s="52">
        <v>32</v>
      </c>
      <c r="B140" s="82"/>
      <c r="C140" s="82" t="s">
        <v>450</v>
      </c>
      <c r="D140" s="52"/>
      <c r="E140" s="52"/>
      <c r="F140" s="147">
        <f>-'Other Rev'!E19</f>
        <v>-3487.7256000000007</v>
      </c>
      <c r="G140" s="147">
        <f>-'Other Rev'!F16</f>
        <v>-9892</v>
      </c>
      <c r="H140" s="147">
        <f>-'Other Rev'!G16</f>
        <v>-7115</v>
      </c>
      <c r="I140" s="147">
        <f>-'Other Rev'!H16</f>
        <v>-7569</v>
      </c>
      <c r="J140" s="147">
        <f>-'Other Rev'!I16</f>
        <v>-5523</v>
      </c>
      <c r="K140" s="147">
        <f>-'Other Rev'!J16</f>
        <v>-6637</v>
      </c>
      <c r="L140" s="147">
        <f>-'Other Rev'!K16</f>
        <v>-7024</v>
      </c>
      <c r="M140" s="147">
        <f>-'Other Rev'!L16</f>
        <v>-6876</v>
      </c>
      <c r="N140" s="147">
        <f>-'Other Rev'!M16</f>
        <v>-6213</v>
      </c>
      <c r="O140" s="147">
        <f>-'Other Rev'!N16</f>
        <v>-6133</v>
      </c>
      <c r="P140" s="147">
        <f>-'Other Rev'!O16</f>
        <v>-8333</v>
      </c>
      <c r="Q140" s="147">
        <f>-'Other Rev'!P16</f>
        <v>-9102</v>
      </c>
      <c r="R140" s="147">
        <f>-'Other Rev'!Q16</f>
        <v>-8285</v>
      </c>
      <c r="S140" s="147">
        <f>-'Other Rev'!R16</f>
        <v>-9662</v>
      </c>
      <c r="T140" s="147">
        <f>-'Other Rev'!S16</f>
        <v>-10622</v>
      </c>
      <c r="U140" s="147">
        <f>-'Other Rev'!T16</f>
        <v>-11045.996999999999</v>
      </c>
    </row>
    <row r="141" spans="1:21" ht="12.75" thickBot="1">
      <c r="A141" s="52">
        <v>33</v>
      </c>
      <c r="B141" s="372" t="s">
        <v>373</v>
      </c>
      <c r="C141" s="82"/>
      <c r="D141" s="52"/>
      <c r="E141" s="52"/>
      <c r="F141" s="370">
        <f>SUM(F137:F140)</f>
        <v>1750.2743999999993</v>
      </c>
      <c r="G141" s="370">
        <f t="shared" ref="G141:R141" si="115">SUM(G137:G140)</f>
        <v>2162</v>
      </c>
      <c r="H141" s="370">
        <f t="shared" si="115"/>
        <v>1866</v>
      </c>
      <c r="I141" s="370">
        <f t="shared" si="115"/>
        <v>2536</v>
      </c>
      <c r="J141" s="370">
        <f t="shared" si="115"/>
        <v>2779</v>
      </c>
      <c r="K141" s="370">
        <f t="shared" si="115"/>
        <v>3442.8862000000008</v>
      </c>
      <c r="L141" s="370">
        <f t="shared" si="115"/>
        <v>2956</v>
      </c>
      <c r="M141" s="370">
        <f t="shared" si="115"/>
        <v>3073</v>
      </c>
      <c r="N141" s="370">
        <f t="shared" si="115"/>
        <v>2875</v>
      </c>
      <c r="O141" s="370">
        <f t="shared" si="115"/>
        <v>2813.6201999999994</v>
      </c>
      <c r="P141" s="370">
        <f t="shared" si="115"/>
        <v>2813.1288000000004</v>
      </c>
      <c r="Q141" s="370">
        <f t="shared" si="115"/>
        <v>2812.3060000000005</v>
      </c>
      <c r="R141" s="370">
        <f t="shared" si="115"/>
        <v>3314.6805999999997</v>
      </c>
      <c r="S141" s="370">
        <f t="shared" ref="S141:T141" si="116">SUM(S137:S140)</f>
        <v>3464</v>
      </c>
      <c r="T141" s="370">
        <f t="shared" si="116"/>
        <v>3478.6275000000005</v>
      </c>
      <c r="U141" s="370">
        <f t="shared" ref="U141" si="117">SUM(U137:U140)</f>
        <v>3190.5151999999998</v>
      </c>
    </row>
    <row r="142" spans="1:21" ht="12.75" thickTop="1">
      <c r="A142" s="52"/>
      <c r="F142" s="69"/>
      <c r="G142" s="371">
        <f>(G141-F141)/F141</f>
        <v>0.23523488659835329</v>
      </c>
      <c r="H142" s="371">
        <f t="shared" ref="H142:U142" si="118">(H141-G141)/G141</f>
        <v>-0.13691026827012026</v>
      </c>
      <c r="I142" s="371">
        <f t="shared" si="118"/>
        <v>0.35905680600214362</v>
      </c>
      <c r="J142" s="371">
        <f t="shared" si="118"/>
        <v>9.5820189274447951E-2</v>
      </c>
      <c r="K142" s="371">
        <f t="shared" si="118"/>
        <v>0.23889391867578294</v>
      </c>
      <c r="L142" s="371">
        <f t="shared" si="118"/>
        <v>-0.14141803467102709</v>
      </c>
      <c r="M142" s="371">
        <f t="shared" si="118"/>
        <v>3.9580514208389712E-2</v>
      </c>
      <c r="N142" s="371">
        <f t="shared" si="118"/>
        <v>-6.4432150992515452E-2</v>
      </c>
      <c r="O142" s="371">
        <f t="shared" si="118"/>
        <v>-2.1349495652174127E-2</v>
      </c>
      <c r="P142" s="371">
        <f t="shared" si="118"/>
        <v>-1.7465043789455863E-4</v>
      </c>
      <c r="Q142" s="371">
        <f t="shared" si="118"/>
        <v>-2.9248571910390862E-4</v>
      </c>
      <c r="R142" s="371">
        <f t="shared" si="118"/>
        <v>0.17863440180407078</v>
      </c>
      <c r="S142" s="371">
        <f t="shared" si="118"/>
        <v>4.5047899939439209E-2</v>
      </c>
      <c r="T142" s="371">
        <f t="shared" si="118"/>
        <v>4.222719399538253E-3</v>
      </c>
      <c r="U142" s="371">
        <f t="shared" si="118"/>
        <v>-8.2823556129536902E-2</v>
      </c>
    </row>
    <row r="143" spans="1:21" ht="4.5" hidden="1" customHeight="1">
      <c r="A143" s="52"/>
      <c r="F143" s="69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111"/>
      <c r="T143" s="111"/>
      <c r="U143" s="111"/>
    </row>
    <row r="144" spans="1:21" ht="4.9000000000000004" customHeight="1">
      <c r="A144" s="52"/>
      <c r="F144" s="69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111"/>
      <c r="T144" s="111"/>
      <c r="U144" s="111"/>
    </row>
    <row r="145" spans="1:21">
      <c r="A145" s="408" t="s">
        <v>116</v>
      </c>
      <c r="F145" s="69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111"/>
      <c r="T145" s="111"/>
      <c r="U145" s="111"/>
    </row>
    <row r="146" spans="1:21">
      <c r="A146" s="408" t="s">
        <v>459</v>
      </c>
      <c r="F146" s="69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111"/>
      <c r="T146" s="111"/>
      <c r="U146" s="111"/>
    </row>
    <row r="147" spans="1:21">
      <c r="A147" s="408" t="s">
        <v>458</v>
      </c>
      <c r="F147" s="69"/>
      <c r="G147" s="371"/>
      <c r="H147" s="371"/>
      <c r="I147" s="371"/>
      <c r="J147" s="371"/>
      <c r="K147" s="371"/>
      <c r="L147" s="371"/>
      <c r="M147" s="371"/>
      <c r="N147" s="371"/>
      <c r="O147" s="371"/>
      <c r="P147" s="371"/>
      <c r="Q147" s="371"/>
      <c r="R147" s="371"/>
      <c r="S147" s="111"/>
    </row>
    <row r="148" spans="1:21" ht="0.6" customHeight="1">
      <c r="A148" s="52"/>
      <c r="G148" s="39"/>
      <c r="H148" s="39"/>
      <c r="I148" s="39"/>
      <c r="J148" s="39"/>
      <c r="L148" s="39"/>
      <c r="M148" s="39"/>
      <c r="N148" s="39"/>
      <c r="O148" s="39"/>
      <c r="P148" s="39"/>
      <c r="Q148" s="39"/>
      <c r="R148" s="39"/>
    </row>
    <row r="149" spans="1:21" ht="15.75">
      <c r="A149" s="284" t="s">
        <v>3</v>
      </c>
      <c r="E149" s="925" t="s">
        <v>467</v>
      </c>
      <c r="F149" s="925"/>
      <c r="G149" s="925"/>
      <c r="H149" s="925"/>
      <c r="I149" s="925"/>
      <c r="J149" s="925"/>
      <c r="K149" s="925"/>
      <c r="L149" s="925"/>
      <c r="M149" s="925"/>
      <c r="N149" s="925"/>
      <c r="O149" s="925"/>
      <c r="P149" s="925"/>
      <c r="Q149" s="925"/>
      <c r="R149" s="925"/>
      <c r="T149" s="111"/>
      <c r="U149" s="111"/>
    </row>
    <row r="150" spans="1:21" ht="12.75">
      <c r="A150" s="286" t="s">
        <v>89</v>
      </c>
      <c r="B150" s="287" t="s">
        <v>360</v>
      </c>
      <c r="C150" s="287"/>
      <c r="D150" s="288"/>
      <c r="E150" s="289"/>
      <c r="F150" s="289"/>
      <c r="G150" s="410"/>
      <c r="H150" s="410" t="s">
        <v>361</v>
      </c>
      <c r="I150" s="410" t="s">
        <v>362</v>
      </c>
      <c r="J150" s="410" t="s">
        <v>363</v>
      </c>
      <c r="K150" s="410" t="s">
        <v>364</v>
      </c>
      <c r="L150" s="410" t="s">
        <v>365</v>
      </c>
      <c r="M150" s="410" t="s">
        <v>366</v>
      </c>
      <c r="N150" s="410" t="s">
        <v>367</v>
      </c>
      <c r="O150" s="410" t="s">
        <v>368</v>
      </c>
      <c r="P150" s="410" t="s">
        <v>369</v>
      </c>
      <c r="Q150" s="410" t="s">
        <v>370</v>
      </c>
      <c r="R150" s="410" t="s">
        <v>371</v>
      </c>
      <c r="S150" s="410" t="s">
        <v>479</v>
      </c>
      <c r="T150" s="543" t="s">
        <v>532</v>
      </c>
      <c r="U150" s="543" t="s">
        <v>618</v>
      </c>
    </row>
    <row r="151" spans="1:21" ht="12.75">
      <c r="A151" s="290"/>
      <c r="B151"/>
      <c r="C151"/>
      <c r="D151"/>
      <c r="E151"/>
      <c r="F151"/>
      <c r="G151" s="380"/>
      <c r="H151" s="380"/>
      <c r="I151" s="380"/>
      <c r="J151" s="380"/>
      <c r="K151" s="380"/>
      <c r="L151" s="380"/>
      <c r="M151" s="380"/>
      <c r="N151" s="380"/>
      <c r="O151" s="380"/>
      <c r="P151" s="285"/>
      <c r="Q151" s="285"/>
      <c r="R151" s="285"/>
      <c r="S151" s="285"/>
      <c r="T151" s="544"/>
      <c r="U151" s="544"/>
    </row>
    <row r="152" spans="1:21" ht="12.75">
      <c r="A152" s="290">
        <v>1</v>
      </c>
      <c r="B152" s="501" t="s">
        <v>413</v>
      </c>
      <c r="C152"/>
      <c r="D152"/>
      <c r="E152"/>
      <c r="F152"/>
      <c r="G152" s="381"/>
      <c r="H152" s="381">
        <f t="shared" ref="H152:Q152" si="119">(H104-G104)/G104</f>
        <v>0.14772846339302026</v>
      </c>
      <c r="I152" s="381">
        <f t="shared" si="119"/>
        <v>-3.5171068507347261E-2</v>
      </c>
      <c r="J152" s="381">
        <f t="shared" si="119"/>
        <v>0.1224490671071867</v>
      </c>
      <c r="K152" s="381">
        <f t="shared" si="119"/>
        <v>9.6827726347769195E-3</v>
      </c>
      <c r="L152" s="381">
        <f t="shared" si="119"/>
        <v>7.242209997672179E-2</v>
      </c>
      <c r="M152" s="381">
        <f t="shared" si="119"/>
        <v>3.809384416546472E-2</v>
      </c>
      <c r="N152" s="381">
        <f t="shared" si="119"/>
        <v>7.5203913425506114E-2</v>
      </c>
      <c r="O152" s="545">
        <f t="shared" si="119"/>
        <v>9.2214213847569129E-2</v>
      </c>
      <c r="P152" s="545">
        <f t="shared" si="119"/>
        <v>4.9500038223614332E-2</v>
      </c>
      <c r="Q152" s="381">
        <f t="shared" si="119"/>
        <v>8.595926573694776E-2</v>
      </c>
      <c r="R152" s="381">
        <f>(R104-Q104)/Q104</f>
        <v>9.0551378103331207E-2</v>
      </c>
      <c r="S152" s="381">
        <f>(S104-R104)/R104</f>
        <v>-4.5206093486132248E-2</v>
      </c>
      <c r="T152" s="545">
        <f>(T104-S104)/S104</f>
        <v>1.8527741031826316E-2</v>
      </c>
      <c r="U152" s="545">
        <f>(U104-T104)/T104</f>
        <v>1.2934426354753191E-2</v>
      </c>
    </row>
    <row r="153" spans="1:21" ht="12.75">
      <c r="A153" s="290"/>
      <c r="B153" s="474"/>
      <c r="C153"/>
      <c r="D153"/>
      <c r="E153"/>
      <c r="F153"/>
      <c r="G153" s="380"/>
      <c r="H153" s="380"/>
      <c r="I153" s="380"/>
      <c r="J153" s="380"/>
      <c r="K153" s="380"/>
      <c r="L153" s="380"/>
      <c r="M153" s="380"/>
      <c r="N153" s="380"/>
      <c r="O153" s="380"/>
      <c r="P153" s="380"/>
      <c r="Q153" s="380"/>
      <c r="R153" s="380"/>
      <c r="S153" s="380"/>
      <c r="T153" s="546"/>
      <c r="U153" s="546"/>
    </row>
    <row r="154" spans="1:21" ht="12.75">
      <c r="A154" s="290">
        <v>2</v>
      </c>
      <c r="B154" s="501" t="s">
        <v>423</v>
      </c>
      <c r="C154"/>
      <c r="D154"/>
      <c r="E154"/>
      <c r="F154"/>
      <c r="G154" s="381"/>
      <c r="H154" s="381">
        <f t="shared" ref="H154:R154" si="120">(H111-G111)/G111</f>
        <v>0.25685906786135998</v>
      </c>
      <c r="I154" s="381">
        <f t="shared" si="120"/>
        <v>2.0558165239016303E-2</v>
      </c>
      <c r="J154" s="381">
        <f t="shared" si="120"/>
        <v>4.1073265825526617E-2</v>
      </c>
      <c r="K154" s="381">
        <f t="shared" si="120"/>
        <v>2.8971938311097241E-2</v>
      </c>
      <c r="L154" s="381">
        <f t="shared" si="120"/>
        <v>5.6792619739668898E-2</v>
      </c>
      <c r="M154" s="381">
        <f t="shared" si="120"/>
        <v>2.7193150291782264E-2</v>
      </c>
      <c r="N154" s="381">
        <f t="shared" si="120"/>
        <v>6.8104030361591655E-2</v>
      </c>
      <c r="O154" s="381">
        <f t="shared" si="120"/>
        <v>5.6502594061995905E-2</v>
      </c>
      <c r="P154" s="381">
        <f t="shared" si="120"/>
        <v>7.8488012214748479E-2</v>
      </c>
      <c r="Q154" s="381">
        <f t="shared" si="120"/>
        <v>5.8044767553089724E-2</v>
      </c>
      <c r="R154" s="381">
        <f t="shared" si="120"/>
        <v>6.5854187762187183E-2</v>
      </c>
      <c r="S154" s="381">
        <f>(S111-R111)/R111</f>
        <v>2.3105893529671226E-2</v>
      </c>
      <c r="T154" s="545">
        <f>(T111-S111)/S111</f>
        <v>6.8780261325197323E-2</v>
      </c>
      <c r="U154" s="545">
        <f>(U111-T111)/T111</f>
        <v>7.9682263869926773E-2</v>
      </c>
    </row>
    <row r="155" spans="1:21" ht="12.75">
      <c r="A155" s="290"/>
      <c r="B155" s="474"/>
      <c r="C155"/>
      <c r="D155"/>
      <c r="E155"/>
      <c r="F155"/>
      <c r="G155" s="380"/>
      <c r="H155" s="380"/>
      <c r="I155" s="380"/>
      <c r="J155" s="380"/>
      <c r="K155" s="380"/>
      <c r="L155" s="380"/>
      <c r="M155" s="380"/>
      <c r="N155" s="380"/>
      <c r="O155" s="380"/>
      <c r="P155" s="285"/>
      <c r="Q155" s="285"/>
      <c r="R155" s="285"/>
      <c r="S155" s="285"/>
      <c r="T155" s="544"/>
      <c r="U155" s="544"/>
    </row>
    <row r="156" spans="1:21" ht="12.75">
      <c r="A156" s="290">
        <v>3</v>
      </c>
      <c r="B156" s="294" t="s">
        <v>509</v>
      </c>
      <c r="C156"/>
      <c r="D156"/>
      <c r="E156"/>
      <c r="F156"/>
      <c r="G156" s="381"/>
      <c r="H156" s="381">
        <f t="shared" ref="H156:U156" si="121">(H127-G127)/G127</f>
        <v>0.18401972220068871</v>
      </c>
      <c r="I156" s="381">
        <f t="shared" si="121"/>
        <v>-8.3003498450392212E-3</v>
      </c>
      <c r="J156" s="381">
        <f t="shared" si="121"/>
        <v>2.7835310136430789E-2</v>
      </c>
      <c r="K156" s="381">
        <f t="shared" si="121"/>
        <v>1.2526513023570099E-2</v>
      </c>
      <c r="L156" s="381">
        <f>(L127-K127)/K127</f>
        <v>1.7032879283494611E-2</v>
      </c>
      <c r="M156" s="381">
        <f t="shared" si="121"/>
        <v>-3.9328404153839702E-2</v>
      </c>
      <c r="N156" s="381">
        <f t="shared" si="121"/>
        <v>3.2469427673928221E-2</v>
      </c>
      <c r="O156" s="381">
        <f t="shared" si="121"/>
        <v>5.5611624707673224E-2</v>
      </c>
      <c r="P156" s="381">
        <f t="shared" si="121"/>
        <v>0.10500840273038936</v>
      </c>
      <c r="Q156" s="381">
        <f t="shared" si="121"/>
        <v>0.10884799848800535</v>
      </c>
      <c r="R156" s="381">
        <f t="shared" si="121"/>
        <v>3.3316484884116281E-2</v>
      </c>
      <c r="S156" s="381">
        <f t="shared" si="121"/>
        <v>7.4196128513480536E-2</v>
      </c>
      <c r="T156" s="545">
        <f t="shared" si="121"/>
        <v>6.0827048976547608E-2</v>
      </c>
      <c r="U156" s="545">
        <f t="shared" si="121"/>
        <v>7.3561961305106366E-2</v>
      </c>
    </row>
    <row r="157" spans="1:21" ht="12.75">
      <c r="A157" s="290"/>
      <c r="B157" s="474"/>
      <c r="C157"/>
      <c r="D157"/>
      <c r="E157"/>
      <c r="F157"/>
      <c r="G157" s="380"/>
      <c r="H157" s="380"/>
      <c r="I157" s="380"/>
      <c r="J157" s="380"/>
      <c r="K157" s="380"/>
      <c r="L157" s="380"/>
      <c r="M157" s="380"/>
      <c r="N157" s="380"/>
      <c r="O157" s="380"/>
      <c r="P157" s="285"/>
      <c r="Q157" s="285"/>
      <c r="R157" s="285"/>
      <c r="S157" s="285"/>
      <c r="T157" s="544"/>
      <c r="U157" s="544"/>
    </row>
    <row r="158" spans="1:21" ht="12.75">
      <c r="A158" s="290">
        <v>4</v>
      </c>
      <c r="B158" s="380" t="s">
        <v>291</v>
      </c>
      <c r="C158"/>
      <c r="D158"/>
      <c r="E158"/>
      <c r="F158"/>
      <c r="G158" s="381"/>
      <c r="H158" s="381">
        <f t="shared" ref="H158:U158" si="122">(H130-G130)/G130</f>
        <v>0.11660360150873199</v>
      </c>
      <c r="I158" s="381">
        <f t="shared" si="122"/>
        <v>-2.5557740208951428E-2</v>
      </c>
      <c r="J158" s="381">
        <f t="shared" si="122"/>
        <v>5.1559668166338703E-2</v>
      </c>
      <c r="K158" s="381">
        <f t="shared" si="122"/>
        <v>5.4549221649185228E-2</v>
      </c>
      <c r="L158" s="381">
        <f t="shared" si="122"/>
        <v>7.0856760994680204E-2</v>
      </c>
      <c r="M158" s="381">
        <f t="shared" si="122"/>
        <v>1.7673002131558282E-2</v>
      </c>
      <c r="N158" s="381">
        <f t="shared" si="122"/>
        <v>5.3295974553158751E-2</v>
      </c>
      <c r="O158" s="381">
        <f t="shared" si="122"/>
        <v>7.6310960951630258E-2</v>
      </c>
      <c r="P158" s="381">
        <f t="shared" si="122"/>
        <v>4.9451857344139184E-2</v>
      </c>
      <c r="Q158" s="381">
        <f t="shared" si="122"/>
        <v>4.9299078049232482E-2</v>
      </c>
      <c r="R158" s="381">
        <f t="shared" si="122"/>
        <v>4.0867743926500798E-2</v>
      </c>
      <c r="S158" s="381">
        <f t="shared" si="122"/>
        <v>5.6063699108318529E-2</v>
      </c>
      <c r="T158" s="545">
        <f t="shared" si="122"/>
        <v>1.631283420222425E-2</v>
      </c>
      <c r="U158" s="545">
        <f t="shared" si="122"/>
        <v>2.923909678354291E-2</v>
      </c>
    </row>
    <row r="159" spans="1:21" ht="12.75">
      <c r="A159" s="290"/>
      <c r="B159" s="474"/>
      <c r="C159"/>
      <c r="D159"/>
      <c r="E159"/>
      <c r="F159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546"/>
      <c r="U159" s="546"/>
    </row>
    <row r="160" spans="1:21" ht="12.75">
      <c r="A160" s="290">
        <v>5</v>
      </c>
      <c r="B160" s="380" t="s">
        <v>429</v>
      </c>
      <c r="C160"/>
      <c r="D160"/>
      <c r="E160"/>
      <c r="F160"/>
      <c r="G160" s="381"/>
      <c r="H160" s="381">
        <f t="shared" ref="H160:U160" si="123">(H133-G133)/G133</f>
        <v>0.27504414115126818</v>
      </c>
      <c r="I160" s="381">
        <f t="shared" si="123"/>
        <v>-2.5483751565252316E-2</v>
      </c>
      <c r="J160" s="381">
        <f t="shared" si="123"/>
        <v>4.7906707989704263E-2</v>
      </c>
      <c r="K160" s="381">
        <f t="shared" si="123"/>
        <v>5.3766591989059281E-2</v>
      </c>
      <c r="L160" s="381">
        <f t="shared" si="123"/>
        <v>6.6682360747558678E-2</v>
      </c>
      <c r="M160" s="381">
        <f t="shared" si="123"/>
        <v>1.9832797986531901E-2</v>
      </c>
      <c r="N160" s="381">
        <f t="shared" si="123"/>
        <v>5.0439813646837209E-2</v>
      </c>
      <c r="O160" s="381">
        <f t="shared" si="123"/>
        <v>7.2775500619102512E-2</v>
      </c>
      <c r="P160" s="381">
        <f t="shared" si="123"/>
        <v>6.6674361380232611E-2</v>
      </c>
      <c r="Q160" s="381">
        <f t="shared" si="123"/>
        <v>6.1411642233225254E-2</v>
      </c>
      <c r="R160" s="381">
        <f t="shared" si="123"/>
        <v>1.855407900599633E-2</v>
      </c>
      <c r="S160" s="381">
        <f t="shared" si="123"/>
        <v>5.7876140555231992E-2</v>
      </c>
      <c r="T160" s="545">
        <f t="shared" si="123"/>
        <v>3.8420067011839629E-2</v>
      </c>
      <c r="U160" s="545">
        <f t="shared" si="123"/>
        <v>3.2696674487121387E-2</v>
      </c>
    </row>
    <row r="161" spans="1:21" ht="12.75">
      <c r="A161" s="290"/>
      <c r="B161" s="380"/>
      <c r="C161"/>
      <c r="D161"/>
      <c r="E161"/>
      <c r="F16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545"/>
      <c r="U161" s="545"/>
    </row>
    <row r="162" spans="1:21" ht="12.75">
      <c r="A162" s="290">
        <v>6</v>
      </c>
      <c r="B162" s="380" t="s">
        <v>373</v>
      </c>
      <c r="C162"/>
      <c r="D162"/>
      <c r="E162"/>
      <c r="F162"/>
      <c r="G162" s="381"/>
      <c r="H162" s="381">
        <f t="shared" ref="H162:T162" si="124">(H141-G141)/G141</f>
        <v>-0.13691026827012026</v>
      </c>
      <c r="I162" s="381">
        <f t="shared" si="124"/>
        <v>0.35905680600214362</v>
      </c>
      <c r="J162" s="381">
        <f t="shared" si="124"/>
        <v>9.5820189274447951E-2</v>
      </c>
      <c r="K162" s="381">
        <f t="shared" si="124"/>
        <v>0.23889391867578294</v>
      </c>
      <c r="L162" s="381">
        <f t="shared" si="124"/>
        <v>-0.14141803467102709</v>
      </c>
      <c r="M162" s="381">
        <f t="shared" si="124"/>
        <v>3.9580514208389712E-2</v>
      </c>
      <c r="N162" s="381">
        <f t="shared" si="124"/>
        <v>-6.4432150992515452E-2</v>
      </c>
      <c r="O162" s="381">
        <f t="shared" si="124"/>
        <v>-2.1349495652174127E-2</v>
      </c>
      <c r="P162" s="381">
        <f t="shared" si="124"/>
        <v>-1.7465043789455863E-4</v>
      </c>
      <c r="Q162" s="381">
        <f t="shared" si="124"/>
        <v>-2.9248571910390862E-4</v>
      </c>
      <c r="R162" s="381">
        <f t="shared" si="124"/>
        <v>0.17863440180407078</v>
      </c>
      <c r="S162" s="381">
        <f t="shared" si="124"/>
        <v>4.5047899939439209E-2</v>
      </c>
      <c r="T162" s="545">
        <f t="shared" si="124"/>
        <v>4.222719399538253E-3</v>
      </c>
      <c r="U162" s="545">
        <f>(U141-T141)/T141</f>
        <v>-8.2823556129536902E-2</v>
      </c>
    </row>
    <row r="163" spans="1:21" ht="12.75">
      <c r="A163" s="290"/>
      <c r="B163"/>
      <c r="C163"/>
      <c r="D163"/>
      <c r="E163"/>
      <c r="F163"/>
      <c r="G163"/>
      <c r="H163"/>
      <c r="I163"/>
      <c r="J163"/>
      <c r="K163"/>
      <c r="L163" s="374"/>
      <c r="M163"/>
      <c r="N163" s="374"/>
      <c r="O163"/>
      <c r="P163" s="374"/>
      <c r="Q163" s="285"/>
      <c r="R163" s="285"/>
      <c r="S163" s="38"/>
      <c r="T163" s="38"/>
      <c r="U163" s="38"/>
    </row>
    <row r="164" spans="1:21" ht="12.75">
      <c r="A164" s="290"/>
      <c r="B164" s="287" t="s">
        <v>609</v>
      </c>
      <c r="C164" s="287"/>
      <c r="D164" s="288"/>
      <c r="E164" s="289"/>
      <c r="F164" s="289"/>
      <c r="G164" s="410"/>
      <c r="H164" s="410" t="s">
        <v>533</v>
      </c>
      <c r="I164" s="410" t="s">
        <v>537</v>
      </c>
      <c r="J164" s="410" t="s">
        <v>534</v>
      </c>
      <c r="K164" s="410" t="s">
        <v>535</v>
      </c>
      <c r="L164" s="410" t="s">
        <v>536</v>
      </c>
      <c r="M164" s="410" t="s">
        <v>619</v>
      </c>
      <c r="N164" s="410" t="s">
        <v>620</v>
      </c>
      <c r="O164" s="410" t="s">
        <v>621</v>
      </c>
      <c r="P164" s="410" t="s">
        <v>622</v>
      </c>
      <c r="Q164" s="410" t="s">
        <v>623</v>
      </c>
      <c r="R164" s="410" t="s">
        <v>624</v>
      </c>
      <c r="S164" s="410" t="s">
        <v>625</v>
      </c>
      <c r="T164" s="543" t="s">
        <v>626</v>
      </c>
      <c r="U164" s="543" t="s">
        <v>618</v>
      </c>
    </row>
    <row r="165" spans="1:21" ht="13.5" thickBot="1">
      <c r="A165" s="290"/>
      <c r="B165"/>
      <c r="C165"/>
      <c r="D165"/>
      <c r="E165"/>
      <c r="F165"/>
      <c r="G165" s="382"/>
      <c r="H165" s="382"/>
      <c r="I165" s="382"/>
      <c r="J165" s="382"/>
      <c r="K165" s="382"/>
      <c r="L165" s="382"/>
      <c r="M165" s="382"/>
      <c r="N165" s="499"/>
      <c r="O165" s="382"/>
      <c r="P165" s="285"/>
      <c r="Q165" s="285"/>
      <c r="R165" s="285"/>
      <c r="S165" s="52"/>
      <c r="T165" s="52"/>
      <c r="U165" s="52"/>
    </row>
    <row r="166" spans="1:21" ht="12.75">
      <c r="A166" s="290">
        <v>7</v>
      </c>
      <c r="B166" s="501" t="s">
        <v>413</v>
      </c>
      <c r="C166"/>
      <c r="D166"/>
      <c r="E166"/>
      <c r="F166"/>
      <c r="G166" s="383"/>
      <c r="H166" s="383">
        <f>RATE(13,,-G104,$T104)</f>
        <v>5.4081916593289182E-2</v>
      </c>
      <c r="I166" s="383">
        <f>RATE(12,,-H104,$T104)</f>
        <v>4.6631891217058082E-2</v>
      </c>
      <c r="J166" s="383">
        <f>RATE(11,,-I104,$T104)</f>
        <v>5.4403945665502343E-2</v>
      </c>
      <c r="K166" s="383">
        <f>RATE(10,,-J104,$T104)</f>
        <v>4.7830559573585583E-2</v>
      </c>
      <c r="L166" s="383">
        <f>RATE(9,,-K104,$T104)</f>
        <v>5.2157192986189232E-2</v>
      </c>
      <c r="M166" s="383">
        <f>RATE(9,,-L104,$U104)</f>
        <v>4.5506660115296499E-2</v>
      </c>
      <c r="N166" s="617">
        <f>RATE(8,,-M104,$U104)</f>
        <v>4.6436976263119586E-2</v>
      </c>
      <c r="O166" s="494">
        <f>RATE(7,,-N104,$U104)</f>
        <v>4.2390729176364703E-2</v>
      </c>
      <c r="P166" s="494">
        <f>RATE(6,,-O104,$U104)</f>
        <v>3.4310641345952839E-2</v>
      </c>
      <c r="Q166" s="494">
        <f>RATE(5,,-P104,$U104)</f>
        <v>3.1299244759834213E-2</v>
      </c>
      <c r="R166" s="494">
        <f>RATE(4,,-Q104,$U104)</f>
        <v>1.8069650204744638E-2</v>
      </c>
      <c r="S166" s="494">
        <f>RATE(3,,-R104,$U104)</f>
        <v>-5.0041314022389099E-3</v>
      </c>
      <c r="T166" s="494">
        <f>RATE(2,,-S104,$U104)</f>
        <v>1.572723360579235E-2</v>
      </c>
      <c r="U166" s="494">
        <f>RATE(1,,-T104,$U104)</f>
        <v>1.2934426354753236E-2</v>
      </c>
    </row>
    <row r="167" spans="1:21" ht="9" customHeight="1">
      <c r="A167" s="290"/>
      <c r="B167" s="501"/>
      <c r="C167"/>
      <c r="D167"/>
      <c r="E167"/>
      <c r="F167"/>
      <c r="G167" s="383"/>
      <c r="H167" s="383"/>
      <c r="I167" s="383"/>
      <c r="J167" s="383"/>
      <c r="K167" s="383"/>
      <c r="L167" s="383"/>
      <c r="M167" s="383"/>
      <c r="N167" s="437"/>
      <c r="O167" s="383"/>
      <c r="P167" s="383"/>
      <c r="Q167" s="383"/>
      <c r="R167" s="383"/>
      <c r="S167" s="383"/>
      <c r="T167" s="494"/>
      <c r="U167" s="494"/>
    </row>
    <row r="168" spans="1:21" ht="12.75">
      <c r="A168" s="284" t="s">
        <v>468</v>
      </c>
      <c r="B168" s="501"/>
      <c r="C168"/>
      <c r="D168"/>
      <c r="E168"/>
      <c r="F168"/>
      <c r="G168" s="383"/>
      <c r="H168" s="383"/>
      <c r="I168" s="383"/>
      <c r="J168" s="383"/>
      <c r="K168" s="383"/>
      <c r="L168" s="383"/>
      <c r="M168" s="383"/>
      <c r="N168" s="608"/>
      <c r="O168" s="383"/>
      <c r="P168" s="383"/>
      <c r="Q168" s="383"/>
      <c r="R168" s="383"/>
      <c r="S168" s="383"/>
      <c r="T168" s="494"/>
      <c r="U168" s="494"/>
    </row>
    <row r="169" spans="1:21" ht="8.25" customHeight="1">
      <c r="A169" s="284"/>
      <c r="B169" s="501"/>
      <c r="C169"/>
      <c r="D169"/>
      <c r="E169"/>
      <c r="F169"/>
      <c r="G169" s="383"/>
      <c r="H169" s="383"/>
      <c r="I169" s="383"/>
      <c r="J169" s="383"/>
      <c r="K169" s="383"/>
      <c r="L169" s="383"/>
      <c r="M169" s="383"/>
      <c r="N169" s="437"/>
      <c r="O169" s="383"/>
      <c r="P169" s="383"/>
      <c r="Q169" s="383"/>
      <c r="R169" s="383"/>
      <c r="S169" s="383"/>
      <c r="T169" s="494"/>
      <c r="U169" s="494"/>
    </row>
    <row r="170" spans="1:21" ht="12.75">
      <c r="A170" s="284">
        <v>8</v>
      </c>
      <c r="B170" s="501" t="s">
        <v>423</v>
      </c>
      <c r="C170"/>
      <c r="D170"/>
      <c r="E170"/>
      <c r="F170"/>
      <c r="G170" s="383"/>
      <c r="H170" s="383">
        <f>RATE(13,,-G111,$T111)</f>
        <v>6.394726835508166E-2</v>
      </c>
      <c r="I170" s="383">
        <f t="shared" ref="I170" si="125">RATE(12,,-H111,$T111)</f>
        <v>4.9275576140767163E-2</v>
      </c>
      <c r="J170" s="383">
        <f>RATE(11,,-I111,$T111)</f>
        <v>5.1925982638870098E-2</v>
      </c>
      <c r="K170" s="383">
        <f>RATE(10,,-J111,$T111)</f>
        <v>5.3017457362145651E-2</v>
      </c>
      <c r="L170" s="383">
        <f>RATE(9,,-K111,$T111)</f>
        <v>5.5723629797216304E-2</v>
      </c>
      <c r="M170" s="636">
        <f>RATE(8,,-L111,$U111)</f>
        <v>6.575479924691624E-2</v>
      </c>
      <c r="N170" s="690">
        <f>RATE(7,,-M111,$U111)</f>
        <v>7.1380534626542841E-2</v>
      </c>
      <c r="O170" s="636">
        <f>RATE(6,,-N111,$U111)</f>
        <v>7.192759501672201E-2</v>
      </c>
      <c r="P170" s="636">
        <f>RATE(5,,-O111,$U111)</f>
        <v>7.503951538889167E-2</v>
      </c>
      <c r="Q170" s="636">
        <f>RATE(4,,-P111,$U111)</f>
        <v>7.4179115478661947E-2</v>
      </c>
      <c r="R170" s="636">
        <f>RATE(3,,-Q111,$U111)</f>
        <v>7.9611722028349582E-2</v>
      </c>
      <c r="S170" s="636">
        <f>RATE(2,,-R111,$U111)</f>
        <v>8.6556937464884534E-2</v>
      </c>
      <c r="T170" s="636">
        <f>RATE(1,,-S111,$U111)</f>
        <v>0.15394309212708079</v>
      </c>
      <c r="U170" s="636">
        <f>RATE(1,,-T111,$U111)</f>
        <v>7.9682263869926773E-2</v>
      </c>
    </row>
    <row r="171" spans="1:21" ht="9.75" customHeight="1">
      <c r="A171" s="284"/>
      <c r="B171" s="501"/>
      <c r="C171"/>
      <c r="D171" s="10"/>
      <c r="E171"/>
      <c r="F171"/>
      <c r="G171" s="293"/>
      <c r="H171" s="293"/>
      <c r="I171" s="293"/>
      <c r="J171" s="293"/>
      <c r="K171" s="293"/>
      <c r="L171" s="293"/>
      <c r="M171" s="637"/>
      <c r="N171" s="690"/>
      <c r="O171" s="637"/>
      <c r="P171" s="637"/>
      <c r="Q171" s="637"/>
      <c r="R171" s="637"/>
      <c r="S171" s="637"/>
      <c r="T171" s="637"/>
      <c r="U171" s="637"/>
    </row>
    <row r="172" spans="1:21" ht="12.75">
      <c r="A172" s="284">
        <v>9</v>
      </c>
      <c r="B172" s="501" t="s">
        <v>509</v>
      </c>
      <c r="C172"/>
      <c r="D172"/>
      <c r="E172"/>
      <c r="F172"/>
      <c r="G172" s="383"/>
      <c r="H172" s="383">
        <f>RATE(13,,-G127,$T127)</f>
        <v>4.9646436673635205E-2</v>
      </c>
      <c r="I172" s="383">
        <f>RATE(12,,-H127,$T127)</f>
        <v>3.9162287791346007E-2</v>
      </c>
      <c r="J172" s="383">
        <f>RATE(11,,-I127,$T127)</f>
        <v>4.3588114907390833E-2</v>
      </c>
      <c r="K172" s="383">
        <f>RATE(10,,-J127,$T127)</f>
        <v>4.5176613452509444E-2</v>
      </c>
      <c r="L172" s="383">
        <f>RATE(9,,-K127,$T127)</f>
        <v>4.8868780891212514E-2</v>
      </c>
      <c r="M172" s="636">
        <f>RATE(8,,-L127,$U127)</f>
        <v>6.2301559706352566E-2</v>
      </c>
      <c r="N172" s="690">
        <f>RATE(7,,-M127,$U127)</f>
        <v>7.7672499304023992E-2</v>
      </c>
      <c r="O172" s="636">
        <f>RATE(6,,-N127,$U127)</f>
        <v>8.5396458908284026E-2</v>
      </c>
      <c r="P172" s="636">
        <f>RATE(5,,-O127,$U127)</f>
        <v>9.1453524472106015E-2</v>
      </c>
      <c r="Q172" s="636">
        <f>RATE(4,,-P127,$U127)</f>
        <v>8.809086540319086E-2</v>
      </c>
      <c r="R172" s="636">
        <f>RATE(3,,-Q127,$U127)</f>
        <v>8.1258530656507386E-2</v>
      </c>
      <c r="S172" s="636">
        <f>RATE(2,,-R127,$U127)</f>
        <v>0.1060573379814569</v>
      </c>
      <c r="T172" s="636">
        <f>RATE(1,,-S127,$U127)</f>
        <v>0.1388635673047707</v>
      </c>
      <c r="U172" s="636">
        <f>RATE(1,,-T127,$U127)</f>
        <v>7.3561961305106338E-2</v>
      </c>
    </row>
    <row r="173" spans="1:21" ht="9" customHeight="1">
      <c r="A173" s="284"/>
      <c r="B173" s="474"/>
      <c r="C173"/>
      <c r="D173" s="10"/>
      <c r="E173"/>
      <c r="F173"/>
      <c r="G173" s="293"/>
      <c r="H173" s="293"/>
      <c r="I173" s="293"/>
      <c r="J173" s="293"/>
      <c r="K173" s="293"/>
      <c r="L173" s="293"/>
      <c r="M173" s="637"/>
      <c r="N173" s="690"/>
      <c r="O173" s="637"/>
      <c r="P173" s="637"/>
      <c r="Q173" s="637"/>
      <c r="R173" s="637"/>
      <c r="S173" s="637"/>
      <c r="T173" s="637"/>
      <c r="U173" s="637"/>
    </row>
    <row r="174" spans="1:21" ht="12.75">
      <c r="A174" s="284">
        <v>10</v>
      </c>
      <c r="B174" s="380" t="s">
        <v>291</v>
      </c>
      <c r="C174"/>
      <c r="D174"/>
      <c r="E174" s="285"/>
      <c r="F174" s="285"/>
      <c r="G174" s="384"/>
      <c r="H174" s="384">
        <f>RATE(13,,-G130,$T130)</f>
        <v>4.7751654874845346E-2</v>
      </c>
      <c r="I174" s="384">
        <f>RATE(12,,-H130,$T130)</f>
        <v>4.2209353212042514E-2</v>
      </c>
      <c r="J174" s="384">
        <f>RATE(11,,-I130,$T130)</f>
        <v>4.8598924277941435E-2</v>
      </c>
      <c r="K174" s="384">
        <f>RATE(10,,-J130,$T130)</f>
        <v>4.830330876750677E-2</v>
      </c>
      <c r="L174" s="384">
        <f>RATE(9,,-K130,$T130)</f>
        <v>4.7611606013095532E-2</v>
      </c>
      <c r="M174" s="638">
        <f>RATE(8,,-L130,$U130)</f>
        <v>4.8512108726371593E-2</v>
      </c>
      <c r="N174" s="690">
        <f>RATE(7,,-M130,$U130)</f>
        <v>5.2993332527814893E-2</v>
      </c>
      <c r="O174" s="638">
        <f>RATE(6,,-N130,$U130)</f>
        <v>5.2942900645153189E-2</v>
      </c>
      <c r="P174" s="638">
        <f>RATE(5,,-O130,$U130)</f>
        <v>4.8330526542819371E-2</v>
      </c>
      <c r="Q174" s="638">
        <f>RATE(4,,-P130,$U130)</f>
        <v>4.8050381100782538E-2</v>
      </c>
      <c r="R174" s="638">
        <f>RATE(3,,-Q130,$U130)</f>
        <v>4.7634479091182125E-2</v>
      </c>
      <c r="S174" s="638">
        <f>RATE(2,,-R130,$U130)</f>
        <v>5.1034325428805351E-2</v>
      </c>
      <c r="T174" s="638">
        <f>RATE(1,,-S130,$U130)</f>
        <v>4.6028903523820074E-2</v>
      </c>
      <c r="U174" s="638">
        <f>RATE(1,,-T130,$U130)</f>
        <v>2.9239096783542785E-2</v>
      </c>
    </row>
    <row r="175" spans="1:21" ht="8.25" customHeight="1">
      <c r="A175" s="284"/>
      <c r="B175" s="380"/>
      <c r="C175" s="473"/>
      <c r="D175" s="473"/>
      <c r="E175" s="285"/>
      <c r="F175" s="285"/>
      <c r="G175" s="384"/>
      <c r="H175" s="384"/>
      <c r="I175" s="384"/>
      <c r="J175" s="384"/>
      <c r="K175" s="384"/>
      <c r="L175" s="384"/>
      <c r="M175" s="638"/>
      <c r="N175" s="690"/>
      <c r="O175" s="638"/>
      <c r="P175" s="638"/>
      <c r="Q175" s="638"/>
      <c r="R175" s="638"/>
      <c r="S175" s="638"/>
      <c r="T175" s="638"/>
      <c r="U175" s="638"/>
    </row>
    <row r="176" spans="1:21" ht="12.75">
      <c r="A176" s="284">
        <v>11</v>
      </c>
      <c r="B176" s="380" t="s">
        <v>372</v>
      </c>
      <c r="C176"/>
      <c r="D176"/>
      <c r="E176"/>
      <c r="F176"/>
      <c r="G176" s="384"/>
      <c r="H176" s="384">
        <f>RATE(13,,-G133,$T133)</f>
        <v>5.9916811852193413E-2</v>
      </c>
      <c r="I176" s="384">
        <f>RATE(12,,-H133,$T133)</f>
        <v>4.3719972514857285E-2</v>
      </c>
      <c r="J176" s="384">
        <f>RATE(11,,-I133,$T133)</f>
        <v>5.0249835767023479E-2</v>
      </c>
      <c r="K176" s="384">
        <f>RATE(10,,-J133,$T133)</f>
        <v>5.0484436510544822E-2</v>
      </c>
      <c r="L176" s="384">
        <f>RATE(9,,-K133,$T133)</f>
        <v>5.01203841945803E-2</v>
      </c>
      <c r="M176" s="638">
        <f>RATE(8,,-L133,$U133)</f>
        <v>5.2291792359398279E-2</v>
      </c>
      <c r="N176" s="690">
        <f>RATE(7,,-M133,$U133)</f>
        <v>5.7012370236476283E-2</v>
      </c>
      <c r="O176" s="638">
        <f>RATE(6,,-N133,$U133)</f>
        <v>5.8111787591986847E-2</v>
      </c>
      <c r="P176" s="638">
        <f>RATE(5,,-O133,$U133)</f>
        <v>5.5203185707172669E-2</v>
      </c>
      <c r="Q176" s="638">
        <f>RATE(4,,-P133,$U133)</f>
        <v>5.2354719284925903E-2</v>
      </c>
      <c r="R176" s="638">
        <f>RATE(3,,-Q133,$U133)</f>
        <v>4.9352951394020912E-2</v>
      </c>
      <c r="S176" s="638">
        <f>RATE(2,,-R133,$U133)</f>
        <v>6.5099881467115664E-2</v>
      </c>
      <c r="T176" s="638">
        <f>RATE(1,,-S133,$U133)</f>
        <v>7.2372949923820457E-2</v>
      </c>
      <c r="U176" s="638">
        <f>RATE(1,,-T133,$U133)</f>
        <v>3.2696674487121408E-2</v>
      </c>
    </row>
    <row r="177" spans="1:21" ht="12.75">
      <c r="A177" s="284"/>
      <c r="B177" s="294"/>
      <c r="C177" s="294"/>
      <c r="D177" s="10"/>
      <c r="E177" s="285"/>
      <c r="F177" s="285"/>
      <c r="G177" s="293"/>
      <c r="H177" s="293"/>
      <c r="I177" s="293"/>
      <c r="J177" s="293"/>
      <c r="K177" s="293"/>
      <c r="L177" s="293"/>
      <c r="M177" s="637"/>
      <c r="N177" s="690"/>
      <c r="O177" s="637"/>
      <c r="P177" s="637"/>
      <c r="Q177" s="637"/>
      <c r="R177" s="637"/>
      <c r="S177" s="637"/>
      <c r="T177" s="637"/>
      <c r="U177" s="637"/>
    </row>
    <row r="178" spans="1:21" ht="13.5" thickBot="1">
      <c r="A178" s="284">
        <v>12</v>
      </c>
      <c r="B178" s="380" t="s">
        <v>373</v>
      </c>
      <c r="C178"/>
      <c r="D178"/>
      <c r="E178" s="285"/>
      <c r="F178" s="285"/>
      <c r="G178" s="384"/>
      <c r="H178" s="384">
        <f>RATE(13,,-G141,$T141)</f>
        <v>3.7262395787796047E-2</v>
      </c>
      <c r="I178" s="384">
        <f>RATE(12,,-H141,$T141)</f>
        <v>5.3273984047451164E-2</v>
      </c>
      <c r="J178" s="384">
        <f>RATE(11,,-I141,$T141)</f>
        <v>2.914853821848196E-2</v>
      </c>
      <c r="K178" s="384">
        <f>RATE(10,,-J141,$T141)</f>
        <v>2.2708670528141389E-2</v>
      </c>
      <c r="L178" s="384">
        <f>RATE(9,,-K141,$T141)</f>
        <v>1.1481795651673353E-3</v>
      </c>
      <c r="M178" s="638">
        <f>RATE(8,,-L141,$U141)</f>
        <v>9.5888569722234144E-3</v>
      </c>
      <c r="N178" s="691">
        <f>RATE(7,,-M141,$U141)</f>
        <v>5.375557497246255E-3</v>
      </c>
      <c r="O178" s="638">
        <f>RATE(6,,-N141,$U141)</f>
        <v>1.7506427941137492E-2</v>
      </c>
      <c r="P178" s="638">
        <f>RATE(5,,-O141,$U141)</f>
        <v>2.5460813164350761E-2</v>
      </c>
      <c r="Q178" s="638">
        <f>RATE(4,,-P141,$U141)</f>
        <v>3.1971729868492366E-2</v>
      </c>
      <c r="R178" s="638">
        <f>RATE(3,,-Q141,$U141)</f>
        <v>4.295622726159453E-2</v>
      </c>
      <c r="S178" s="638">
        <f>RATE(2,,-R141,$U141)</f>
        <v>-1.8908381004691766E-2</v>
      </c>
      <c r="T178" s="638">
        <f>RATE(1,,-S141,$U141)</f>
        <v>-7.8950577367205635E-2</v>
      </c>
      <c r="U178" s="638">
        <f>RATE(1,,-T141,$U141)</f>
        <v>-8.2823556129536832E-2</v>
      </c>
    </row>
    <row r="179" spans="1:21" ht="12.75" thickBot="1">
      <c r="A179" s="290"/>
      <c r="B179" s="294"/>
      <c r="C179" s="294"/>
      <c r="D179" s="294"/>
      <c r="E179" s="295"/>
      <c r="F179" s="295"/>
      <c r="G179" s="285"/>
      <c r="H179" s="285"/>
      <c r="I179" s="285"/>
      <c r="J179" s="285"/>
      <c r="K179" s="285"/>
      <c r="L179" s="285"/>
      <c r="M179" s="285"/>
      <c r="N179" s="374"/>
      <c r="O179" s="285"/>
      <c r="P179" s="285"/>
      <c r="Q179" s="285"/>
      <c r="R179" s="294"/>
      <c r="S179" s="38"/>
      <c r="T179" s="38"/>
      <c r="U179" s="38"/>
    </row>
    <row r="180" spans="1:21" ht="12.75">
      <c r="A180" s="290"/>
      <c r="B180" s="287" t="s">
        <v>607</v>
      </c>
      <c r="C180" s="287"/>
      <c r="D180" s="288"/>
      <c r="E180" s="289"/>
      <c r="F180" s="289"/>
      <c r="G180" s="410"/>
      <c r="H180" s="410" t="s">
        <v>533</v>
      </c>
      <c r="I180" s="410" t="s">
        <v>537</v>
      </c>
      <c r="J180" s="410" t="s">
        <v>534</v>
      </c>
      <c r="K180" s="410" t="s">
        <v>535</v>
      </c>
      <c r="L180" s="410" t="s">
        <v>536</v>
      </c>
      <c r="M180" s="410" t="s">
        <v>619</v>
      </c>
      <c r="N180" s="600" t="s">
        <v>620</v>
      </c>
      <c r="O180" s="410" t="s">
        <v>621</v>
      </c>
      <c r="P180" s="410" t="s">
        <v>622</v>
      </c>
      <c r="Q180" s="410" t="s">
        <v>623</v>
      </c>
      <c r="R180" s="410" t="s">
        <v>624</v>
      </c>
      <c r="S180" s="410" t="s">
        <v>625</v>
      </c>
      <c r="T180" s="543" t="s">
        <v>626</v>
      </c>
      <c r="U180" s="543" t="s">
        <v>532</v>
      </c>
    </row>
    <row r="181" spans="1:21" ht="6.75" customHeight="1">
      <c r="A181" s="290"/>
      <c r="B181" s="294"/>
      <c r="C181" s="294"/>
      <c r="D181" s="294"/>
      <c r="E181" s="295"/>
      <c r="F181" s="295"/>
      <c r="G181" s="385"/>
      <c r="H181" s="385"/>
      <c r="I181" s="385"/>
      <c r="J181" s="385"/>
      <c r="K181" s="385"/>
      <c r="L181" s="385"/>
      <c r="M181" s="385"/>
      <c r="N181" s="601"/>
      <c r="O181" s="385"/>
      <c r="P181" s="385"/>
      <c r="Q181" s="385"/>
      <c r="R181" s="294"/>
      <c r="S181" s="52"/>
      <c r="T181" s="52"/>
      <c r="U181" s="52"/>
    </row>
    <row r="182" spans="1:21">
      <c r="A182" s="290">
        <v>13</v>
      </c>
      <c r="B182" s="501" t="s">
        <v>413</v>
      </c>
      <c r="C182" s="294"/>
      <c r="D182" s="294"/>
      <c r="G182" s="295" t="s">
        <v>538</v>
      </c>
      <c r="H182" s="386">
        <f>2*H166</f>
        <v>0.10816383318657836</v>
      </c>
      <c r="I182" s="386">
        <f t="shared" ref="I182:T182" si="126">2*I166</f>
        <v>9.3263782434116163E-2</v>
      </c>
      <c r="J182" s="386">
        <f t="shared" si="126"/>
        <v>0.10880789133100469</v>
      </c>
      <c r="K182" s="386">
        <f t="shared" si="126"/>
        <v>9.5661119147171167E-2</v>
      </c>
      <c r="L182" s="386">
        <f t="shared" si="126"/>
        <v>0.10431438597237846</v>
      </c>
      <c r="M182" s="386">
        <f>2*M166</f>
        <v>9.1013320230592998E-2</v>
      </c>
      <c r="N182" s="618">
        <f t="shared" si="126"/>
        <v>9.2873952526239173E-2</v>
      </c>
      <c r="O182" s="386">
        <f t="shared" si="126"/>
        <v>8.4781458352729405E-2</v>
      </c>
      <c r="P182" s="386">
        <f t="shared" si="126"/>
        <v>6.8621282691905677E-2</v>
      </c>
      <c r="Q182" s="386">
        <f t="shared" si="126"/>
        <v>6.2598489519668427E-2</v>
      </c>
      <c r="R182" s="386">
        <f t="shared" si="126"/>
        <v>3.6139300409489275E-2</v>
      </c>
      <c r="S182" s="386">
        <f t="shared" si="126"/>
        <v>-1.000826280447782E-2</v>
      </c>
      <c r="T182" s="386">
        <f t="shared" si="126"/>
        <v>3.1454467211584701E-2</v>
      </c>
      <c r="U182" s="547">
        <f t="shared" ref="U182" si="127">2*U166</f>
        <v>2.5868852709506472E-2</v>
      </c>
    </row>
    <row r="183" spans="1:21">
      <c r="A183" s="290"/>
      <c r="B183" s="501"/>
      <c r="C183" s="294"/>
      <c r="D183" s="294"/>
      <c r="G183" s="295"/>
      <c r="H183" s="386"/>
      <c r="I183" s="386"/>
      <c r="J183" s="386"/>
      <c r="K183" s="386"/>
      <c r="L183" s="386"/>
      <c r="M183" s="386"/>
      <c r="N183" s="602"/>
      <c r="O183" s="386"/>
      <c r="P183" s="386"/>
      <c r="Q183" s="386"/>
      <c r="R183" s="386"/>
      <c r="S183" s="386"/>
      <c r="T183" s="386"/>
      <c r="U183" s="547"/>
    </row>
    <row r="184" spans="1:21">
      <c r="A184" s="290" t="s">
        <v>469</v>
      </c>
      <c r="B184" s="501" t="s">
        <v>608</v>
      </c>
      <c r="C184" s="294"/>
      <c r="D184" s="294"/>
      <c r="G184" s="295" t="s">
        <v>538</v>
      </c>
      <c r="H184" s="386"/>
      <c r="I184" s="386"/>
      <c r="J184" s="386"/>
      <c r="K184" s="386"/>
      <c r="L184" s="386"/>
      <c r="M184" s="386"/>
      <c r="N184" s="602">
        <f>2*N168</f>
        <v>0</v>
      </c>
      <c r="O184" s="386"/>
      <c r="P184" s="386"/>
      <c r="Q184" s="386"/>
      <c r="R184" s="386"/>
      <c r="S184" s="386"/>
      <c r="T184" s="386"/>
      <c r="U184" s="547"/>
    </row>
    <row r="185" spans="1:21">
      <c r="A185" s="290"/>
      <c r="B185" s="291"/>
      <c r="C185" s="294"/>
      <c r="D185" s="294"/>
      <c r="G185" s="295"/>
      <c r="H185" s="386"/>
      <c r="I185" s="386"/>
      <c r="J185" s="386"/>
      <c r="K185" s="386"/>
      <c r="L185" s="386"/>
      <c r="M185" s="386"/>
      <c r="N185" s="437"/>
      <c r="O185" s="386"/>
      <c r="P185" s="386"/>
      <c r="Q185" s="386"/>
      <c r="R185" s="386"/>
      <c r="S185" s="43"/>
      <c r="T185" s="486"/>
      <c r="U185" s="486"/>
    </row>
    <row r="186" spans="1:21">
      <c r="A186" s="290">
        <v>14</v>
      </c>
      <c r="B186" s="501" t="s">
        <v>508</v>
      </c>
      <c r="C186" s="294"/>
      <c r="D186" s="294"/>
      <c r="G186" s="573" t="s">
        <v>538</v>
      </c>
      <c r="H186" s="386">
        <f>2*H170</f>
        <v>0.12789453671016332</v>
      </c>
      <c r="I186" s="386">
        <f t="shared" ref="I186:T186" si="128">2*I170</f>
        <v>9.8551152281534327E-2</v>
      </c>
      <c r="J186" s="386">
        <f t="shared" si="128"/>
        <v>0.1038519652777402</v>
      </c>
      <c r="K186" s="386">
        <f t="shared" si="128"/>
        <v>0.1060349147242913</v>
      </c>
      <c r="L186" s="386">
        <f t="shared" si="128"/>
        <v>0.11144725959443261</v>
      </c>
      <c r="M186" s="386">
        <f t="shared" si="128"/>
        <v>0.13150959849383248</v>
      </c>
      <c r="N186" s="602">
        <f t="shared" si="128"/>
        <v>0.14276106925308568</v>
      </c>
      <c r="O186" s="386">
        <f t="shared" si="128"/>
        <v>0.14385519003344402</v>
      </c>
      <c r="P186" s="386">
        <f t="shared" si="128"/>
        <v>0.15007903077778334</v>
      </c>
      <c r="Q186" s="386">
        <f t="shared" si="128"/>
        <v>0.14835823095732389</v>
      </c>
      <c r="R186" s="386">
        <f t="shared" si="128"/>
        <v>0.15922344405669916</v>
      </c>
      <c r="S186" s="386">
        <f t="shared" si="128"/>
        <v>0.17311387492976907</v>
      </c>
      <c r="T186" s="386">
        <f t="shared" si="128"/>
        <v>0.30788618425416159</v>
      </c>
      <c r="U186" s="547">
        <f t="shared" ref="U186" si="129">2*U170</f>
        <v>0.15936452773985355</v>
      </c>
    </row>
    <row r="187" spans="1:21">
      <c r="A187" s="290"/>
      <c r="B187" s="291"/>
      <c r="C187" s="294"/>
      <c r="D187" s="294"/>
      <c r="G187" s="295"/>
      <c r="H187" s="386"/>
      <c r="I187" s="386"/>
      <c r="J187" s="386"/>
      <c r="K187" s="386"/>
      <c r="L187" s="386"/>
      <c r="M187" s="386"/>
      <c r="N187" s="437"/>
      <c r="O187" s="386"/>
      <c r="P187" s="386"/>
      <c r="Q187" s="386"/>
      <c r="R187" s="386"/>
      <c r="S187" s="386"/>
      <c r="T187" s="547"/>
      <c r="U187" s="547"/>
    </row>
    <row r="188" spans="1:21">
      <c r="A188" s="284">
        <v>15</v>
      </c>
      <c r="B188" s="501" t="s">
        <v>509</v>
      </c>
      <c r="C188" s="294"/>
      <c r="D188" s="294"/>
      <c r="G188" s="573" t="s">
        <v>538</v>
      </c>
      <c r="H188" s="386">
        <f>2*H172</f>
        <v>9.9292873347270411E-2</v>
      </c>
      <c r="I188" s="386">
        <f t="shared" ref="I188:T188" si="130">2*I172</f>
        <v>7.8324575582692013E-2</v>
      </c>
      <c r="J188" s="386">
        <f t="shared" si="130"/>
        <v>8.7176229814781667E-2</v>
      </c>
      <c r="K188" s="386">
        <f t="shared" si="130"/>
        <v>9.0353226905018888E-2</v>
      </c>
      <c r="L188" s="386">
        <f t="shared" si="130"/>
        <v>9.7737561782425028E-2</v>
      </c>
      <c r="M188" s="386">
        <f t="shared" si="130"/>
        <v>0.12460311941270513</v>
      </c>
      <c r="N188" s="602">
        <f t="shared" si="130"/>
        <v>0.15534499860804798</v>
      </c>
      <c r="O188" s="386">
        <f t="shared" si="130"/>
        <v>0.17079291781656805</v>
      </c>
      <c r="P188" s="386">
        <f t="shared" si="130"/>
        <v>0.18290704894421203</v>
      </c>
      <c r="Q188" s="386">
        <f t="shared" si="130"/>
        <v>0.17618173080638172</v>
      </c>
      <c r="R188" s="386">
        <f t="shared" si="130"/>
        <v>0.16251706131301477</v>
      </c>
      <c r="S188" s="386">
        <f t="shared" si="130"/>
        <v>0.21211467596291381</v>
      </c>
      <c r="T188" s="386">
        <f t="shared" si="130"/>
        <v>0.2777271346095414</v>
      </c>
      <c r="U188" s="547">
        <f t="shared" ref="U188" si="131">2*U172</f>
        <v>0.14712392261021268</v>
      </c>
    </row>
    <row r="189" spans="1:21" ht="12.75">
      <c r="A189" s="290"/>
      <c r="B189"/>
      <c r="C189" s="294"/>
      <c r="D189" s="294"/>
      <c r="G189" s="295"/>
      <c r="H189" s="385"/>
      <c r="I189" s="385"/>
      <c r="J189" s="385"/>
      <c r="K189" s="385"/>
      <c r="L189" s="385"/>
      <c r="M189" s="385"/>
      <c r="N189" s="438"/>
      <c r="O189" s="385"/>
      <c r="P189" s="385"/>
      <c r="Q189" s="385"/>
      <c r="R189" s="385"/>
      <c r="S189" s="385"/>
      <c r="T189" s="548"/>
      <c r="U189" s="548"/>
    </row>
    <row r="190" spans="1:21">
      <c r="A190" s="290">
        <v>16</v>
      </c>
      <c r="B190" s="380" t="s">
        <v>291</v>
      </c>
      <c r="C190" s="294"/>
      <c r="D190" s="294"/>
      <c r="G190" s="573" t="s">
        <v>538</v>
      </c>
      <c r="H190" s="386">
        <f>2*H174</f>
        <v>9.5503309749690693E-2</v>
      </c>
      <c r="I190" s="386">
        <f t="shared" ref="I190:T190" si="132">2*I174</f>
        <v>8.4418706424085027E-2</v>
      </c>
      <c r="J190" s="386">
        <f t="shared" si="132"/>
        <v>9.7197848555882871E-2</v>
      </c>
      <c r="K190" s="386">
        <f t="shared" si="132"/>
        <v>9.6606617535013539E-2</v>
      </c>
      <c r="L190" s="386">
        <f t="shared" si="132"/>
        <v>9.5223212026191065E-2</v>
      </c>
      <c r="M190" s="386">
        <f t="shared" si="132"/>
        <v>9.7024217452743186E-2</v>
      </c>
      <c r="N190" s="602">
        <f t="shared" si="132"/>
        <v>0.10598666505562979</v>
      </c>
      <c r="O190" s="386">
        <f t="shared" si="132"/>
        <v>0.10588580129030638</v>
      </c>
      <c r="P190" s="386">
        <f t="shared" si="132"/>
        <v>9.6661053085638743E-2</v>
      </c>
      <c r="Q190" s="386">
        <f t="shared" si="132"/>
        <v>9.6100762201565076E-2</v>
      </c>
      <c r="R190" s="386">
        <f t="shared" si="132"/>
        <v>9.526895818236425E-2</v>
      </c>
      <c r="S190" s="386">
        <f t="shared" si="132"/>
        <v>0.1020686508576107</v>
      </c>
      <c r="T190" s="386">
        <f t="shared" si="132"/>
        <v>9.2057807047640147E-2</v>
      </c>
      <c r="U190" s="547">
        <f t="shared" ref="U190" si="133">2*U174</f>
        <v>5.8478193567085571E-2</v>
      </c>
    </row>
    <row r="191" spans="1:21">
      <c r="A191" s="290"/>
      <c r="B191" s="292"/>
      <c r="C191" s="294"/>
      <c r="D191" s="294"/>
      <c r="G191" s="295"/>
      <c r="H191" s="386"/>
      <c r="I191" s="386"/>
      <c r="J191" s="386"/>
      <c r="K191" s="386"/>
      <c r="L191" s="386"/>
      <c r="M191" s="386"/>
      <c r="N191" s="437"/>
      <c r="O191" s="386"/>
      <c r="P191" s="386"/>
      <c r="Q191" s="386"/>
      <c r="R191" s="386"/>
      <c r="S191" s="386"/>
      <c r="T191" s="547"/>
      <c r="U191" s="547"/>
    </row>
    <row r="192" spans="1:21">
      <c r="A192" s="290">
        <v>17</v>
      </c>
      <c r="B192" s="380" t="s">
        <v>372</v>
      </c>
      <c r="G192" s="573" t="s">
        <v>538</v>
      </c>
      <c r="H192" s="386">
        <f>2*H176</f>
        <v>0.11983362370438683</v>
      </c>
      <c r="I192" s="386">
        <f t="shared" ref="I192:T194" si="134">2*I176</f>
        <v>8.7439945029714569E-2</v>
      </c>
      <c r="J192" s="386">
        <f t="shared" si="134"/>
        <v>0.10049967153404696</v>
      </c>
      <c r="K192" s="386">
        <f t="shared" si="134"/>
        <v>0.10096887302108964</v>
      </c>
      <c r="L192" s="386">
        <f t="shared" si="134"/>
        <v>0.1002407683891606</v>
      </c>
      <c r="M192" s="386">
        <f t="shared" si="134"/>
        <v>0.10458358471879656</v>
      </c>
      <c r="N192" s="602">
        <f t="shared" si="134"/>
        <v>0.11402474047295257</v>
      </c>
      <c r="O192" s="386">
        <f t="shared" si="134"/>
        <v>0.11622357518397369</v>
      </c>
      <c r="P192" s="386">
        <f t="shared" si="134"/>
        <v>0.11040637141434534</v>
      </c>
      <c r="Q192" s="386">
        <f t="shared" si="134"/>
        <v>0.10470943856985181</v>
      </c>
      <c r="R192" s="386">
        <f t="shared" si="134"/>
        <v>9.8705902788041824E-2</v>
      </c>
      <c r="S192" s="386">
        <f t="shared" si="134"/>
        <v>0.13019976293423133</v>
      </c>
      <c r="T192" s="386">
        <f t="shared" si="134"/>
        <v>0.14474589984764091</v>
      </c>
      <c r="U192" s="547">
        <f t="shared" ref="U192" si="135">2*U176</f>
        <v>6.5393348974242815E-2</v>
      </c>
    </row>
    <row r="193" spans="1:21" ht="12.75">
      <c r="A193" s="290"/>
      <c r="B193"/>
      <c r="G193" s="39"/>
      <c r="H193" s="38"/>
      <c r="I193" s="38"/>
      <c r="J193" s="38"/>
      <c r="K193" s="38"/>
      <c r="L193" s="38"/>
      <c r="M193" s="38"/>
      <c r="N193" s="438"/>
      <c r="O193" s="38"/>
      <c r="P193" s="38"/>
      <c r="Q193" s="38"/>
      <c r="S193" s="38"/>
      <c r="T193" s="38"/>
      <c r="U193" s="38"/>
    </row>
    <row r="194" spans="1:21">
      <c r="A194" s="284">
        <v>18</v>
      </c>
      <c r="B194" s="380" t="s">
        <v>373</v>
      </c>
      <c r="G194" s="573" t="s">
        <v>538</v>
      </c>
      <c r="H194" s="386">
        <f t="shared" ref="H194:L194" si="136">(1+H178)^2-1</f>
        <v>7.5913277715438321E-2</v>
      </c>
      <c r="I194" s="386">
        <f t="shared" si="136"/>
        <v>0.10938608547119055</v>
      </c>
      <c r="J194" s="386">
        <f t="shared" si="136"/>
        <v>5.914671371723812E-2</v>
      </c>
      <c r="K194" s="386">
        <f t="shared" si="136"/>
        <v>4.5933024773438413E-2</v>
      </c>
      <c r="L194" s="386">
        <f t="shared" si="136"/>
        <v>2.2976774466485494E-3</v>
      </c>
      <c r="M194" s="386">
        <f t="shared" si="134"/>
        <v>1.9177713944446829E-2</v>
      </c>
      <c r="N194" s="639">
        <f t="shared" si="134"/>
        <v>1.075111499449251E-2</v>
      </c>
      <c r="O194" s="386">
        <f t="shared" si="134"/>
        <v>3.5012855882274985E-2</v>
      </c>
      <c r="P194" s="386">
        <f t="shared" si="134"/>
        <v>5.0921626328701522E-2</v>
      </c>
      <c r="Q194" s="386">
        <f t="shared" si="134"/>
        <v>6.3943459736984731E-2</v>
      </c>
      <c r="R194" s="386">
        <f t="shared" si="134"/>
        <v>8.5912454523189061E-2</v>
      </c>
      <c r="S194" s="386">
        <f t="shared" si="134"/>
        <v>-3.7816762009383532E-2</v>
      </c>
      <c r="T194" s="386">
        <f t="shared" si="134"/>
        <v>-0.15790115473441127</v>
      </c>
      <c r="U194" s="547">
        <f>2*U178</f>
        <v>-0.16564711225907366</v>
      </c>
    </row>
    <row r="195" spans="1:21"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1:21"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21"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1:21"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1:21"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1:21"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1:21"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1:21"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1:21"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21"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1:21"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1:21"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1:21"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1:21"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7:17"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7:17"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7:17"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7:17"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7:17"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7:17"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7:17"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7:17"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7:17"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7:17"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7:17"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7:17"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7:17"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7:17"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7:17"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7:17"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7:17"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7:17"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7:17"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7:17"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7:17"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7:17"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7:17"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7:17"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7:17"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7:17"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7:17"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7:17"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7:17"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7:17"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7:17"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7:17"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7:17"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7:17"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7:17"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7:17"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7:17"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7:17"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7:17"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7:17"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7:17"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7:17"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7:17"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7:17"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7:17"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7:17"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7:17"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7:17"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7:17"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7:17"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7:17"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7:17"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7:17"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7:17"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7:17"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7:17"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7:17"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7:17"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7:17"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7:17"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7:17"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7:17"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7:17"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7:17"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7:17"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7:17"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7:17"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7:17"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7:17"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7:17"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7:17"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7:17"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7:17"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7:17"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7:17"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7:17"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7:17"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7:17"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7:17"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7:17"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7:17"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7:17"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7:17"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7:17"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7:17"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7:17"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7:17"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7:17"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7:17"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7:17"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7:17"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7:17"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7:17"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7:17"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7:17"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7:17"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7:17"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7:17"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7:17"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7:17"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7:17"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7:17"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7:17"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7:17"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7:17"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7:17"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7:17"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7:17"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7:17"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7:17"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7:17"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7:17"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7:17"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7:17"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7:17"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7:17"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7:17"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7:17"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7:17"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7:17"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7:17"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7:17"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7:17"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7:17"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7:17"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7:17"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7:17"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7:17"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7:17"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7:17"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7:17"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7:17"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7:17"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7:17"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7:17"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7:17"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7:17"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7:17"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7:17"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7:17"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7:17"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7:17"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7:17"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7:17"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7:17"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7:17"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7:17"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7:17"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7:17"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7:17"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7:17"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7:17"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7:17"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7:17"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7:17"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7:17"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7:17"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7:17"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7:17"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7:17"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7:17"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7:17"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7:17"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7:17"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7:17"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7:17"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7:17"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7:17"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7:17"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7:17"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7:17"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7:17"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7:17"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7:17"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7:17"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7:17"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7:17"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7:17"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7:17"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7:17"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7:17"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7:17"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7:17"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7:17"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7:17"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7:17"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7:17"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7:17"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7:17"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7:17"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7:17"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7:17"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7:17"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7:17"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7:17"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7:17"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7:17"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7:17"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7:17"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7:17"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7:17"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7:17"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7:17"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7:17"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7:17"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7:17"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7:17"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7:17"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7:17"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7:17"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7:17"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7:17"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7:17"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7:17"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7:17"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7:17"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7:17"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7:17"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7:17"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7:17"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7:17"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7:17"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7:17"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7:17"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7:17"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7:17"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7:17"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7:17"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7:17"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7:17"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7:17"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7:17"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7:17"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7:17"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7:17"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7:17"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7:17"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7:17"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7:17"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7:17"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7:17"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7:17"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7:17"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7:17"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7:17"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7:17"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7:17"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7:17"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7:17"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7:17"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7:17"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7:17"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7:17"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7:17"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7:17"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7:17"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7:17"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7:17"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7:17"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7:17"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7:17"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7:17"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7:17"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7:17"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7:17"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7:17"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7:17"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7:17"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7:17"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7:17"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7:17"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7:17"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7:17"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7:17"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7:17"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7:17"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7:17"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7:17"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7:17"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7:17"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7:17"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7:17"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7:17"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7:17"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7:17"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7:17"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7:17"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7:17"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7:17"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7:17"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7:17"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7:17"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7:17"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7:17"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7:17"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7:17"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7:17"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7:17"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7:17"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7:17"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7:17"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7:17"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7:17"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7:17"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7:17"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7:17"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7:17"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7:17"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7:17"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7:17"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7:17"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7:17"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7:17"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7:17"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7:17"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7:17"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7:17"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7:17"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7:17"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7:17"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7:17"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7:17"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7:17"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7:17"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7:17"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7:17"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7:17"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7:17"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7:17"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7:17"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7:17"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7:17"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7:17"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7:17"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7:17"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7:17"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7:17"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7:17"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7:17"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7:17"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7:17"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7:17"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7:17"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7:17"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7:17"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7:17"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7:17"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7:17"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7:17"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7:17"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7:17"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7:17"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7:17"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7:17"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7:17"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7:17"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7:17"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7:17"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7:17"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7:17"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7:17"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7:17"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7:17"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7:17"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7:17"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7:17"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7:17"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7:17"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7:17"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7:17"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7:17"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7:17"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7:17"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7:17"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7:17"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7:17"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7:17"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7:17"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7:17"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7:17"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7:17"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7:17"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7:17"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7:17"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7:17"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7:17"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7:17"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7:17"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7:17"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7:17"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7:17"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7:17"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7:17"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7:17"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7:17"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7:17"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7:17"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7:17"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7:17"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7:17"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7:17"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7:17"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7:17"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7:17"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7:17"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7:17"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7:17"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7:17"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7:17"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7:17"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7:17"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7:17"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7:17"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7:17"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7:17"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7:17"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7:17"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7:17"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7:17"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7:17"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7:17"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7:17"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7:17"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7:17"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7:17"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7:17"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7:17"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7:17"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7:17"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7:17"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7:17"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7:17"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7:17"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7:17"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7:17"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7:17"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7:17"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7:17"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7:17"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7:17"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7:17"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7:17"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7:17"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7:17"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7:17"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7:17"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7:17"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7:17"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7:17"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7:17"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7:17"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7:17"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7:17"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7:17"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7:17"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7:17"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7:17"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7:17"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7:17"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7:17"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7:17"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7:17"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7:17"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7:17"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7:17"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7:17"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7:17"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7:17"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7:17"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7:17"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7:17"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7:17"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7:17"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7:17"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7:17"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7:17"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7:17"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7:17"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7:17"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7:17"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7:17"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7:17"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7:17"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7:17"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7:17"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7:17"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7:17"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7:17"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7:17"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7:17"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7:17"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7:17"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7:17"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7:17"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7:17"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7:17"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7:17"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7:17"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7:17"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7:17"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7:17"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7:17"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7:17"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7:17"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7:17"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7:17"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7:17"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7:17"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7:17"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7:17"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7:17"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7:17"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7:17"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7:17"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7:17"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7:17"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7:17"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7:17"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7:17"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7:17"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7:17"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7:17"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7:17"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7:17"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7:17"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7:17"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7:17"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7:17"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7:17"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7:17"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7:17"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7:17"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7:17"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7:17"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7:17"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7:17"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7:17"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7:17"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7:17"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7:17"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7:17"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7:17"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7:17"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7:17"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7:17"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7:17"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7:17"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7:17"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7:17"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7:17"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7:17"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7:17"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7:17"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7:17"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7:17"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7:17"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7:17"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7:17"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7:17"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7:17"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7:17"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7:17"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7:17"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7:17"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7:17"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7:17"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  <row r="775" spans="7:17"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</row>
    <row r="776" spans="7:17"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</row>
    <row r="777" spans="7:17"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</row>
    <row r="778" spans="7:17"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</row>
    <row r="779" spans="7:17"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</row>
    <row r="780" spans="7:17"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</row>
    <row r="781" spans="7:17"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</row>
    <row r="782" spans="7:17"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</row>
    <row r="783" spans="7:17"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</row>
    <row r="784" spans="7:17"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7:17"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</row>
    <row r="786" spans="7:17"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</row>
    <row r="787" spans="7:17"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</row>
    <row r="788" spans="7:17"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7:17"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</row>
    <row r="790" spans="7:17"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</row>
    <row r="791" spans="7:17"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</row>
    <row r="792" spans="7:17"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</row>
    <row r="793" spans="7:17"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</row>
    <row r="794" spans="7:17"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</row>
    <row r="795" spans="7:17"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</row>
    <row r="796" spans="7:17"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</row>
    <row r="797" spans="7:17"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</row>
    <row r="798" spans="7:17"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</row>
    <row r="799" spans="7:17"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</row>
    <row r="800" spans="7:17"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</row>
    <row r="801" spans="7:17"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</row>
    <row r="802" spans="7:17"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</row>
    <row r="803" spans="7:17"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</row>
    <row r="804" spans="7:17"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</row>
    <row r="805" spans="7:17"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</row>
    <row r="806" spans="7:17"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</row>
    <row r="807" spans="7:17"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</row>
    <row r="808" spans="7:17"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</row>
    <row r="809" spans="7:17"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</row>
    <row r="810" spans="7:17"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</row>
    <row r="811" spans="7:17"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</row>
    <row r="812" spans="7:17"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</row>
    <row r="813" spans="7:17"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</row>
    <row r="814" spans="7:17"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</row>
    <row r="815" spans="7:17"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</row>
    <row r="816" spans="7:17"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</row>
    <row r="817" spans="7:17"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</row>
    <row r="818" spans="7:17"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7:17"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</row>
    <row r="820" spans="7:17"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</row>
    <row r="821" spans="7:17"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</row>
    <row r="822" spans="7:17"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</row>
    <row r="823" spans="7:17"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</row>
    <row r="824" spans="7:17"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</row>
    <row r="825" spans="7:17"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</row>
    <row r="826" spans="7:17"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</row>
    <row r="827" spans="7:17"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</row>
    <row r="828" spans="7:17"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</row>
    <row r="829" spans="7:17"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</row>
    <row r="830" spans="7:17"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</row>
    <row r="831" spans="7:17"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7:17"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</row>
    <row r="833" spans="7:17"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</row>
    <row r="834" spans="7:17"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</row>
    <row r="835" spans="7:17"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</row>
    <row r="836" spans="7:17"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</row>
    <row r="837" spans="7:17"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</row>
    <row r="838" spans="7:17"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</row>
    <row r="839" spans="7:17"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</row>
    <row r="840" spans="7:17"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</row>
    <row r="841" spans="7:17"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</row>
    <row r="842" spans="7:17"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</row>
    <row r="843" spans="7:17"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</row>
    <row r="844" spans="7:17"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</row>
    <row r="845" spans="7:17"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</row>
    <row r="846" spans="7:17"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</row>
    <row r="847" spans="7:17"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</row>
    <row r="848" spans="7:17"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</row>
    <row r="849" spans="7:17"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</row>
    <row r="850" spans="7:17"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</row>
    <row r="851" spans="7:17"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</row>
    <row r="852" spans="7:17"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</row>
    <row r="853" spans="7:17"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</row>
    <row r="854" spans="7:17"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</row>
    <row r="855" spans="7:17"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</row>
    <row r="856" spans="7:17"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</row>
    <row r="857" spans="7:17"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</row>
    <row r="858" spans="7:17"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</row>
    <row r="859" spans="7:17"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</row>
    <row r="860" spans="7:17"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</row>
    <row r="861" spans="7:17"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</row>
    <row r="862" spans="7:17"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</row>
    <row r="863" spans="7:17"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</row>
    <row r="864" spans="7:17"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</row>
    <row r="865" spans="7:17"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</row>
    <row r="866" spans="7:17"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</row>
    <row r="867" spans="7:17"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</row>
    <row r="868" spans="7:17"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</row>
    <row r="869" spans="7:17"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</row>
    <row r="870" spans="7:17"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</row>
    <row r="871" spans="7:17"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</row>
    <row r="872" spans="7:17"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</row>
    <row r="873" spans="7:17"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</row>
    <row r="874" spans="7:17"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</row>
    <row r="875" spans="7:17"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</row>
    <row r="876" spans="7:17"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</row>
    <row r="877" spans="7:17"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</row>
    <row r="878" spans="7:17"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</row>
    <row r="879" spans="7:17"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</row>
    <row r="880" spans="7:17"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</row>
    <row r="881" spans="7:17"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</row>
    <row r="882" spans="7:17"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</row>
    <row r="883" spans="7:17"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</row>
    <row r="884" spans="7:17"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</row>
    <row r="885" spans="7:17"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</row>
    <row r="886" spans="7:17"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</row>
    <row r="887" spans="7:17"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</row>
    <row r="888" spans="7:17"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</row>
    <row r="889" spans="7:17"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</row>
    <row r="890" spans="7:17"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</row>
    <row r="891" spans="7:17"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</row>
    <row r="892" spans="7:17"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</row>
    <row r="893" spans="7:17"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</row>
    <row r="894" spans="7:17"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</row>
    <row r="895" spans="7:17"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</row>
    <row r="896" spans="7:17"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</row>
    <row r="897" spans="7:17"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</row>
    <row r="898" spans="7:17"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</row>
    <row r="899" spans="7:17"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</row>
    <row r="900" spans="7:17"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</row>
    <row r="901" spans="7:17"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</row>
    <row r="902" spans="7:17"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</row>
    <row r="903" spans="7:17"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</row>
    <row r="904" spans="7:17"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</row>
    <row r="905" spans="7:17"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</row>
    <row r="906" spans="7:17"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</row>
    <row r="907" spans="7:17"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</row>
    <row r="908" spans="7:17"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</row>
    <row r="909" spans="7:17"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</row>
    <row r="910" spans="7:17"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</row>
    <row r="911" spans="7:17"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</row>
    <row r="912" spans="7:17"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</row>
    <row r="913" spans="7:17"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</row>
    <row r="914" spans="7:17"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</row>
    <row r="915" spans="7:17"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</row>
    <row r="916" spans="7:17"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</row>
    <row r="917" spans="7:17"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</row>
    <row r="918" spans="7:17"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</row>
    <row r="919" spans="7:17"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</row>
    <row r="920" spans="7:17"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</row>
    <row r="921" spans="7:17"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</row>
    <row r="922" spans="7:17"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</row>
    <row r="923" spans="7:17"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</row>
    <row r="924" spans="7:17"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</row>
    <row r="925" spans="7:17"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</row>
    <row r="926" spans="7:17"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</row>
    <row r="927" spans="7:17"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</row>
    <row r="928" spans="7:17"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</row>
    <row r="929" spans="7:17"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</row>
    <row r="930" spans="7:17"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</row>
    <row r="931" spans="7:17"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</row>
    <row r="932" spans="7:17"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</row>
    <row r="933" spans="7:17"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</row>
    <row r="934" spans="7:17"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</row>
    <row r="935" spans="7:17"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</row>
    <row r="936" spans="7:17"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</row>
    <row r="937" spans="7:17"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</row>
    <row r="938" spans="7:17"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</row>
    <row r="939" spans="7:17"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</row>
    <row r="940" spans="7:17"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</row>
    <row r="941" spans="7:17"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</row>
    <row r="942" spans="7:17"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</row>
    <row r="943" spans="7:17"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</row>
    <row r="944" spans="7:17"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</row>
    <row r="945" spans="7:17"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</row>
    <row r="946" spans="7:17"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</row>
    <row r="947" spans="7:17"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</row>
    <row r="948" spans="7:17"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</row>
    <row r="949" spans="7:17"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</row>
    <row r="950" spans="7:17"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</row>
    <row r="951" spans="7:17"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</row>
    <row r="952" spans="7:17"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</row>
    <row r="953" spans="7:17"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</row>
    <row r="954" spans="7:17"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</row>
    <row r="955" spans="7:17"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</row>
    <row r="956" spans="7:17"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</row>
    <row r="957" spans="7:17"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</row>
    <row r="958" spans="7:17"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</row>
    <row r="959" spans="7:17"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</row>
    <row r="960" spans="7:17"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</row>
    <row r="961" spans="7:17"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</row>
    <row r="962" spans="7:17"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</row>
    <row r="963" spans="7:17"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</row>
    <row r="964" spans="7:17"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</row>
    <row r="965" spans="7:17"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</row>
    <row r="966" spans="7:17"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</row>
    <row r="967" spans="7:17"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</row>
    <row r="968" spans="7:17"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</row>
    <row r="969" spans="7:17"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</row>
    <row r="970" spans="7:17"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</row>
    <row r="971" spans="7:17"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</row>
    <row r="972" spans="7:17"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</row>
    <row r="973" spans="7:17"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</row>
    <row r="974" spans="7:17"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</row>
    <row r="975" spans="7:17"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</row>
    <row r="976" spans="7:17"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</row>
    <row r="977" spans="7:17"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</row>
    <row r="978" spans="7:17"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</row>
    <row r="979" spans="7:17"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</row>
    <row r="980" spans="7:17"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</row>
    <row r="981" spans="7:17"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</row>
    <row r="982" spans="7:17"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</row>
    <row r="983" spans="7:17"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</row>
    <row r="984" spans="7:17"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</row>
    <row r="985" spans="7:17"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</row>
    <row r="986" spans="7:17"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</row>
    <row r="987" spans="7:17"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</row>
    <row r="988" spans="7:17"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</row>
    <row r="989" spans="7:17"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</row>
    <row r="990" spans="7:17"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</row>
    <row r="991" spans="7:17"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</row>
    <row r="992" spans="7:17"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</row>
    <row r="993" spans="7:17"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</row>
    <row r="994" spans="7:17"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</row>
    <row r="995" spans="7:17"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</row>
    <row r="996" spans="7:17"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</row>
    <row r="997" spans="7:17"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</row>
    <row r="998" spans="7:17"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</row>
    <row r="999" spans="7:17"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</row>
    <row r="1000" spans="7:17"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</row>
    <row r="1001" spans="7:17"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</row>
    <row r="1002" spans="7:17"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</row>
    <row r="1003" spans="7:17"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</row>
    <row r="1004" spans="7:17"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</row>
    <row r="1005" spans="7:17"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</row>
    <row r="1006" spans="7:17"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</row>
    <row r="1007" spans="7:17"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</row>
    <row r="1008" spans="7:17"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</row>
    <row r="1009" spans="7:17"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</row>
    <row r="1010" spans="7:17"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</row>
    <row r="1011" spans="7:17"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</row>
    <row r="1012" spans="7:17"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</row>
    <row r="1013" spans="7:17"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</row>
    <row r="1014" spans="7:17"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</row>
    <row r="1015" spans="7:17"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</row>
    <row r="1016" spans="7:17"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</row>
    <row r="1017" spans="7:17"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</row>
    <row r="1018" spans="7:17"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</row>
    <row r="1019" spans="7:17"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</row>
    <row r="1020" spans="7:17"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</row>
    <row r="1021" spans="7:17"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</row>
    <row r="1022" spans="7:17"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</row>
    <row r="1023" spans="7:17"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</row>
    <row r="1024" spans="7:17"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</row>
    <row r="1025" spans="7:17"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</row>
    <row r="1026" spans="7:17"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</row>
    <row r="1027" spans="7:17"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</row>
    <row r="1028" spans="7:17"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</row>
    <row r="1029" spans="7:17"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</row>
    <row r="1030" spans="7:17"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</row>
    <row r="1031" spans="7:17"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</row>
    <row r="1032" spans="7:17"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</row>
    <row r="1033" spans="7:17"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</row>
    <row r="1034" spans="7:17"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</row>
    <row r="1035" spans="7:17"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</row>
    <row r="1036" spans="7:17"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</row>
    <row r="1037" spans="7:17"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</row>
    <row r="1038" spans="7:17"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</row>
    <row r="1039" spans="7:17"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</row>
    <row r="1040" spans="7:17"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</row>
    <row r="1041" spans="7:17"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</row>
    <row r="1042" spans="7:17"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</row>
    <row r="1043" spans="7:17"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</row>
    <row r="1044" spans="7:17"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</row>
    <row r="1045" spans="7:17"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</row>
    <row r="1046" spans="7:17"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</row>
    <row r="1047" spans="7:17"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</row>
    <row r="1048" spans="7:17"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</row>
    <row r="1049" spans="7:17"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</row>
    <row r="1050" spans="7:17"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</row>
    <row r="1051" spans="7:17"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</row>
    <row r="1052" spans="7:17"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</row>
    <row r="1053" spans="7:17"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</row>
    <row r="1054" spans="7:17"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</row>
    <row r="1055" spans="7:17"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</row>
    <row r="1056" spans="7:17"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</row>
    <row r="1057" spans="7:17"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</row>
    <row r="1058" spans="7:17"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</row>
    <row r="1059" spans="7:17"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</row>
    <row r="1060" spans="7:17"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</row>
    <row r="1061" spans="7:17"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</row>
    <row r="1062" spans="7:17"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</row>
    <row r="1063" spans="7:17"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</row>
    <row r="1064" spans="7:17"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</row>
    <row r="1065" spans="7:17"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</row>
    <row r="1066" spans="7:17"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</row>
    <row r="1067" spans="7:17"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</row>
    <row r="1068" spans="7:17"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</row>
    <row r="1069" spans="7:17"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</row>
    <row r="1070" spans="7:17"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</row>
    <row r="1071" spans="7:17"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</row>
    <row r="1072" spans="7:17"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</row>
    <row r="1073" spans="7:17"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</row>
    <row r="1074" spans="7:17"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</row>
    <row r="1075" spans="7:17"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</row>
    <row r="1076" spans="7:17"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</row>
    <row r="1077" spans="7:17"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</row>
    <row r="1078" spans="7:17"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</row>
    <row r="1079" spans="7:17"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</row>
    <row r="1080" spans="7:17"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</row>
    <row r="1081" spans="7:17"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</row>
    <row r="1082" spans="7:17"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</row>
    <row r="1083" spans="7:17"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</row>
    <row r="1084" spans="7:17"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</row>
    <row r="1085" spans="7:17"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</row>
    <row r="1086" spans="7:17"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</row>
    <row r="1087" spans="7:17"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</row>
    <row r="1088" spans="7:17"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</row>
  </sheetData>
  <mergeCells count="8">
    <mergeCell ref="E149:R149"/>
    <mergeCell ref="F7:P7"/>
    <mergeCell ref="E88:R88"/>
    <mergeCell ref="A1:R1"/>
    <mergeCell ref="A2:R2"/>
    <mergeCell ref="A54:R54"/>
    <mergeCell ref="E4:R4"/>
    <mergeCell ref="E55:R55"/>
  </mergeCells>
  <phoneticPr fontId="60" type="noConversion"/>
  <printOptions horizontalCentered="1"/>
  <pageMargins left="0.7" right="0.7" top="0.75" bottom="0.75" header="0.3" footer="0.3"/>
  <pageSetup scale="76" fitToHeight="3" orientation="landscape" r:id="rId1"/>
  <headerFooter scaleWithDoc="0">
    <oddHeader>&amp;RExhibit No. __(EMA-2)</oddHeader>
    <oddFooter>&amp;RPage &amp;P of &amp;N</oddFooter>
  </headerFooter>
  <rowBreaks count="2" manualBreakCount="2">
    <brk id="53" max="20" man="1"/>
    <brk id="84" max="20" man="1"/>
  </rowBreaks>
  <ignoredErrors>
    <ignoredError sqref="F75:I75 G60:I60 N60:P60 F25:F26 F45 G61:P61 F16:F18 F36 K75:P75 F3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85" zoomScaleNormal="115" zoomScaleSheetLayoutView="85" workbookViewId="0">
      <selection activeCell="L10" sqref="L10"/>
    </sheetView>
  </sheetViews>
  <sheetFormatPr defaultRowHeight="12.75"/>
  <cols>
    <col min="1" max="1" width="25.28515625" customWidth="1"/>
    <col min="2" max="7" width="10.42578125" customWidth="1"/>
    <col min="8" max="8" width="10.85546875" customWidth="1"/>
    <col min="9" max="9" width="10.7109375" customWidth="1"/>
    <col min="10" max="10" width="14" customWidth="1"/>
  </cols>
  <sheetData>
    <row r="1" spans="1:10">
      <c r="A1" s="931" t="s">
        <v>747</v>
      </c>
      <c r="B1" s="931"/>
      <c r="C1" s="931"/>
      <c r="D1" s="931"/>
      <c r="E1" s="931"/>
      <c r="F1" s="931"/>
      <c r="I1" s="605"/>
      <c r="J1" s="894">
        <v>9.2014999999999993</v>
      </c>
    </row>
    <row r="2" spans="1:10">
      <c r="A2" s="473"/>
      <c r="B2" s="689">
        <v>2007</v>
      </c>
      <c r="C2" s="689">
        <v>2008</v>
      </c>
      <c r="D2" s="606">
        <v>2009</v>
      </c>
      <c r="E2" s="606">
        <v>2010</v>
      </c>
      <c r="F2" s="606">
        <v>2011</v>
      </c>
      <c r="G2" s="606">
        <v>2012</v>
      </c>
      <c r="H2" s="606">
        <v>2013</v>
      </c>
      <c r="I2" s="606">
        <v>2014</v>
      </c>
      <c r="J2" s="606">
        <v>2015</v>
      </c>
    </row>
    <row r="3" spans="1:10">
      <c r="A3" s="473" t="s">
        <v>598</v>
      </c>
      <c r="B3" s="184">
        <f>'Cost Trends'!M78</f>
        <v>870835</v>
      </c>
      <c r="C3" s="184">
        <f>'Cost Trends'!N78</f>
        <v>917247</v>
      </c>
      <c r="D3" s="184">
        <f>'Cost Trends'!O78</f>
        <v>987243</v>
      </c>
      <c r="E3" s="184">
        <f>'Cost Trends'!P78</f>
        <v>1036064</v>
      </c>
      <c r="F3" s="184">
        <f>'Cost Trends'!Q78</f>
        <v>1087141</v>
      </c>
      <c r="G3" s="184">
        <f>'Cost Trends'!R78</f>
        <v>1131570</v>
      </c>
      <c r="H3" s="184">
        <f>'Cost Trends'!S78</f>
        <v>1195010</v>
      </c>
      <c r="I3" s="184">
        <f>'Cost Trends'!T78</f>
        <v>1214504</v>
      </c>
      <c r="J3" s="633">
        <f>'Cost Trends'!U78</f>
        <v>1250015</v>
      </c>
    </row>
    <row r="4" spans="1:10">
      <c r="A4" s="473"/>
      <c r="B4" s="473"/>
      <c r="C4" s="473"/>
      <c r="D4" s="473"/>
      <c r="E4" s="473"/>
      <c r="F4" s="473"/>
      <c r="G4" s="473"/>
      <c r="I4" s="474" t="s">
        <v>615</v>
      </c>
    </row>
    <row r="5" spans="1:10">
      <c r="A5" s="473"/>
      <c r="B5" s="473"/>
      <c r="C5" s="473"/>
      <c r="D5" s="473"/>
      <c r="E5" s="473"/>
      <c r="F5" s="473"/>
      <c r="G5" s="473"/>
    </row>
    <row r="6" spans="1:10">
      <c r="A6" s="473" t="s">
        <v>604</v>
      </c>
      <c r="B6" s="2">
        <v>48659</v>
      </c>
      <c r="C6" s="473"/>
      <c r="D6" s="473"/>
      <c r="E6" s="473"/>
      <c r="F6" s="473"/>
      <c r="G6" s="473"/>
    </row>
    <row r="7" spans="1:10" ht="13.5" thickBot="1">
      <c r="A7" s="473" t="s">
        <v>602</v>
      </c>
      <c r="B7" s="599">
        <f>B6/J3</f>
        <v>3.892673287920545E-2</v>
      </c>
      <c r="C7" s="473"/>
      <c r="D7" s="473"/>
      <c r="E7" s="473"/>
      <c r="F7" s="473"/>
      <c r="G7" s="473"/>
    </row>
    <row r="8" spans="1:10" ht="13.5" thickBot="1">
      <c r="A8" s="474" t="s">
        <v>627</v>
      </c>
      <c r="B8" s="634">
        <f>B7*2</f>
        <v>7.78534657584109E-2</v>
      </c>
      <c r="C8" s="473" t="s">
        <v>603</v>
      </c>
      <c r="D8" s="473"/>
      <c r="E8" s="604"/>
      <c r="F8" s="473"/>
      <c r="G8" s="473"/>
    </row>
    <row r="9" spans="1:10">
      <c r="A9" s="473"/>
      <c r="B9" s="473"/>
      <c r="C9" s="473"/>
      <c r="D9" s="473"/>
      <c r="E9" s="473"/>
      <c r="F9" s="473"/>
      <c r="G9" s="473"/>
    </row>
    <row r="10" spans="1:10">
      <c r="A10" s="473"/>
      <c r="B10" s="473"/>
      <c r="C10" s="473"/>
      <c r="D10" s="473"/>
      <c r="E10" s="473"/>
      <c r="F10" s="473"/>
      <c r="G10" s="473"/>
    </row>
    <row r="11" spans="1:10">
      <c r="A11" s="473"/>
      <c r="B11" s="473"/>
      <c r="C11" s="473"/>
      <c r="D11" s="473"/>
      <c r="E11" s="473"/>
      <c r="F11" s="473"/>
      <c r="G11" s="473"/>
    </row>
    <row r="12" spans="1:10">
      <c r="A12" s="473"/>
      <c r="B12" s="473"/>
      <c r="C12" s="473"/>
      <c r="D12" s="473"/>
      <c r="E12" s="473"/>
      <c r="F12" s="473"/>
      <c r="G12" s="473"/>
    </row>
    <row r="13" spans="1:10">
      <c r="A13" s="473"/>
      <c r="B13" s="473"/>
      <c r="C13" s="473"/>
      <c r="D13" s="473"/>
      <c r="E13" s="473"/>
      <c r="F13" s="473"/>
      <c r="G13" s="473"/>
    </row>
    <row r="14" spans="1:10">
      <c r="A14" s="473"/>
      <c r="B14" s="473"/>
      <c r="C14" s="473"/>
      <c r="D14" s="473"/>
      <c r="E14" s="473"/>
      <c r="F14" s="473"/>
      <c r="G14" s="473"/>
    </row>
    <row r="15" spans="1:10">
      <c r="A15" s="473"/>
      <c r="B15" s="473"/>
      <c r="C15" s="473"/>
      <c r="D15" s="473"/>
      <c r="E15" s="473"/>
      <c r="F15" s="473"/>
      <c r="G15" s="473"/>
    </row>
    <row r="16" spans="1:10">
      <c r="A16" s="473"/>
      <c r="B16" s="473"/>
      <c r="C16" s="473"/>
      <c r="D16" s="473"/>
      <c r="E16" s="473"/>
      <c r="F16" s="473"/>
      <c r="G16" s="473"/>
    </row>
    <row r="17" spans="1:7">
      <c r="A17" s="473"/>
      <c r="B17" s="473"/>
      <c r="C17" s="473"/>
      <c r="D17" s="473"/>
      <c r="E17" s="473"/>
      <c r="F17" s="473"/>
      <c r="G17" s="473"/>
    </row>
    <row r="18" spans="1:7">
      <c r="A18" s="473"/>
      <c r="B18" s="473"/>
      <c r="C18" s="473"/>
      <c r="D18" s="473"/>
      <c r="E18" s="473"/>
      <c r="F18" s="473"/>
      <c r="G18" s="473"/>
    </row>
    <row r="19" spans="1:7">
      <c r="A19" s="473"/>
      <c r="B19" s="473"/>
      <c r="C19" s="473"/>
      <c r="D19" s="473"/>
      <c r="E19" s="473"/>
      <c r="F19" s="473"/>
      <c r="G19" s="473"/>
    </row>
    <row r="20" spans="1:7">
      <c r="A20" s="473"/>
      <c r="B20" s="473"/>
      <c r="C20" s="473"/>
      <c r="D20" s="473"/>
      <c r="E20" s="473"/>
      <c r="F20" s="473"/>
      <c r="G20" s="473"/>
    </row>
    <row r="21" spans="1:7">
      <c r="A21" s="473"/>
      <c r="B21" s="473"/>
      <c r="C21" s="473"/>
      <c r="D21" s="473"/>
      <c r="E21" s="473"/>
      <c r="F21" s="473"/>
      <c r="G21" s="473"/>
    </row>
    <row r="22" spans="1:7">
      <c r="A22" s="473"/>
      <c r="B22" s="473"/>
      <c r="C22" s="473"/>
      <c r="D22" s="473"/>
      <c r="E22" s="473"/>
      <c r="F22" s="473"/>
      <c r="G22" s="473"/>
    </row>
    <row r="23" spans="1:7">
      <c r="A23" s="473"/>
      <c r="B23" s="473"/>
      <c r="C23" s="473"/>
      <c r="D23" s="473"/>
      <c r="E23" s="473"/>
      <c r="F23" s="473"/>
      <c r="G23" s="473"/>
    </row>
    <row r="24" spans="1:7">
      <c r="A24" s="473"/>
      <c r="B24" s="473"/>
      <c r="C24" s="473"/>
      <c r="D24" s="473"/>
      <c r="E24" s="473"/>
      <c r="F24" s="473"/>
      <c r="G24" s="473"/>
    </row>
    <row r="25" spans="1:7">
      <c r="A25" s="473"/>
      <c r="B25" s="473"/>
      <c r="C25" s="473"/>
      <c r="D25" s="473"/>
      <c r="E25" s="473"/>
      <c r="F25" s="473"/>
      <c r="G25" s="473"/>
    </row>
    <row r="26" spans="1:7">
      <c r="A26" s="473"/>
      <c r="B26" s="473"/>
      <c r="C26" s="473"/>
      <c r="D26" s="473"/>
      <c r="E26" s="473"/>
      <c r="F26" s="473"/>
      <c r="G26" s="473"/>
    </row>
    <row r="27" spans="1:7">
      <c r="A27" s="473"/>
      <c r="B27" s="473"/>
      <c r="C27" s="473"/>
      <c r="D27" s="473"/>
      <c r="E27" s="473"/>
      <c r="F27" s="473"/>
      <c r="G27" s="473"/>
    </row>
    <row r="28" spans="1:7">
      <c r="A28" s="473"/>
      <c r="B28" s="473"/>
      <c r="C28" s="473"/>
      <c r="D28" s="473"/>
      <c r="E28" s="473"/>
      <c r="F28" s="473"/>
      <c r="G28" s="473"/>
    </row>
    <row r="29" spans="1:7">
      <c r="A29" s="473"/>
      <c r="B29" s="473"/>
      <c r="C29" s="473"/>
      <c r="D29" s="473"/>
      <c r="E29" s="473"/>
      <c r="F29" s="473"/>
      <c r="G29" s="473"/>
    </row>
  </sheetData>
  <mergeCells count="1">
    <mergeCell ref="A1:F1"/>
  </mergeCells>
  <printOptions horizontalCentered="1"/>
  <pageMargins left="0.7" right="0.7" top="0.75" bottom="0.75" header="0.3" footer="0.3"/>
  <pageSetup orientation="landscape" r:id="rId1"/>
  <headerFooter scaleWithDoc="0">
    <oddHeader>&amp;RExhibit No. __(EMA-2)</oddHeader>
    <oddFooter>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view="pageBreakPreview" zoomScale="85" zoomScaleNormal="115" zoomScaleSheetLayoutView="85" workbookViewId="0">
      <selection activeCell="L10" sqref="L10"/>
    </sheetView>
  </sheetViews>
  <sheetFormatPr defaultRowHeight="12.75"/>
  <cols>
    <col min="1" max="1" width="26.28515625" customWidth="1"/>
    <col min="2" max="9" width="10.28515625" bestFit="1" customWidth="1"/>
    <col min="10" max="10" width="10.28515625" style="473" bestFit="1" customWidth="1"/>
  </cols>
  <sheetData>
    <row r="1" spans="1:10">
      <c r="A1" s="931" t="s">
        <v>747</v>
      </c>
      <c r="B1" s="931"/>
      <c r="C1" s="931"/>
      <c r="D1" s="931"/>
      <c r="E1" s="931"/>
      <c r="F1" s="931"/>
      <c r="J1" s="894">
        <v>9.2014999999999993</v>
      </c>
    </row>
    <row r="2" spans="1:10">
      <c r="A2" s="473"/>
      <c r="B2" s="689">
        <v>2007</v>
      </c>
      <c r="C2" s="689">
        <v>2008</v>
      </c>
      <c r="D2" s="606">
        <v>2009</v>
      </c>
      <c r="E2" s="606">
        <v>2010</v>
      </c>
      <c r="F2" s="606">
        <v>2011</v>
      </c>
      <c r="G2" s="606">
        <v>2012</v>
      </c>
      <c r="H2" s="606">
        <v>2013</v>
      </c>
      <c r="I2" s="606">
        <v>2014</v>
      </c>
      <c r="J2" s="606">
        <v>2015</v>
      </c>
    </row>
    <row r="3" spans="1:10">
      <c r="A3" s="473" t="s">
        <v>596</v>
      </c>
      <c r="B3" s="184">
        <f>'Cost Trends'!M111</f>
        <v>42949</v>
      </c>
      <c r="C3" s="184">
        <f>'Cost Trends'!N111</f>
        <v>45874</v>
      </c>
      <c r="D3" s="184">
        <f>'Cost Trends'!O111</f>
        <v>48466</v>
      </c>
      <c r="E3" s="184">
        <f>'Cost Trends'!P111</f>
        <v>52270</v>
      </c>
      <c r="F3" s="184">
        <f>'Cost Trends'!Q111</f>
        <v>55304</v>
      </c>
      <c r="G3" s="184">
        <f>'Cost Trends'!R111</f>
        <v>58946</v>
      </c>
      <c r="H3" s="184">
        <f>'Cost Trends'!S111</f>
        <v>60308</v>
      </c>
      <c r="I3" s="184">
        <f>'Cost Trends'!T111</f>
        <v>64456</v>
      </c>
      <c r="J3" s="633">
        <f>'Cost Trends'!U111-2149</f>
        <v>67443</v>
      </c>
    </row>
    <row r="4" spans="1:10">
      <c r="A4" s="473"/>
      <c r="B4" s="473"/>
      <c r="C4" s="473"/>
      <c r="D4" s="473"/>
      <c r="E4" s="473"/>
      <c r="F4" s="473"/>
      <c r="G4" s="473"/>
    </row>
    <row r="5" spans="1:10">
      <c r="A5" s="473"/>
      <c r="B5" s="473"/>
      <c r="C5" s="473"/>
      <c r="D5" s="473"/>
      <c r="E5" s="473"/>
      <c r="F5" s="473"/>
      <c r="G5" s="473"/>
    </row>
    <row r="6" spans="1:10">
      <c r="A6" s="473" t="s">
        <v>604</v>
      </c>
      <c r="B6" s="2">
        <v>3068</v>
      </c>
      <c r="C6" s="473"/>
      <c r="D6" s="473"/>
      <c r="E6" s="473"/>
      <c r="F6" s="473"/>
      <c r="G6" s="473"/>
    </row>
    <row r="7" spans="1:10" ht="13.5" thickBot="1">
      <c r="A7" s="473" t="s">
        <v>602</v>
      </c>
      <c r="B7" s="599">
        <f>B6/J3</f>
        <v>4.5490265854128673E-2</v>
      </c>
      <c r="C7" s="473"/>
      <c r="D7" s="473"/>
      <c r="E7" s="473"/>
      <c r="F7" s="473"/>
      <c r="G7" s="473"/>
    </row>
    <row r="8" spans="1:10" ht="13.5" thickBot="1">
      <c r="A8" s="474" t="s">
        <v>627</v>
      </c>
      <c r="B8" s="634">
        <f>B7*2</f>
        <v>9.0980531708257345E-2</v>
      </c>
      <c r="C8" s="473" t="s">
        <v>603</v>
      </c>
      <c r="D8" s="473"/>
      <c r="E8" s="604"/>
      <c r="F8" s="473"/>
      <c r="G8" s="473"/>
    </row>
    <row r="18" spans="1:25">
      <c r="Y18">
        <v>27986</v>
      </c>
    </row>
    <row r="19" spans="1:25">
      <c r="Y19">
        <v>4831</v>
      </c>
    </row>
    <row r="30" spans="1:25">
      <c r="A30" s="405"/>
      <c r="B30" s="405"/>
      <c r="C30" s="405"/>
      <c r="D30" s="405"/>
      <c r="E30" s="405"/>
      <c r="F30" s="405"/>
      <c r="G30" s="405"/>
      <c r="H30" s="405"/>
    </row>
    <row r="49" spans="20:21">
      <c r="U49">
        <f>P49+R49+S49+T49</f>
        <v>0</v>
      </c>
    </row>
    <row r="50" spans="20:21">
      <c r="T50">
        <f>T79*ROR!F11*-0.35</f>
        <v>0</v>
      </c>
    </row>
    <row r="79" spans="21:21">
      <c r="U79">
        <f>U72+U74+U76+U77</f>
        <v>0</v>
      </c>
    </row>
  </sheetData>
  <mergeCells count="1">
    <mergeCell ref="A1:F1"/>
  </mergeCells>
  <printOptions horizontalCentered="1"/>
  <pageMargins left="0.7" right="0.7" top="0.75" bottom="0.75" header="0.3" footer="0.3"/>
  <pageSetup orientation="landscape" r:id="rId1"/>
  <headerFooter scaleWithDoc="0">
    <oddHeader>&amp;RExhibit No. __(EMA-2)</oddHead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85" zoomScaleNormal="115" zoomScaleSheetLayoutView="85" workbookViewId="0">
      <selection activeCell="L10" sqref="L10"/>
    </sheetView>
  </sheetViews>
  <sheetFormatPr defaultRowHeight="12.75"/>
  <cols>
    <col min="1" max="1" width="25.5703125" customWidth="1"/>
    <col min="2" max="9" width="10.28515625" bestFit="1" customWidth="1"/>
    <col min="10" max="10" width="10.28515625" style="473" bestFit="1" customWidth="1"/>
  </cols>
  <sheetData>
    <row r="1" spans="1:10">
      <c r="A1" s="931" t="s">
        <v>747</v>
      </c>
      <c r="B1" s="931"/>
      <c r="C1" s="931"/>
      <c r="D1" s="931"/>
      <c r="E1" s="931"/>
      <c r="F1" s="931"/>
      <c r="J1" s="894">
        <v>9.2014999999999993</v>
      </c>
    </row>
    <row r="2" spans="1:10">
      <c r="A2" s="473"/>
      <c r="B2" s="689">
        <v>2007</v>
      </c>
      <c r="C2" s="689">
        <v>2008</v>
      </c>
      <c r="D2" s="606">
        <v>2009</v>
      </c>
      <c r="E2" s="606">
        <v>2010</v>
      </c>
      <c r="F2" s="606">
        <v>2011</v>
      </c>
      <c r="G2" s="606">
        <v>2012</v>
      </c>
      <c r="H2" s="606">
        <v>2013</v>
      </c>
      <c r="I2" s="606">
        <v>2014</v>
      </c>
      <c r="J2" s="606">
        <v>2015</v>
      </c>
    </row>
    <row r="3" spans="1:10">
      <c r="A3" s="473" t="s">
        <v>597</v>
      </c>
      <c r="B3" s="184">
        <f>'Cost Trends'!M127</f>
        <v>24422.193309601087</v>
      </c>
      <c r="C3" s="184">
        <f>'Cost Trends'!N127</f>
        <v>25215.167948905873</v>
      </c>
      <c r="D3" s="184">
        <f>'Cost Trends'!O127</f>
        <v>26617.424405821377</v>
      </c>
      <c r="E3" s="184">
        <f>'Cost Trends'!P127</f>
        <v>29412.477627473563</v>
      </c>
      <c r="F3" s="184">
        <f>'Cost Trends'!Q127</f>
        <v>32613.966947797297</v>
      </c>
      <c r="G3" s="184">
        <f>'Cost Trends'!R127</f>
        <v>33700.549684624653</v>
      </c>
      <c r="H3" s="184">
        <f>'Cost Trends'!S127</f>
        <v>36201</v>
      </c>
      <c r="I3" s="184">
        <f>'Cost Trends'!T127</f>
        <v>38403</v>
      </c>
      <c r="J3" s="184">
        <f>'Cost Trends'!U127</f>
        <v>41228</v>
      </c>
    </row>
    <row r="4" spans="1:10">
      <c r="A4" s="473"/>
      <c r="B4" s="473"/>
      <c r="C4" s="473"/>
      <c r="D4" s="473"/>
      <c r="E4" s="473"/>
      <c r="F4" s="473"/>
      <c r="G4" s="473"/>
      <c r="H4" s="473"/>
    </row>
    <row r="5" spans="1:10">
      <c r="A5" s="473"/>
      <c r="B5" s="473"/>
      <c r="C5" s="473"/>
      <c r="D5" s="473"/>
      <c r="E5" s="473"/>
      <c r="F5" s="473"/>
      <c r="G5" s="473"/>
      <c r="H5" s="473"/>
    </row>
    <row r="6" spans="1:10">
      <c r="A6" s="473" t="s">
        <v>604</v>
      </c>
      <c r="B6" s="2">
        <v>2170.6999999999998</v>
      </c>
      <c r="C6" s="473"/>
      <c r="D6" s="473"/>
      <c r="E6" s="473"/>
      <c r="F6" s="473"/>
      <c r="G6" s="473"/>
      <c r="H6" s="473"/>
    </row>
    <row r="7" spans="1:10" ht="13.5" thickBot="1">
      <c r="A7" s="473" t="s">
        <v>602</v>
      </c>
      <c r="B7" s="599">
        <f>B6/J3</f>
        <v>5.2651110895507905E-2</v>
      </c>
      <c r="C7" s="473"/>
      <c r="D7" s="473"/>
      <c r="E7" s="473"/>
      <c r="F7" s="473"/>
      <c r="G7" s="473"/>
      <c r="H7" s="473"/>
    </row>
    <row r="8" spans="1:10" ht="13.5" thickBot="1">
      <c r="A8" s="474" t="s">
        <v>627</v>
      </c>
      <c r="B8" s="634">
        <f>B7*2</f>
        <v>0.10530222179101581</v>
      </c>
      <c r="C8" s="473" t="s">
        <v>603</v>
      </c>
      <c r="D8" s="473"/>
      <c r="E8" s="604"/>
      <c r="F8" s="473"/>
      <c r="G8" s="473"/>
      <c r="H8" s="473"/>
    </row>
    <row r="9" spans="1:10">
      <c r="A9" s="473"/>
      <c r="B9" s="473"/>
      <c r="C9" s="473"/>
      <c r="D9" s="473"/>
      <c r="E9" s="473"/>
      <c r="F9" s="473"/>
      <c r="G9" s="473"/>
      <c r="H9" s="473"/>
    </row>
    <row r="10" spans="1:10">
      <c r="A10" s="473"/>
      <c r="B10" s="473"/>
      <c r="C10" s="473"/>
      <c r="D10" s="473"/>
      <c r="E10" s="473"/>
      <c r="F10" s="473"/>
      <c r="G10" s="473"/>
      <c r="H10" s="473"/>
    </row>
    <row r="11" spans="1:10">
      <c r="A11" s="473"/>
      <c r="B11" s="473"/>
      <c r="C11" s="473"/>
      <c r="D11" s="473"/>
      <c r="E11" s="473"/>
      <c r="F11" s="473"/>
      <c r="G11" s="473"/>
      <c r="H11" s="473"/>
    </row>
    <row r="12" spans="1:10">
      <c r="A12" s="473"/>
      <c r="B12" s="473"/>
      <c r="C12" s="473"/>
      <c r="D12" s="473"/>
      <c r="E12" s="473"/>
      <c r="F12" s="473"/>
      <c r="G12" s="473"/>
      <c r="H12" s="473"/>
    </row>
    <row r="13" spans="1:10">
      <c r="A13" s="473"/>
      <c r="B13" s="473"/>
      <c r="C13" s="473"/>
      <c r="D13" s="473"/>
      <c r="E13" s="473"/>
      <c r="F13" s="473"/>
      <c r="G13" s="473"/>
      <c r="H13" s="473"/>
    </row>
    <row r="14" spans="1:10">
      <c r="A14" s="473"/>
      <c r="B14" s="473"/>
      <c r="C14" s="473"/>
      <c r="D14" s="473"/>
      <c r="E14" s="473"/>
      <c r="F14" s="473"/>
      <c r="G14" s="473"/>
      <c r="H14" s="473"/>
    </row>
    <row r="15" spans="1:10">
      <c r="A15" s="473"/>
      <c r="B15" s="473"/>
      <c r="C15" s="473"/>
      <c r="D15" s="473"/>
      <c r="E15" s="473"/>
      <c r="F15" s="473"/>
      <c r="G15" s="473"/>
      <c r="H15" s="473"/>
    </row>
    <row r="16" spans="1:10">
      <c r="A16" s="473"/>
      <c r="B16" s="473"/>
      <c r="C16" s="473"/>
      <c r="D16" s="473"/>
      <c r="E16" s="473"/>
      <c r="F16" s="473"/>
      <c r="G16" s="473"/>
      <c r="H16" s="473"/>
    </row>
    <row r="17" spans="1:25">
      <c r="A17" s="473"/>
      <c r="B17" s="473"/>
      <c r="C17" s="473"/>
      <c r="D17" s="473"/>
      <c r="E17" s="473"/>
      <c r="F17" s="473"/>
      <c r="G17" s="473"/>
      <c r="H17" s="473"/>
    </row>
    <row r="18" spans="1:25">
      <c r="A18" s="473"/>
      <c r="B18" s="473"/>
      <c r="C18" s="473"/>
      <c r="D18" s="473"/>
      <c r="E18" s="473"/>
      <c r="F18" s="473"/>
      <c r="G18" s="473"/>
      <c r="H18" s="473"/>
      <c r="Y18">
        <v>27986</v>
      </c>
    </row>
    <row r="19" spans="1:25">
      <c r="A19" s="473"/>
      <c r="B19" s="473"/>
      <c r="C19" s="473"/>
      <c r="D19" s="473"/>
      <c r="E19" s="473"/>
      <c r="F19" s="473"/>
      <c r="G19" s="473"/>
      <c r="H19" s="473"/>
      <c r="Y19">
        <v>4831</v>
      </c>
    </row>
    <row r="20" spans="1:25">
      <c r="A20" s="473"/>
      <c r="B20" s="473"/>
      <c r="C20" s="473"/>
      <c r="D20" s="473"/>
      <c r="E20" s="473"/>
      <c r="F20" s="473"/>
      <c r="G20" s="473"/>
      <c r="H20" s="473"/>
    </row>
    <row r="21" spans="1:25">
      <c r="A21" s="473"/>
      <c r="B21" s="473"/>
      <c r="C21" s="473"/>
      <c r="D21" s="473"/>
      <c r="E21" s="473"/>
      <c r="F21" s="473"/>
      <c r="G21" s="473"/>
      <c r="H21" s="473"/>
    </row>
    <row r="22" spans="1:25">
      <c r="A22" s="473"/>
      <c r="B22" s="473"/>
      <c r="C22" s="473"/>
      <c r="D22" s="473"/>
      <c r="E22" s="473"/>
      <c r="F22" s="473"/>
      <c r="G22" s="473"/>
      <c r="H22" s="473"/>
    </row>
    <row r="23" spans="1:25">
      <c r="A23" s="473"/>
      <c r="B23" s="473"/>
      <c r="C23" s="473"/>
      <c r="D23" s="473"/>
      <c r="E23" s="473"/>
      <c r="F23" s="473"/>
      <c r="G23" s="473"/>
      <c r="H23" s="473"/>
    </row>
    <row r="24" spans="1:25">
      <c r="A24" s="473"/>
      <c r="B24" s="473"/>
      <c r="C24" s="473"/>
      <c r="D24" s="473"/>
      <c r="E24" s="473"/>
      <c r="F24" s="473"/>
      <c r="G24" s="473"/>
      <c r="H24" s="473"/>
    </row>
    <row r="25" spans="1:25">
      <c r="A25" s="473"/>
      <c r="B25" s="473"/>
      <c r="C25" s="473"/>
      <c r="D25" s="473"/>
      <c r="E25" s="473"/>
      <c r="F25" s="473"/>
      <c r="G25" s="473"/>
      <c r="H25" s="473"/>
    </row>
    <row r="26" spans="1:25">
      <c r="A26" s="473"/>
      <c r="B26" s="473"/>
      <c r="C26" s="473"/>
      <c r="D26" s="473"/>
      <c r="E26" s="473"/>
      <c r="F26" s="473"/>
      <c r="G26" s="473"/>
      <c r="H26" s="473"/>
    </row>
    <row r="27" spans="1:25">
      <c r="A27" s="473"/>
      <c r="B27" s="473"/>
      <c r="C27" s="473"/>
      <c r="D27" s="473"/>
      <c r="E27" s="473"/>
      <c r="F27" s="473"/>
      <c r="G27" s="473"/>
      <c r="H27" s="473"/>
    </row>
    <row r="28" spans="1:25">
      <c r="A28" s="473"/>
      <c r="B28" s="473"/>
      <c r="C28" s="473"/>
      <c r="D28" s="473"/>
      <c r="E28" s="473"/>
      <c r="F28" s="473"/>
      <c r="G28" s="473"/>
      <c r="H28" s="473"/>
    </row>
    <row r="29" spans="1:25">
      <c r="A29" s="473"/>
      <c r="B29" s="473"/>
      <c r="C29" s="473"/>
      <c r="D29" s="473"/>
      <c r="E29" s="473"/>
      <c r="F29" s="473"/>
      <c r="G29" s="473"/>
      <c r="H29" s="473"/>
    </row>
    <row r="31" spans="1:25">
      <c r="A31" s="405"/>
      <c r="B31" s="405"/>
      <c r="C31" s="405"/>
      <c r="D31" s="405"/>
      <c r="E31" s="405"/>
      <c r="F31" s="405"/>
      <c r="G31" s="405"/>
      <c r="H31" s="405"/>
    </row>
    <row r="50" spans="20:20">
      <c r="T50">
        <f>T79*ROR!F11*-0.35</f>
        <v>0</v>
      </c>
    </row>
  </sheetData>
  <mergeCells count="1">
    <mergeCell ref="A1:F1"/>
  </mergeCells>
  <printOptions horizontalCentered="1"/>
  <pageMargins left="0.7" right="0.7" top="0.75" bottom="0.75" header="0.3" footer="0.3"/>
  <pageSetup orientation="landscape" r:id="rId1"/>
  <headerFooter scaleWithDoc="0">
    <oddHeader>&amp;RExhibit No. __(EMA-2)</oddHeader>
    <oddFooter>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view="pageBreakPreview" zoomScale="85" zoomScaleNormal="115" zoomScaleSheetLayoutView="85" workbookViewId="0">
      <selection activeCell="L59" sqref="L59"/>
    </sheetView>
  </sheetViews>
  <sheetFormatPr defaultColWidth="9.140625" defaultRowHeight="12.75"/>
  <cols>
    <col min="1" max="1" width="33.140625" style="473" customWidth="1"/>
    <col min="2" max="2" width="10.28515625" style="473" bestFit="1" customWidth="1"/>
    <col min="3" max="3" width="11.5703125" style="473" bestFit="1" customWidth="1"/>
    <col min="4" max="10" width="10.28515625" style="473" bestFit="1" customWidth="1"/>
    <col min="11" max="11" width="9.140625" style="473"/>
    <col min="12" max="12" width="25.5703125" style="473" customWidth="1"/>
    <col min="13" max="21" width="10.28515625" style="473" bestFit="1" customWidth="1"/>
    <col min="22" max="16384" width="9.140625" style="473"/>
  </cols>
  <sheetData>
    <row r="1" spans="1:10">
      <c r="A1" s="931" t="s">
        <v>744</v>
      </c>
      <c r="B1" s="931"/>
      <c r="C1" s="931"/>
      <c r="D1" s="931"/>
      <c r="J1" s="894">
        <v>9.2014999999999993</v>
      </c>
    </row>
    <row r="2" spans="1:10">
      <c r="B2" s="689">
        <v>2007</v>
      </c>
      <c r="C2" s="689">
        <v>2008</v>
      </c>
      <c r="D2" s="689">
        <v>2009</v>
      </c>
      <c r="E2" s="689">
        <v>2010</v>
      </c>
      <c r="F2" s="689">
        <v>2011</v>
      </c>
      <c r="G2" s="689">
        <v>2012</v>
      </c>
      <c r="H2" s="689">
        <v>2013</v>
      </c>
      <c r="I2" s="689">
        <v>2014</v>
      </c>
      <c r="J2" s="689">
        <v>2015</v>
      </c>
    </row>
    <row r="3" spans="1:10">
      <c r="A3" s="473" t="s">
        <v>413</v>
      </c>
      <c r="B3" s="184">
        <f>'Cost Trends'!M104</f>
        <v>92211.7999895299</v>
      </c>
      <c r="C3" s="184">
        <f>'Cost Trends'!N104</f>
        <v>99146.488212752593</v>
      </c>
      <c r="D3" s="184">
        <f>'Cost Trends'!O104</f>
        <v>108289.20367903885</v>
      </c>
      <c r="E3" s="184">
        <f>'Cost Trends'!P104</f>
        <v>113649.52340035603</v>
      </c>
      <c r="F3" s="184">
        <f>'Cost Trends'!Q104</f>
        <v>123418.7529832047</v>
      </c>
      <c r="G3" s="184">
        <f>'Cost Trends'!R104</f>
        <v>134594.49114962851</v>
      </c>
      <c r="H3" s="184">
        <f>'Cost Trends'!S104</f>
        <v>128510</v>
      </c>
      <c r="I3" s="184">
        <f>'Cost Trends'!T104</f>
        <v>130891</v>
      </c>
      <c r="J3" s="184">
        <f>'Cost Trends'!U104</f>
        <v>132584</v>
      </c>
    </row>
    <row r="4" spans="1:10">
      <c r="H4" s="604"/>
      <c r="I4" s="604"/>
      <c r="J4" s="604"/>
    </row>
    <row r="5" spans="1:10">
      <c r="C5" s="893"/>
      <c r="H5" s="182"/>
      <c r="I5" s="443"/>
      <c r="J5" s="604"/>
    </row>
    <row r="6" spans="1:10">
      <c r="A6" s="473" t="s">
        <v>604</v>
      </c>
      <c r="B6" s="2">
        <v>5301.8</v>
      </c>
      <c r="H6" s="182"/>
      <c r="I6" s="182"/>
      <c r="J6" s="182"/>
    </row>
    <row r="7" spans="1:10" ht="13.5" thickBot="1">
      <c r="A7" s="473" t="s">
        <v>602</v>
      </c>
      <c r="B7" s="599">
        <f>B6/J3</f>
        <v>3.9988233874373981E-2</v>
      </c>
    </row>
    <row r="8" spans="1:10" ht="13.5" thickBot="1">
      <c r="A8" s="474" t="s">
        <v>627</v>
      </c>
      <c r="B8" s="634">
        <f>B7*2</f>
        <v>7.9976467748747962E-2</v>
      </c>
      <c r="C8" s="473" t="s">
        <v>603</v>
      </c>
      <c r="E8" s="604"/>
    </row>
    <row r="18" spans="25:25">
      <c r="Y18" s="473">
        <v>27986</v>
      </c>
    </row>
    <row r="19" spans="25:25">
      <c r="Y19" s="473">
        <v>4831</v>
      </c>
    </row>
    <row r="39" spans="21:21">
      <c r="U39" s="473">
        <f>U32+U34+U36+U37</f>
        <v>0</v>
      </c>
    </row>
  </sheetData>
  <mergeCells count="1">
    <mergeCell ref="A1:D1"/>
  </mergeCells>
  <printOptions horizontalCentered="1"/>
  <pageMargins left="0.7" right="0.7" top="0.75" bottom="0.75" header="0.3" footer="0.3"/>
  <pageSetup scale="98" orientation="landscape" r:id="rId1"/>
  <headerFooter scaleWithDoc="0">
    <oddHeader>&amp;RExhibit No. __(EMA-2)</oddHeader>
    <oddFooter>&amp;RPage &amp;P of &amp;N</oddFooter>
  </headerFooter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218176324CF6849A8986D4A702B20CC" ma:contentTypeVersion="96" ma:contentTypeDescription="" ma:contentTypeScope="" ma:versionID="ea0a9868a5435712099ad3b7501c0a2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2016-02-19T08:00:00+00:00</OpenedDate>
    <Date1 xmlns="dc463f71-b30c-4ab2-9473-d307f9d35888">2016-02-19T08:00:00+00:00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160229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E3B03CC-556C-4A00-8BAB-784EF963BF5B}"/>
</file>

<file path=customXml/itemProps2.xml><?xml version="1.0" encoding="utf-8"?>
<ds:datastoreItem xmlns:ds="http://schemas.openxmlformats.org/officeDocument/2006/customXml" ds:itemID="{AF89DF39-6998-4B98-816C-D36A535A8A94}"/>
</file>

<file path=customXml/itemProps3.xml><?xml version="1.0" encoding="utf-8"?>
<ds:datastoreItem xmlns:ds="http://schemas.openxmlformats.org/officeDocument/2006/customXml" ds:itemID="{0E909CF8-61F6-4F0A-8C6F-43E1616E4772}"/>
</file>

<file path=customXml/itemProps4.xml><?xml version="1.0" encoding="utf-8"?>
<ds:datastoreItem xmlns:ds="http://schemas.openxmlformats.org/officeDocument/2006/customXml" ds:itemID="{BA984CF9-CFCA-4FCA-959E-C9206EECF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19</vt:i4>
      </vt:variant>
    </vt:vector>
  </HeadingPairs>
  <TitlesOfParts>
    <vt:vector size="45" baseType="lpstr">
      <vt:lpstr>Plant Trends</vt:lpstr>
      <vt:lpstr>Summary</vt:lpstr>
      <vt:lpstr>ROR</vt:lpstr>
      <vt:lpstr>Attrition 09.2015 to 2017</vt:lpstr>
      <vt:lpstr>Cost Trends</vt:lpstr>
      <vt:lpstr>Net Plant</vt:lpstr>
      <vt:lpstr>Dep-Amort</vt:lpstr>
      <vt:lpstr>Adj Taxes</vt:lpstr>
      <vt:lpstr>Adj Operating Exp-2007-2015</vt:lpstr>
      <vt:lpstr>Weighted Revenue Growth</vt:lpstr>
      <vt:lpstr>Other Revenue</vt:lpstr>
      <vt:lpstr>09.2015 Rev Model</vt:lpstr>
      <vt:lpstr>2017-18 Forecast Billing Determ</vt:lpstr>
      <vt:lpstr>09.2015 CB Power Supply</vt:lpstr>
      <vt:lpstr>456 Revenue</vt:lpstr>
      <vt:lpstr>incremental load expense</vt:lpstr>
      <vt:lpstr>CS2-Colstrip 2016 Incrmntl Exp</vt:lpstr>
      <vt:lpstr>PF Power Supply 09.2015 load</vt:lpstr>
      <vt:lpstr>PF Power Supply 2017 load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'09.2015 Rev Model'!Base1_Billing2</vt:lpstr>
      <vt:lpstr>'09.2015 CB Power Supply'!Print_Area</vt:lpstr>
      <vt:lpstr>'09.2015 Rev Model'!Print_Area</vt:lpstr>
      <vt:lpstr>'2017-18 Forecast Billing Determ'!Print_Area</vt:lpstr>
      <vt:lpstr>'Adj Operating Exp-2007-2015'!Print_Area</vt:lpstr>
      <vt:lpstr>'Adj Taxes'!Print_Area</vt:lpstr>
      <vt:lpstr>'Attrition 09.2015 to 2017'!Print_Area</vt:lpstr>
      <vt:lpstr>'CBR Hist'!Print_Area</vt:lpstr>
      <vt:lpstr>'Cost Trends'!Print_Area</vt:lpstr>
      <vt:lpstr>'Dep-Amort'!Print_Area</vt:lpstr>
      <vt:lpstr>'incremental load expense'!Print_Area</vt:lpstr>
      <vt:lpstr>'Net Plant'!Print_Area</vt:lpstr>
      <vt:lpstr>'Other Revenue'!Print_Area</vt:lpstr>
      <vt:lpstr>'PF Power Supply 2017 load'!Print_Area</vt:lpstr>
      <vt:lpstr>ROR!Print_Area</vt:lpstr>
      <vt:lpstr>Summary!Print_Area</vt:lpstr>
      <vt:lpstr>'CBR Hist'!Print_Titles</vt:lpstr>
      <vt:lpstr>'Cost Trends'!Print_Titles</vt:lpstr>
      <vt:lpstr>'09.2015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cp:lastModifiedBy>Liz Andrews</cp:lastModifiedBy>
  <cp:lastPrinted>2016-02-16T20:56:58Z</cp:lastPrinted>
  <dcterms:created xsi:type="dcterms:W3CDTF">2012-01-25T16:30:38Z</dcterms:created>
  <dcterms:modified xsi:type="dcterms:W3CDTF">2016-02-16T21:27:27Z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0x0101006E56B4D1795A2E4DB2F0B01679ED314A005218176324CF6849A8986D4A702B20CC</vt:lpwstr>
  </property>
  <property fmtid="{D5CDD505-2E9C-101B-9397-08002B2CF9AE}" pid="3" name="_docset_NoMedatataSyncRequired">
    <vt:lpwstr>False</vt:lpwstr>
  </property>
</Properties>
</file>