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120" windowHeight="9465" tabRatio="960"/>
  </bookViews>
  <sheets>
    <sheet name="Exhibit PDE-8" sheetId="27" r:id="rId1"/>
    <sheet name="E-DSMA-2" sheetId="28" r:id="rId2"/>
  </sheets>
  <externalReferences>
    <externalReference r:id="rId3"/>
  </externalReferences>
  <definedNames>
    <definedName name="DIS">'[1]Lev and Tilt'!$C$24</definedName>
  </definedNames>
  <calcPr calcId="125725"/>
</workbook>
</file>

<file path=xl/calcChain.xml><?xml version="1.0" encoding="utf-8"?>
<calcChain xmlns="http://schemas.openxmlformats.org/spreadsheetml/2006/main">
  <c r="B13" i="28"/>
  <c r="C26" i="27"/>
  <c r="Q15" i="28" l="1"/>
  <c r="Q10"/>
  <c r="E24" l="1"/>
  <c r="E25" s="1"/>
  <c r="D23"/>
  <c r="D25" s="1"/>
  <c r="C22"/>
  <c r="C25" s="1"/>
  <c r="B21"/>
  <c r="B25" s="1"/>
  <c r="H10"/>
  <c r="H15" s="1"/>
  <c r="E10"/>
  <c r="D8" i="27" s="1"/>
  <c r="K40"/>
  <c r="I38"/>
  <c r="I41" s="1"/>
  <c r="H38"/>
  <c r="H41" s="1"/>
  <c r="G38"/>
  <c r="G41" s="1"/>
  <c r="F38"/>
  <c r="F41" s="1"/>
  <c r="E38"/>
  <c r="E41" s="1"/>
  <c r="D38"/>
  <c r="D41" s="1"/>
  <c r="K37"/>
  <c r="K36"/>
  <c r="K38" s="1"/>
  <c r="I20"/>
  <c r="I18"/>
  <c r="H12"/>
  <c r="G12"/>
  <c r="F12"/>
  <c r="E12"/>
  <c r="D12"/>
  <c r="D13" s="1"/>
  <c r="H8"/>
  <c r="G8"/>
  <c r="F8"/>
  <c r="E8"/>
  <c r="I11" i="28" l="1"/>
  <c r="B36" s="1"/>
  <c r="C36" s="1"/>
  <c r="E16" i="27" s="1"/>
  <c r="R14" i="28"/>
  <c r="R12"/>
  <c r="R10"/>
  <c r="R15" s="1"/>
  <c r="R13"/>
  <c r="R11"/>
  <c r="I13"/>
  <c r="B38" s="1"/>
  <c r="C38" s="1"/>
  <c r="G16" i="27" s="1"/>
  <c r="I14" i="28"/>
  <c r="B39" s="1"/>
  <c r="C39" s="1"/>
  <c r="H16" i="27" s="1"/>
  <c r="I10" i="28"/>
  <c r="B35" s="1"/>
  <c r="C35" s="1"/>
  <c r="D16" i="27" s="1"/>
  <c r="D14"/>
  <c r="G9"/>
  <c r="G10" s="1"/>
  <c r="H13"/>
  <c r="H14" s="1"/>
  <c r="F9"/>
  <c r="F10" s="1"/>
  <c r="E13"/>
  <c r="E14" s="1"/>
  <c r="I8"/>
  <c r="D9"/>
  <c r="G38" i="28"/>
  <c r="G36"/>
  <c r="F14" i="27"/>
  <c r="E9"/>
  <c r="E10" s="1"/>
  <c r="I12"/>
  <c r="G13"/>
  <c r="G14" s="1"/>
  <c r="H9"/>
  <c r="H10" s="1"/>
  <c r="F13"/>
  <c r="I12" i="28"/>
  <c r="B37" s="1"/>
  <c r="E15"/>
  <c r="B40" l="1"/>
  <c r="C37"/>
  <c r="F16" i="27" s="1"/>
  <c r="I14"/>
  <c r="G37" i="28"/>
  <c r="I13" i="27"/>
  <c r="I15" i="28"/>
  <c r="G35"/>
  <c r="G39"/>
  <c r="F10"/>
  <c r="K10" s="1"/>
  <c r="F14"/>
  <c r="F12"/>
  <c r="F11"/>
  <c r="F13"/>
  <c r="I9" i="27"/>
  <c r="G40" i="28"/>
  <c r="D10" i="27"/>
  <c r="A35" i="28" l="1"/>
  <c r="I10" i="27"/>
  <c r="I22" s="1"/>
  <c r="A36" i="28"/>
  <c r="F36" s="1"/>
  <c r="K11"/>
  <c r="A38"/>
  <c r="F38" s="1"/>
  <c r="K13"/>
  <c r="A39"/>
  <c r="F39" s="1"/>
  <c r="K14"/>
  <c r="A37"/>
  <c r="F37" s="1"/>
  <c r="K12"/>
  <c r="A40"/>
  <c r="F35"/>
  <c r="F15"/>
  <c r="I37" l="1"/>
  <c r="H37"/>
  <c r="H36"/>
  <c r="I36"/>
  <c r="F40"/>
  <c r="H39"/>
  <c r="I39"/>
  <c r="H38"/>
  <c r="I38"/>
  <c r="C40"/>
  <c r="H35"/>
  <c r="I35"/>
  <c r="K15"/>
  <c r="K38" l="1"/>
  <c r="K37"/>
  <c r="H40"/>
  <c r="K39"/>
  <c r="I40"/>
  <c r="K40" s="1"/>
  <c r="K35"/>
  <c r="K36"/>
  <c r="G18" i="27"/>
  <c r="G20"/>
  <c r="E18"/>
  <c r="E20"/>
  <c r="H20"/>
  <c r="H18"/>
  <c r="F18"/>
  <c r="F20"/>
  <c r="I16"/>
  <c r="D18"/>
  <c r="D20"/>
  <c r="G22" l="1"/>
  <c r="D22"/>
  <c r="D24" s="1"/>
  <c r="H22"/>
  <c r="F22"/>
  <c r="E22"/>
  <c r="G26"/>
  <c r="D26" l="1"/>
  <c r="G24"/>
  <c r="G28" s="1"/>
  <c r="G30" s="1"/>
  <c r="D28"/>
  <c r="H26"/>
  <c r="H24"/>
  <c r="F26"/>
  <c r="F24"/>
  <c r="E26"/>
  <c r="E24"/>
  <c r="I26" l="1"/>
  <c r="H28"/>
  <c r="H30" s="1"/>
  <c r="E28"/>
  <c r="E30" s="1"/>
  <c r="F28"/>
  <c r="F30" s="1"/>
  <c r="I24"/>
  <c r="D30"/>
  <c r="I28" l="1"/>
  <c r="I30"/>
</calcChain>
</file>

<file path=xl/comments1.xml><?xml version="1.0" encoding="utf-8"?>
<comments xmlns="http://schemas.openxmlformats.org/spreadsheetml/2006/main">
  <authors>
    <author>Patrick Ehrbar</author>
  </authors>
  <commentList>
    <comment ref="B13" authorId="0">
      <text>
        <r>
          <rPr>
            <b/>
            <sz val="9"/>
            <color indexed="81"/>
            <rFont val="Tahoma"/>
            <charset val="1"/>
          </rPr>
          <t xml:space="preserve">Two Year Target = 82972 before 5% adder for Decoupling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<sst xmlns="http://schemas.openxmlformats.org/spreadsheetml/2006/main" count="111" uniqueCount="87">
  <si>
    <t>Rate Schedule</t>
  </si>
  <si>
    <t>Washington</t>
  </si>
  <si>
    <t>Schedule 1</t>
  </si>
  <si>
    <t>Schedule 25</t>
  </si>
  <si>
    <t>Percentage</t>
  </si>
  <si>
    <t>Avista Utilities</t>
  </si>
  <si>
    <t>Line No.</t>
  </si>
  <si>
    <t>Sch 1</t>
  </si>
  <si>
    <t>Sch 11/12</t>
  </si>
  <si>
    <t>Sch 21/22</t>
  </si>
  <si>
    <t>Sch 25</t>
  </si>
  <si>
    <t>Sch 31/32</t>
  </si>
  <si>
    <t>Total</t>
  </si>
  <si>
    <t>kWhs</t>
  </si>
  <si>
    <t>Embedded in Normalized Test Year</t>
  </si>
  <si>
    <t>Estimated future schedule savings %</t>
  </si>
  <si>
    <t>2012 First Year Savings</t>
  </si>
  <si>
    <t>Revenue Change (Note 1)</t>
  </si>
  <si>
    <t>debit/(credit) basis</t>
  </si>
  <si>
    <t>Power Cost Savings (Note 2)</t>
  </si>
  <si>
    <t>Revenue Related Expenses (Note 3)</t>
  </si>
  <si>
    <r>
      <t xml:space="preserve">DSM Component of the Attrition Adj </t>
    </r>
    <r>
      <rPr>
        <sz val="11"/>
        <color theme="1"/>
        <rFont val="Calibri"/>
        <family val="2"/>
        <scheme val="minor"/>
      </rPr>
      <t>(Note 4)</t>
    </r>
  </si>
  <si>
    <t>Net Expense</t>
  </si>
  <si>
    <t>Note 1</t>
  </si>
  <si>
    <t xml:space="preserve">Calculation of the rate by schedule applied to Saved kWhs </t>
  </si>
  <si>
    <t>Andrews Workpaper Reference</t>
  </si>
  <si>
    <t>Street &amp; Area Lights</t>
  </si>
  <si>
    <t>Total WA Electric</t>
  </si>
  <si>
    <t>Total Present Revenue</t>
  </si>
  <si>
    <t>E-RN-14</t>
  </si>
  <si>
    <t>Exclude Fixed Charge Revenue</t>
  </si>
  <si>
    <t>Variable Charge Revenue</t>
  </si>
  <si>
    <t>Pro Forma kWhs</t>
  </si>
  <si>
    <t>E-RN-12</t>
  </si>
  <si>
    <t>Average Revenue per kWh</t>
  </si>
  <si>
    <t>The Revenue Change is shown on a debit/(credit) basis; a reduction to revenue is a debit or increase to net expense, and an increase to revenue is a (credit) or decrease to net expense.</t>
  </si>
  <si>
    <t xml:space="preserve">Note 2  </t>
  </si>
  <si>
    <t>Power Cost of Saved kWhs is Average Market Sale and Purchase Price per MWh from Johnson Exhibit No.___(WGJ-4), expressed as $ per kWh.</t>
  </si>
  <si>
    <t>Note 3</t>
  </si>
  <si>
    <t>Revenue related expense rate is from Line 6 Total Expense of Andrews Exhibit No.___(EMA-2), page 4.</t>
  </si>
  <si>
    <t>Note 4</t>
  </si>
  <si>
    <t>The resulting Net Expense value shown as an adjustment to Account 908 where DSM related expenses such as the Public Purpose Tariff Rider Expense Offset are recorded.</t>
  </si>
  <si>
    <t>Twelve Months Ended June 30, 2013</t>
  </si>
  <si>
    <t>2012 Full Year Adjustment</t>
  </si>
  <si>
    <t xml:space="preserve">2013 First Year Savings </t>
  </si>
  <si>
    <t>2013 Full Year Adjustment</t>
  </si>
  <si>
    <t>2014 First Year Savings</t>
  </si>
  <si>
    <t>1/2 2015 First Year Savings</t>
  </si>
  <si>
    <t>Total 2015 Savings Adjustment</t>
  </si>
  <si>
    <t>All energy calculations are in mWh's.  All numbers reflect Washington only.</t>
  </si>
  <si>
    <r>
      <t>Savings for 2012 are based on 50% of actual</t>
    </r>
    <r>
      <rPr>
        <sz val="11"/>
        <rFont val="Calibri"/>
        <family val="2"/>
        <scheme val="minor"/>
      </rPr>
      <t>, unverified</t>
    </r>
    <r>
      <rPr>
        <sz val="11"/>
        <color theme="1"/>
        <rFont val="Calibri"/>
        <family val="2"/>
        <scheme val="minor"/>
      </rPr>
      <t xml:space="preserve"> results - 3/4 year savings embedded in test year 1/4 year savings included in adjustment</t>
    </r>
  </si>
  <si>
    <t>Savings for 2013 are based on 50% of actual, unverified results - 1/4 year savings embedded in test year 3/4 year savings included in adjustment</t>
  </si>
  <si>
    <r>
      <t>Savings for 2014 are from the</t>
    </r>
    <r>
      <rPr>
        <sz val="11"/>
        <rFont val="Calibri"/>
        <family val="2"/>
        <scheme val="minor"/>
      </rPr>
      <t xml:space="preserve"> 2014/2015 Biennial Conservation Plan, Conservation Potential Assessment  (CPA) p</t>
    </r>
    <r>
      <rPr>
        <sz val="11"/>
        <color theme="1"/>
        <rFont val="Calibri"/>
        <family val="2"/>
        <scheme val="minor"/>
      </rPr>
      <t>lus NEEA - full year savings included</t>
    </r>
  </si>
  <si>
    <r>
      <t xml:space="preserve">Savings for 2015 are from the </t>
    </r>
    <r>
      <rPr>
        <sz val="11"/>
        <rFont val="Calibri"/>
        <family val="2"/>
        <scheme val="minor"/>
      </rPr>
      <t>2014/2015 Biennial Conservation Plan, Conservation Potential Assessment (CPA) plus NEEA - h</t>
    </r>
    <r>
      <rPr>
        <sz val="11"/>
        <color theme="1"/>
        <rFont val="Calibri"/>
        <family val="2"/>
        <scheme val="minor"/>
      </rPr>
      <t>alf year savings included</t>
    </r>
  </si>
  <si>
    <t>The targets:</t>
  </si>
  <si>
    <t>BCP/CPA + NEEA</t>
  </si>
  <si>
    <t>2012 1st Year Savings (kWh)</t>
  </si>
  <si>
    <t>2013 Estimated</t>
  </si>
  <si>
    <t>Average Percentage</t>
  </si>
  <si>
    <t xml:space="preserve">Actual </t>
  </si>
  <si>
    <t>Est Actual</t>
  </si>
  <si>
    <t>11/12</t>
  </si>
  <si>
    <t>Target</t>
  </si>
  <si>
    <t>21/22</t>
  </si>
  <si>
    <t>31/32</t>
  </si>
  <si>
    <t>Grand Total</t>
  </si>
  <si>
    <t>2012 DSM activity</t>
  </si>
  <si>
    <t>2013 DSM activity</t>
  </si>
  <si>
    <t>2014 DSM activity</t>
  </si>
  <si>
    <t>2015 DSM activity</t>
  </si>
  <si>
    <t>indicates no credit</t>
  </si>
  <si>
    <t>Indicates 1/4 yr</t>
  </si>
  <si>
    <t>Indicates 1/2 yr</t>
  </si>
  <si>
    <t>Indicates 3/4 yr</t>
  </si>
  <si>
    <t>Indicates full yr</t>
  </si>
  <si>
    <t>Rate split based upon 2012 actual</t>
  </si>
  <si>
    <t>For the BCP/CPA+NEEA</t>
  </si>
  <si>
    <t>2012 actual %</t>
  </si>
  <si>
    <t>2013 Est %</t>
  </si>
  <si>
    <t>2014/2015 %</t>
  </si>
  <si>
    <t>Schedule 11/12</t>
  </si>
  <si>
    <t>Schedule 21/22</t>
  </si>
  <si>
    <t>Schedule 31/32</t>
  </si>
  <si>
    <t>% of Total</t>
  </si>
  <si>
    <t>2013 1st Year Savings (kWh)</t>
  </si>
  <si>
    <t>Target + Decoupling 5%</t>
  </si>
  <si>
    <t>2015 Incremental Lost Margin from DSM  - Pro Forma Cross Check Study</t>
  </si>
</sst>
</file>

<file path=xl/styles.xml><?xml version="1.0" encoding="utf-8"?>
<styleSheet xmlns="http://schemas.openxmlformats.org/spreadsheetml/2006/main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_(* #,##0_);_(* \(#,##0\);_(* &quot;-&quot;??_);_(@_)"/>
    <numFmt numFmtId="167" formatCode="_(&quot;$&quot;* #,##0.00000_);_(&quot;$&quot;* \(#,##0.00000\);_(&quot;$&quot;* &quot;-&quot;??_);_(@_)"/>
    <numFmt numFmtId="168" formatCode="_(* #,##0.000_);_(* \(#,##0.000\);_(* &quot;-&quot;??_);_(@_)"/>
    <numFmt numFmtId="169" formatCode="_(&quot;$&quot;* #,##0_);_(&quot;$&quot;* \(#,##0\);_(&quot;$&quot;* &quot;-&quot;??_);_(@_)"/>
    <numFmt numFmtId="170" formatCode="_(&quot;$&quot;* #,##0.00000&quot; per kWh&quot;_);_(&quot;$&quot;* \(#,##0.00000\);_(&quot;$&quot;* &quot;-&quot;??_);_(@_)"/>
    <numFmt numFmtId="171" formatCode="_(&quot;$&quot;* #,##0.00000&quot; per Rev$&quot;_);_(&quot;$&quot;* \(#,##0.00000\);_(&quot;$&quot;* &quot;-&quot;??_);_(@_)"/>
    <numFmt numFmtId="172" formatCode="_(* #,##0_);_(* \(#,##0\);_(* &quot;-&quot;?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ill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164" fontId="0" fillId="0" borderId="0" xfId="1" applyNumberFormat="1" applyFont="1"/>
    <xf numFmtId="0" fontId="6" fillId="0" borderId="0" xfId="0" applyFont="1"/>
    <xf numFmtId="167" fontId="0" fillId="0" borderId="0" xfId="2" applyNumberFormat="1" applyFont="1"/>
    <xf numFmtId="166" fontId="0" fillId="0" borderId="0" xfId="3" applyNumberFormat="1" applyFont="1" applyFill="1"/>
    <xf numFmtId="166" fontId="0" fillId="0" borderId="0" xfId="3" applyNumberFormat="1" applyFont="1"/>
    <xf numFmtId="0" fontId="9" fillId="0" borderId="0" xfId="0" applyFont="1"/>
    <xf numFmtId="0" fontId="0" fillId="0" borderId="0" xfId="0" applyAlignment="1">
      <alignment horizontal="right"/>
    </xf>
    <xf numFmtId="166" fontId="0" fillId="0" borderId="0" xfId="0" applyNumberFormat="1"/>
    <xf numFmtId="166" fontId="0" fillId="0" borderId="0" xfId="3" applyNumberFormat="1" applyFont="1" applyAlignment="1">
      <alignment horizontal="right"/>
    </xf>
    <xf numFmtId="164" fontId="0" fillId="0" borderId="0" xfId="0" applyNumberFormat="1"/>
    <xf numFmtId="166" fontId="0" fillId="0" borderId="0" xfId="0" applyNumberFormat="1" applyAlignment="1">
      <alignment horizontal="center"/>
    </xf>
    <xf numFmtId="0" fontId="6" fillId="0" borderId="0" xfId="0" applyFont="1" applyAlignment="1">
      <alignment horizontal="right"/>
    </xf>
    <xf numFmtId="166" fontId="6" fillId="0" borderId="0" xfId="0" applyNumberFormat="1" applyFont="1"/>
    <xf numFmtId="10" fontId="6" fillId="0" borderId="0" xfId="1" applyNumberFormat="1" applyFont="1"/>
    <xf numFmtId="168" fontId="0" fillId="0" borderId="0" xfId="0" applyNumberFormat="1"/>
    <xf numFmtId="169" fontId="0" fillId="0" borderId="0" xfId="2" applyNumberFormat="1" applyFont="1"/>
    <xf numFmtId="166" fontId="0" fillId="0" borderId="0" xfId="0" applyNumberFormat="1" applyFill="1"/>
    <xf numFmtId="165" fontId="0" fillId="0" borderId="0" xfId="1" applyNumberFormat="1" applyFont="1"/>
    <xf numFmtId="169" fontId="6" fillId="0" borderId="0" xfId="0" applyNumberFormat="1" applyFont="1"/>
    <xf numFmtId="169" fontId="6" fillId="0" borderId="7" xfId="2" applyNumberFormat="1" applyFont="1" applyBorder="1"/>
    <xf numFmtId="172" fontId="0" fillId="0" borderId="0" xfId="0" applyNumberFormat="1"/>
    <xf numFmtId="167" fontId="0" fillId="0" borderId="0" xfId="0" applyNumberFormat="1"/>
    <xf numFmtId="0" fontId="0" fillId="2" borderId="0" xfId="0" applyFill="1"/>
    <xf numFmtId="172" fontId="0" fillId="2" borderId="0" xfId="0" applyNumberFormat="1" applyFill="1"/>
    <xf numFmtId="166" fontId="0" fillId="2" borderId="0" xfId="0" applyNumberFormat="1" applyFill="1"/>
    <xf numFmtId="43" fontId="0" fillId="0" borderId="0" xfId="0" applyNumberFormat="1"/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169" fontId="0" fillId="0" borderId="0" xfId="2" applyNumberFormat="1" applyFont="1" applyFill="1"/>
    <xf numFmtId="169" fontId="0" fillId="0" borderId="0" xfId="0" applyNumberFormat="1"/>
    <xf numFmtId="169" fontId="0" fillId="0" borderId="8" xfId="2" applyNumberFormat="1" applyFont="1" applyBorder="1"/>
    <xf numFmtId="169" fontId="0" fillId="0" borderId="0" xfId="2" applyNumberFormat="1" applyFont="1" applyBorder="1"/>
    <xf numFmtId="167" fontId="6" fillId="0" borderId="0" xfId="2" applyNumberFormat="1" applyFont="1"/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70" fontId="0" fillId="0" borderId="0" xfId="2" applyNumberFormat="1" applyFont="1" applyFill="1" applyAlignment="1">
      <alignment horizontal="right"/>
    </xf>
    <xf numFmtId="171" fontId="0" fillId="0" borderId="0" xfId="2" applyNumberFormat="1" applyFont="1" applyFill="1" applyAlignment="1">
      <alignment horizontal="right"/>
    </xf>
    <xf numFmtId="0" fontId="0" fillId="0" borderId="0" xfId="0" applyFont="1"/>
    <xf numFmtId="0" fontId="4" fillId="0" borderId="0" xfId="0" applyFont="1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6" fontId="6" fillId="0" borderId="0" xfId="3" applyNumberFormat="1" applyFont="1" applyFill="1"/>
    <xf numFmtId="164" fontId="0" fillId="0" borderId="0" xfId="0" applyNumberFormat="1" applyFont="1"/>
    <xf numFmtId="16" fontId="0" fillId="0" borderId="0" xfId="0" quotePrefix="1" applyNumberFormat="1" applyAlignment="1">
      <alignment horizontal="right"/>
    </xf>
    <xf numFmtId="166" fontId="0" fillId="0" borderId="0" xfId="0" applyNumberFormat="1" applyFont="1"/>
    <xf numFmtId="0" fontId="0" fillId="0" borderId="0" xfId="0" quotePrefix="1" applyAlignment="1">
      <alignment horizontal="right"/>
    </xf>
    <xf numFmtId="0" fontId="0" fillId="0" borderId="0" xfId="0" applyFont="1" applyAlignment="1">
      <alignment horizontal="right"/>
    </xf>
    <xf numFmtId="166" fontId="0" fillId="0" borderId="8" xfId="3" applyNumberFormat="1" applyFont="1" applyBorder="1"/>
    <xf numFmtId="164" fontId="0" fillId="0" borderId="8" xfId="0" applyNumberFormat="1" applyFont="1" applyBorder="1"/>
    <xf numFmtId="0" fontId="0" fillId="0" borderId="0" xfId="0" applyFont="1" applyFill="1" applyBorder="1"/>
    <xf numFmtId="0" fontId="6" fillId="0" borderId="9" xfId="0" applyFont="1" applyBorder="1"/>
    <xf numFmtId="0" fontId="6" fillId="0" borderId="8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0" fillId="0" borderId="11" xfId="0" applyBorder="1" applyAlignment="1">
      <alignment horizontal="right"/>
    </xf>
    <xf numFmtId="166" fontId="1" fillId="4" borderId="0" xfId="3" applyNumberFormat="1" applyFont="1" applyFill="1" applyBorder="1"/>
    <xf numFmtId="166" fontId="1" fillId="5" borderId="0" xfId="3" applyNumberFormat="1" applyFont="1" applyFill="1" applyBorder="1"/>
    <xf numFmtId="166" fontId="1" fillId="5" borderId="12" xfId="3" applyNumberFormat="1" applyFont="1" applyFill="1" applyBorder="1"/>
    <xf numFmtId="0" fontId="0" fillId="0" borderId="11" xfId="0" applyFont="1" applyBorder="1" applyAlignment="1">
      <alignment horizontal="right"/>
    </xf>
    <xf numFmtId="166" fontId="1" fillId="6" borderId="0" xfId="3" applyNumberFormat="1" applyFont="1" applyFill="1" applyBorder="1"/>
    <xf numFmtId="166" fontId="1" fillId="7" borderId="0" xfId="3" applyNumberFormat="1" applyFont="1" applyFill="1" applyBorder="1"/>
    <xf numFmtId="166" fontId="1" fillId="8" borderId="0" xfId="3" applyNumberFormat="1" applyFont="1" applyFill="1" applyBorder="1"/>
    <xf numFmtId="166" fontId="1" fillId="3" borderId="12" xfId="3" applyNumberFormat="1" applyFont="1" applyFill="1" applyBorder="1"/>
    <xf numFmtId="0" fontId="6" fillId="0" borderId="11" xfId="0" applyFont="1" applyBorder="1" applyAlignment="1">
      <alignment horizontal="right"/>
    </xf>
    <xf numFmtId="166" fontId="6" fillId="0" borderId="0" xfId="0" applyNumberFormat="1" applyFont="1" applyBorder="1"/>
    <xf numFmtId="166" fontId="6" fillId="0" borderId="12" xfId="0" applyNumberFormat="1" applyFont="1" applyBorder="1"/>
    <xf numFmtId="0" fontId="0" fillId="0" borderId="11" xfId="0" applyFont="1" applyBorder="1"/>
    <xf numFmtId="0" fontId="0" fillId="5" borderId="0" xfId="0" applyFont="1" applyFill="1" applyBorder="1"/>
    <xf numFmtId="0" fontId="0" fillId="0" borderId="0" xfId="0" applyFont="1" applyBorder="1"/>
    <xf numFmtId="0" fontId="0" fillId="0" borderId="12" xfId="0" applyFont="1" applyBorder="1"/>
    <xf numFmtId="0" fontId="0" fillId="4" borderId="0" xfId="0" applyFill="1" applyBorder="1"/>
    <xf numFmtId="0" fontId="0" fillId="4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0" fillId="7" borderId="0" xfId="0" applyFill="1" applyBorder="1"/>
    <xf numFmtId="0" fontId="0" fillId="7" borderId="0" xfId="0" applyFont="1" applyFill="1" applyBorder="1"/>
    <xf numFmtId="0" fontId="0" fillId="0" borderId="13" xfId="0" applyFont="1" applyBorder="1"/>
    <xf numFmtId="0" fontId="0" fillId="8" borderId="1" xfId="0" applyFont="1" applyFill="1" applyBorder="1"/>
    <xf numFmtId="0" fontId="0" fillId="0" borderId="1" xfId="0" applyFont="1" applyBorder="1"/>
    <xf numFmtId="0" fontId="0" fillId="0" borderId="14" xfId="0" applyFont="1" applyBorder="1"/>
    <xf numFmtId="0" fontId="6" fillId="0" borderId="2" xfId="0" applyFont="1" applyBorder="1" applyAlignment="1">
      <alignment horizontal="centerContinuous"/>
    </xf>
    <xf numFmtId="0" fontId="0" fillId="0" borderId="3" xfId="0" applyFont="1" applyBorder="1" applyAlignment="1">
      <alignment horizontal="centerContinuous"/>
    </xf>
    <xf numFmtId="0" fontId="0" fillId="0" borderId="4" xfId="0" applyFont="1" applyBorder="1"/>
    <xf numFmtId="0" fontId="0" fillId="0" borderId="15" xfId="0" applyFont="1" applyBorder="1" applyAlignment="1">
      <alignment horizontal="centerContinuous"/>
    </xf>
    <xf numFmtId="9" fontId="8" fillId="0" borderId="0" xfId="0" applyNumberFormat="1" applyFont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6" xfId="0" applyFont="1" applyBorder="1"/>
    <xf numFmtId="0" fontId="8" fillId="0" borderId="16" xfId="0" applyFont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6" fontId="0" fillId="0" borderId="5" xfId="0" applyNumberFormat="1" applyFont="1" applyBorder="1"/>
    <xf numFmtId="166" fontId="0" fillId="0" borderId="0" xfId="0" applyNumberFormat="1" applyFont="1" applyBorder="1"/>
    <xf numFmtId="166" fontId="0" fillId="0" borderId="16" xfId="0" applyNumberFormat="1" applyFont="1" applyBorder="1"/>
    <xf numFmtId="164" fontId="0" fillId="0" borderId="0" xfId="0" applyNumberFormat="1" applyFont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166" fontId="0" fillId="0" borderId="17" xfId="0" applyNumberFormat="1" applyFont="1" applyBorder="1"/>
    <xf numFmtId="166" fontId="0" fillId="0" borderId="18" xfId="0" applyNumberFormat="1" applyFont="1" applyBorder="1"/>
    <xf numFmtId="166" fontId="0" fillId="0" borderId="19" xfId="0" applyNumberFormat="1" applyFont="1" applyBorder="1"/>
    <xf numFmtId="43" fontId="0" fillId="0" borderId="0" xfId="0" applyNumberFormat="1" applyFont="1"/>
    <xf numFmtId="16" fontId="2" fillId="0" borderId="0" xfId="0" quotePrefix="1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9" fontId="5" fillId="0" borderId="0" xfId="1" applyFont="1" applyAlignment="1">
      <alignment horizontal="center" wrapText="1"/>
    </xf>
    <xf numFmtId="0" fontId="5" fillId="0" borderId="0" xfId="0" applyFont="1" applyAlignment="1"/>
    <xf numFmtId="164" fontId="2" fillId="0" borderId="0" xfId="1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8" fontId="0" fillId="0" borderId="0" xfId="0" applyNumberFormat="1"/>
    <xf numFmtId="166" fontId="2" fillId="0" borderId="8" xfId="3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</cellXfs>
  <cellStyles count="7">
    <cellStyle name="Comma" xfId="3" builtinId="3"/>
    <cellStyle name="Comma 2" xfId="4"/>
    <cellStyle name="Currency" xfId="2" builtinId="4"/>
    <cellStyle name="Normal" xfId="0" builtinId="0"/>
    <cellStyle name="Normal 2" xfId="5"/>
    <cellStyle name="Percent" xfId="1" builtinId="5"/>
    <cellStyle name="Percent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2013%20WA%20Avoided%20Cost%20Filing%20Sch%2062/Jan%202014%20Avoided%20Co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v and Tilt"/>
      <sheetName val="IRP Prices"/>
    </sheetNames>
    <sheetDataSet>
      <sheetData sheetId="0">
        <row r="24">
          <cell r="C24">
            <v>6.5799999999999997E-2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zoomScaleNormal="100" workbookViewId="0">
      <selection activeCell="B3" sqref="B3"/>
    </sheetView>
  </sheetViews>
  <sheetFormatPr defaultRowHeight="15"/>
  <cols>
    <col min="1" max="1" width="8" customWidth="1"/>
    <col min="2" max="2" width="42.28515625" customWidth="1"/>
    <col min="3" max="3" width="18.140625" customWidth="1"/>
    <col min="4" max="4" width="13.85546875" customWidth="1"/>
    <col min="5" max="5" width="12.5703125" customWidth="1"/>
    <col min="6" max="6" width="14.85546875" customWidth="1"/>
    <col min="7" max="7" width="14.140625" customWidth="1"/>
    <col min="8" max="8" width="12.5703125" customWidth="1"/>
    <col min="9" max="9" width="13.85546875" customWidth="1"/>
    <col min="10" max="10" width="6.42578125" customWidth="1"/>
    <col min="11" max="11" width="15.42578125" customWidth="1"/>
    <col min="12" max="12" width="11.85546875" bestFit="1" customWidth="1"/>
    <col min="13" max="13" width="15.28515625" customWidth="1"/>
  </cols>
  <sheetData>
    <row r="1" spans="1:12">
      <c r="B1" s="7" t="s">
        <v>5</v>
      </c>
    </row>
    <row r="2" spans="1:12">
      <c r="B2" s="7" t="s">
        <v>86</v>
      </c>
    </row>
    <row r="3" spans="1:12">
      <c r="B3" s="7" t="s">
        <v>42</v>
      </c>
    </row>
    <row r="5" spans="1:12">
      <c r="B5" t="s">
        <v>1</v>
      </c>
    </row>
    <row r="6" spans="1:12">
      <c r="A6" t="s">
        <v>6</v>
      </c>
      <c r="B6" t="s">
        <v>0</v>
      </c>
      <c r="D6" s="41" t="s">
        <v>7</v>
      </c>
      <c r="E6" s="41" t="s">
        <v>8</v>
      </c>
      <c r="F6" s="41" t="s">
        <v>9</v>
      </c>
      <c r="G6" s="41" t="s">
        <v>10</v>
      </c>
      <c r="H6" s="41" t="s">
        <v>11</v>
      </c>
      <c r="I6" s="41" t="s">
        <v>12</v>
      </c>
    </row>
    <row r="8" spans="1:12">
      <c r="A8" s="41">
        <v>1</v>
      </c>
      <c r="B8" t="s">
        <v>16</v>
      </c>
      <c r="C8" s="12" t="s">
        <v>13</v>
      </c>
      <c r="D8" s="9">
        <f>'E-DSMA-2'!E10</f>
        <v>24174618</v>
      </c>
      <c r="E8" s="9">
        <f>'E-DSMA-2'!E11</f>
        <v>10682909</v>
      </c>
      <c r="F8" s="9">
        <f>'E-DSMA-2'!E12</f>
        <v>23078081</v>
      </c>
      <c r="G8" s="9">
        <f>'E-DSMA-2'!E13</f>
        <v>4843908</v>
      </c>
      <c r="H8" s="9">
        <f>'E-DSMA-2'!E14</f>
        <v>1412862</v>
      </c>
      <c r="I8" s="13">
        <f>SUM(D8:H8)</f>
        <v>64192378</v>
      </c>
      <c r="K8" s="14"/>
    </row>
    <row r="9" spans="1:12">
      <c r="A9" s="41">
        <v>2</v>
      </c>
      <c r="B9" t="s">
        <v>14</v>
      </c>
      <c r="C9" s="12" t="s">
        <v>13</v>
      </c>
      <c r="D9" s="13">
        <f>ROUND(D8*0.75,0)</f>
        <v>18130964</v>
      </c>
      <c r="E9" s="13">
        <f t="shared" ref="E9:H9" si="0">ROUND(E8*0.75,0)</f>
        <v>8012182</v>
      </c>
      <c r="F9" s="13">
        <f t="shared" si="0"/>
        <v>17308561</v>
      </c>
      <c r="G9" s="13">
        <f t="shared" si="0"/>
        <v>3632931</v>
      </c>
      <c r="H9" s="13">
        <f t="shared" si="0"/>
        <v>1059647</v>
      </c>
      <c r="I9" s="13">
        <f>SUM(D9:H9)</f>
        <v>48144285</v>
      </c>
      <c r="K9" s="14"/>
    </row>
    <row r="10" spans="1:12">
      <c r="A10" s="41">
        <v>3</v>
      </c>
      <c r="B10" t="s">
        <v>43</v>
      </c>
      <c r="C10" s="12" t="s">
        <v>13</v>
      </c>
      <c r="D10" s="13">
        <f>D8-D9</f>
        <v>6043654</v>
      </c>
      <c r="E10" s="13">
        <f t="shared" ref="E10:H10" si="1">E8-E9</f>
        <v>2670727</v>
      </c>
      <c r="F10" s="13">
        <f t="shared" si="1"/>
        <v>5769520</v>
      </c>
      <c r="G10" s="13">
        <f t="shared" si="1"/>
        <v>1210977</v>
      </c>
      <c r="H10" s="13">
        <f t="shared" si="1"/>
        <v>353215</v>
      </c>
      <c r="I10" s="13">
        <f>SUM(D10:H10)</f>
        <v>16048093</v>
      </c>
      <c r="K10" s="14"/>
    </row>
    <row r="11" spans="1:12">
      <c r="A11" s="41"/>
      <c r="C11" s="12"/>
      <c r="D11" s="13"/>
      <c r="E11" s="13"/>
      <c r="F11" s="13"/>
      <c r="G11" s="13"/>
      <c r="H11" s="13"/>
      <c r="I11" s="13"/>
      <c r="K11" s="14"/>
    </row>
    <row r="12" spans="1:12">
      <c r="A12" s="41">
        <v>4</v>
      </c>
      <c r="B12" t="s">
        <v>44</v>
      </c>
      <c r="C12" s="12" t="s">
        <v>13</v>
      </c>
      <c r="D12" s="9">
        <f>'E-DSMA-2'!H10</f>
        <v>31724087</v>
      </c>
      <c r="E12" s="9">
        <f>'E-DSMA-2'!H11</f>
        <v>6629046</v>
      </c>
      <c r="F12" s="9">
        <f>'E-DSMA-2'!H12</f>
        <v>2208613</v>
      </c>
      <c r="G12" s="9">
        <f>'E-DSMA-2'!H13</f>
        <v>2917062</v>
      </c>
      <c r="H12" s="9">
        <f>'E-DSMA-2'!H14</f>
        <v>18648</v>
      </c>
      <c r="I12" s="13">
        <f>SUM(D12:H12)</f>
        <v>43497456</v>
      </c>
      <c r="K12" s="14"/>
      <c r="L12" s="117"/>
    </row>
    <row r="13" spans="1:12">
      <c r="A13" s="41">
        <v>5</v>
      </c>
      <c r="B13" t="s">
        <v>14</v>
      </c>
      <c r="C13" s="12" t="s">
        <v>13</v>
      </c>
      <c r="D13" s="13">
        <f>ROUND(D12*0.25,0)</f>
        <v>7931022</v>
      </c>
      <c r="E13" s="13">
        <f t="shared" ref="E13:H13" si="2">ROUND(E12*0.25,0)</f>
        <v>1657262</v>
      </c>
      <c r="F13" s="13">
        <f t="shared" si="2"/>
        <v>552153</v>
      </c>
      <c r="G13" s="13">
        <f t="shared" si="2"/>
        <v>729266</v>
      </c>
      <c r="H13" s="13">
        <f t="shared" si="2"/>
        <v>4662</v>
      </c>
      <c r="I13" s="13">
        <f>SUM(D13:H13)</f>
        <v>10874365</v>
      </c>
      <c r="K13" s="14"/>
      <c r="L13" s="117"/>
    </row>
    <row r="14" spans="1:12">
      <c r="A14" s="41">
        <v>6</v>
      </c>
      <c r="B14" t="s">
        <v>45</v>
      </c>
      <c r="C14" s="12" t="s">
        <v>13</v>
      </c>
      <c r="D14" s="13">
        <f>D12-D13</f>
        <v>23793065</v>
      </c>
      <c r="E14" s="13">
        <f t="shared" ref="E14:H14" si="3">E12-E13</f>
        <v>4971784</v>
      </c>
      <c r="F14" s="13">
        <f t="shared" si="3"/>
        <v>1656460</v>
      </c>
      <c r="G14" s="13">
        <f t="shared" si="3"/>
        <v>2187796</v>
      </c>
      <c r="H14" s="13">
        <f t="shared" si="3"/>
        <v>13986</v>
      </c>
      <c r="I14" s="13">
        <f>SUM(D14:H14)</f>
        <v>32623091</v>
      </c>
      <c r="K14" s="14"/>
    </row>
    <row r="15" spans="1:12">
      <c r="K15" s="14"/>
    </row>
    <row r="16" spans="1:12">
      <c r="A16" s="41">
        <v>7</v>
      </c>
      <c r="B16" t="s">
        <v>15</v>
      </c>
      <c r="D16" s="15">
        <f>'E-DSMA-2'!C35</f>
        <v>0.72929999999999995</v>
      </c>
      <c r="E16" s="15">
        <f>'E-DSMA-2'!C36</f>
        <v>0.15240000000000001</v>
      </c>
      <c r="F16" s="15">
        <f>'E-DSMA-2'!C37</f>
        <v>5.0799999999999998E-2</v>
      </c>
      <c r="G16" s="15">
        <f>'E-DSMA-2'!C38</f>
        <v>6.7100000000000007E-2</v>
      </c>
      <c r="H16" s="15">
        <f>'E-DSMA-2'!C39</f>
        <v>4.0000000000000002E-4</v>
      </c>
      <c r="I16" s="15">
        <f>SUM(D16:H16)</f>
        <v>0.99999999999999989</v>
      </c>
      <c r="K16" s="14"/>
    </row>
    <row r="17" spans="1:11">
      <c r="K17" s="14"/>
    </row>
    <row r="18" spans="1:11">
      <c r="A18" s="41">
        <v>8</v>
      </c>
      <c r="B18" t="s">
        <v>46</v>
      </c>
      <c r="C18" s="12" t="s">
        <v>13</v>
      </c>
      <c r="D18" s="13">
        <f>ROUND($I$18*D16,0)</f>
        <v>30255740</v>
      </c>
      <c r="E18" s="13">
        <f t="shared" ref="E18:G18" si="4">ROUND($I$18*E16,0)</f>
        <v>6322466</v>
      </c>
      <c r="F18" s="13">
        <f t="shared" si="4"/>
        <v>2107489</v>
      </c>
      <c r="G18" s="13">
        <f t="shared" si="4"/>
        <v>2783711</v>
      </c>
      <c r="H18" s="13">
        <f>ROUND($I$18*H16,0)</f>
        <v>16594</v>
      </c>
      <c r="I18" s="13">
        <f>'E-DSMA-2'!B12*1000</f>
        <v>41486000</v>
      </c>
      <c r="K18" s="14"/>
    </row>
    <row r="19" spans="1:11">
      <c r="K19" s="14"/>
    </row>
    <row r="20" spans="1:11">
      <c r="A20" s="41">
        <v>9</v>
      </c>
      <c r="B20" t="s">
        <v>47</v>
      </c>
      <c r="C20" s="12" t="s">
        <v>13</v>
      </c>
      <c r="D20" s="13">
        <f>ROUND($I$20*D16,0)</f>
        <v>15884263</v>
      </c>
      <c r="E20" s="13">
        <f t="shared" ref="E20:H20" si="5">ROUND($I$20*E16,0)</f>
        <v>3319295</v>
      </c>
      <c r="F20" s="13">
        <f t="shared" si="5"/>
        <v>1106432</v>
      </c>
      <c r="G20" s="13">
        <f t="shared" si="5"/>
        <v>1461448</v>
      </c>
      <c r="H20" s="13">
        <f t="shared" si="5"/>
        <v>8712</v>
      </c>
      <c r="I20" s="13">
        <f>'E-DSMA-2'!B13*1000/2</f>
        <v>21780150</v>
      </c>
      <c r="K20" s="16"/>
    </row>
    <row r="21" spans="1:11">
      <c r="C21" s="12"/>
      <c r="K21" s="41"/>
    </row>
    <row r="22" spans="1:11" s="7" customFormat="1">
      <c r="A22" s="45">
        <v>10</v>
      </c>
      <c r="B22" s="7" t="s">
        <v>48</v>
      </c>
      <c r="C22" s="17" t="s">
        <v>13</v>
      </c>
      <c r="D22" s="18">
        <f>-(D10+D14+D18+D20)</f>
        <v>-75976722</v>
      </c>
      <c r="E22" s="18">
        <f t="shared" ref="E22:I22" si="6">-(E10+E14+E18+E20)</f>
        <v>-17284272</v>
      </c>
      <c r="F22" s="18">
        <f t="shared" si="6"/>
        <v>-10639901</v>
      </c>
      <c r="G22" s="18">
        <f t="shared" si="6"/>
        <v>-7643932</v>
      </c>
      <c r="H22" s="18">
        <f t="shared" si="6"/>
        <v>-392507</v>
      </c>
      <c r="I22" s="18">
        <f t="shared" si="6"/>
        <v>-111937334</v>
      </c>
      <c r="J22" s="19"/>
      <c r="K22" s="18"/>
    </row>
    <row r="23" spans="1:11">
      <c r="K23" s="20"/>
    </row>
    <row r="24" spans="1:11">
      <c r="A24" s="41">
        <v>11</v>
      </c>
      <c r="B24" t="s">
        <v>17</v>
      </c>
      <c r="C24" s="12" t="s">
        <v>18</v>
      </c>
      <c r="D24" s="21">
        <f>D22*-D41</f>
        <v>5868442.0072800005</v>
      </c>
      <c r="E24" s="21">
        <f>E22*-E41</f>
        <v>1824700.59504</v>
      </c>
      <c r="F24" s="21">
        <f>F22*-F41</f>
        <v>840339.3809799999</v>
      </c>
      <c r="G24" s="21">
        <f>G22*-G41</f>
        <v>453667.36420000001</v>
      </c>
      <c r="H24" s="21">
        <f>H22*-H41</f>
        <v>29991.459870000002</v>
      </c>
      <c r="I24" s="21">
        <f>SUM(D24:H24)</f>
        <v>9017140.8073699996</v>
      </c>
    </row>
    <row r="25" spans="1:11">
      <c r="A25" s="41"/>
      <c r="C25" s="12"/>
      <c r="D25" s="22"/>
      <c r="E25" s="22"/>
      <c r="F25" s="22"/>
      <c r="G25" s="22"/>
      <c r="H25" s="22"/>
      <c r="I25" s="13"/>
    </row>
    <row r="26" spans="1:11">
      <c r="A26" s="41">
        <v>12</v>
      </c>
      <c r="B26" t="s">
        <v>19</v>
      </c>
      <c r="C26" s="48">
        <f>31.26/1000</f>
        <v>3.1260000000000003E-2</v>
      </c>
      <c r="D26" s="21">
        <f>D22*$C$26</f>
        <v>-2375032.3297200003</v>
      </c>
      <c r="E26" s="21">
        <f>E22*$C$26</f>
        <v>-540306.34272000007</v>
      </c>
      <c r="F26" s="21">
        <f>F22*$C$26</f>
        <v>-332603.30526000005</v>
      </c>
      <c r="G26" s="21">
        <f>G22*$C$26</f>
        <v>-238949.31432000003</v>
      </c>
      <c r="H26" s="21">
        <f>H22*$C$26</f>
        <v>-12269.768820000001</v>
      </c>
      <c r="I26" s="21">
        <f>SUM(D26:H26)</f>
        <v>-3499161.0608400004</v>
      </c>
    </row>
    <row r="27" spans="1:11">
      <c r="A27" s="41"/>
      <c r="C27" s="12"/>
      <c r="D27" s="21"/>
      <c r="E27" s="21"/>
      <c r="F27" s="21"/>
      <c r="G27" s="21"/>
      <c r="H27" s="21"/>
      <c r="I27" s="21"/>
    </row>
    <row r="28" spans="1:11">
      <c r="A28" s="41">
        <v>13</v>
      </c>
      <c r="B28" t="s">
        <v>20</v>
      </c>
      <c r="C28" s="49">
        <v>4.5010000000000001E-2</v>
      </c>
      <c r="D28" s="21">
        <f>D24*-$C$28</f>
        <v>-264138.57474767283</v>
      </c>
      <c r="E28" s="21">
        <f t="shared" ref="E28:H28" si="7">E24*-$C$28</f>
        <v>-82129.773782750402</v>
      </c>
      <c r="F28" s="21">
        <f t="shared" si="7"/>
        <v>-37823.675537909796</v>
      </c>
      <c r="G28" s="21">
        <f t="shared" si="7"/>
        <v>-20419.568062642</v>
      </c>
      <c r="H28" s="21">
        <f t="shared" si="7"/>
        <v>-1349.9156087487002</v>
      </c>
      <c r="I28" s="21">
        <f>SUM(D28:H28)</f>
        <v>-405861.50773972372</v>
      </c>
    </row>
    <row r="29" spans="1:11" ht="15.75" thickBot="1">
      <c r="A29" s="41"/>
      <c r="C29" s="12"/>
      <c r="D29" s="23"/>
      <c r="E29" s="23"/>
      <c r="F29" s="23"/>
      <c r="G29" s="23"/>
      <c r="H29" s="23"/>
      <c r="I29" s="13"/>
    </row>
    <row r="30" spans="1:11" s="7" customFormat="1" ht="16.5" thickTop="1" thickBot="1">
      <c r="A30" s="45">
        <v>14</v>
      </c>
      <c r="B30" s="7" t="s">
        <v>21</v>
      </c>
      <c r="C30" s="17" t="s">
        <v>22</v>
      </c>
      <c r="D30" s="24">
        <f>D24+D26+D28</f>
        <v>3229271.1028123274</v>
      </c>
      <c r="E30" s="24">
        <f t="shared" ref="E30:H30" si="8">E24+E26+E28</f>
        <v>1202264.4785372496</v>
      </c>
      <c r="F30" s="24">
        <f t="shared" si="8"/>
        <v>469912.40018209006</v>
      </c>
      <c r="G30" s="24">
        <f t="shared" si="8"/>
        <v>194298.48181735797</v>
      </c>
      <c r="H30" s="24">
        <f t="shared" si="8"/>
        <v>16371.7754412513</v>
      </c>
      <c r="I30" s="25">
        <f>SUM(D30:H30)</f>
        <v>5112118.2387902765</v>
      </c>
    </row>
    <row r="31" spans="1:11" ht="8.25" customHeight="1" thickTop="1">
      <c r="D31" s="26"/>
      <c r="E31" s="26"/>
      <c r="F31" s="26"/>
      <c r="G31" s="26"/>
      <c r="H31" s="26"/>
      <c r="I31" s="13"/>
    </row>
    <row r="32" spans="1:11">
      <c r="C32" s="27"/>
      <c r="D32" s="26"/>
      <c r="E32" s="26"/>
      <c r="F32" s="26"/>
      <c r="G32" s="26"/>
      <c r="H32" s="26"/>
      <c r="I32" s="13"/>
    </row>
    <row r="33" spans="1:11" ht="8.25" customHeight="1">
      <c r="A33" s="28"/>
      <c r="B33" s="28"/>
      <c r="C33" s="28"/>
      <c r="D33" s="29"/>
      <c r="E33" s="29"/>
      <c r="F33" s="29"/>
      <c r="G33" s="29"/>
      <c r="H33" s="29"/>
      <c r="I33" s="30"/>
      <c r="J33" s="28"/>
      <c r="K33" s="28"/>
    </row>
    <row r="34" spans="1:11">
      <c r="B34" s="7" t="s">
        <v>23</v>
      </c>
      <c r="D34" s="31"/>
    </row>
    <row r="35" spans="1:11" ht="32.25" customHeight="1">
      <c r="B35" s="32" t="s">
        <v>24</v>
      </c>
      <c r="C35" s="4" t="s">
        <v>25</v>
      </c>
      <c r="D35" s="41" t="s">
        <v>7</v>
      </c>
      <c r="E35" s="41" t="s">
        <v>8</v>
      </c>
      <c r="F35" s="41" t="s">
        <v>9</v>
      </c>
      <c r="G35" s="41" t="s">
        <v>10</v>
      </c>
      <c r="H35" s="41" t="s">
        <v>11</v>
      </c>
      <c r="I35" s="33" t="s">
        <v>26</v>
      </c>
      <c r="K35" s="41" t="s">
        <v>27</v>
      </c>
    </row>
    <row r="36" spans="1:11">
      <c r="A36" s="41">
        <v>15</v>
      </c>
      <c r="B36" s="12" t="s">
        <v>28</v>
      </c>
      <c r="C36" s="41" t="s">
        <v>29</v>
      </c>
      <c r="D36" s="34">
        <v>201175753</v>
      </c>
      <c r="E36" s="34">
        <v>64121658</v>
      </c>
      <c r="F36" s="34">
        <v>123940931</v>
      </c>
      <c r="G36" s="34">
        <v>60469040</v>
      </c>
      <c r="H36" s="34">
        <v>10494208</v>
      </c>
      <c r="I36" s="34">
        <v>6670112</v>
      </c>
      <c r="K36" s="35">
        <f>SUM(D36:I36)</f>
        <v>466871702</v>
      </c>
    </row>
    <row r="37" spans="1:11">
      <c r="A37" s="41">
        <v>16</v>
      </c>
      <c r="B37" s="12" t="s">
        <v>30</v>
      </c>
      <c r="C37" s="41" t="s">
        <v>29</v>
      </c>
      <c r="D37" s="34">
        <v>-19496648</v>
      </c>
      <c r="E37" s="34">
        <v>-5279625</v>
      </c>
      <c r="F37" s="34">
        <v>-11442150</v>
      </c>
      <c r="G37" s="34">
        <v>3654000</v>
      </c>
      <c r="H37" s="34">
        <v>-435930</v>
      </c>
      <c r="I37" s="34">
        <v>-6670112</v>
      </c>
      <c r="K37" s="35">
        <f>SUM(D37:I37)</f>
        <v>-39670465</v>
      </c>
    </row>
    <row r="38" spans="1:11">
      <c r="A38" s="41">
        <v>17</v>
      </c>
      <c r="B38" s="12" t="s">
        <v>31</v>
      </c>
      <c r="D38" s="36">
        <f>D36+D37</f>
        <v>181679105</v>
      </c>
      <c r="E38" s="36">
        <f t="shared" ref="E38:I38" si="9">E36+E37</f>
        <v>58842033</v>
      </c>
      <c r="F38" s="36">
        <f t="shared" si="9"/>
        <v>112498781</v>
      </c>
      <c r="G38" s="36">
        <f t="shared" si="9"/>
        <v>64123040</v>
      </c>
      <c r="H38" s="36">
        <f t="shared" si="9"/>
        <v>10058278</v>
      </c>
      <c r="I38" s="36">
        <f t="shared" si="9"/>
        <v>0</v>
      </c>
      <c r="K38" s="36">
        <f t="shared" ref="K38" si="10">K36+K37</f>
        <v>427201237</v>
      </c>
    </row>
    <row r="39" spans="1:11">
      <c r="A39" s="41"/>
      <c r="B39" s="12"/>
      <c r="D39" s="37"/>
      <c r="E39" s="37"/>
      <c r="F39" s="37"/>
      <c r="G39" s="37"/>
      <c r="H39" s="37"/>
      <c r="I39" s="37"/>
      <c r="K39" s="37"/>
    </row>
    <row r="40" spans="1:11">
      <c r="A40" s="41">
        <v>18</v>
      </c>
      <c r="B40" s="12" t="s">
        <v>32</v>
      </c>
      <c r="C40" s="41" t="s">
        <v>33</v>
      </c>
      <c r="D40" s="9">
        <v>2352011939</v>
      </c>
      <c r="E40" s="9">
        <v>557353354</v>
      </c>
      <c r="F40" s="9">
        <v>1424373231</v>
      </c>
      <c r="G40" s="9">
        <v>1080448696</v>
      </c>
      <c r="H40" s="9">
        <v>131638818</v>
      </c>
      <c r="I40" s="9">
        <v>25646329</v>
      </c>
      <c r="K40" s="13">
        <f>SUM(D40:J40)</f>
        <v>5571472367</v>
      </c>
    </row>
    <row r="41" spans="1:11" s="7" customFormat="1">
      <c r="A41" s="45">
        <v>19</v>
      </c>
      <c r="B41" s="17" t="s">
        <v>34</v>
      </c>
      <c r="D41" s="38">
        <f>ROUND(D38/D40,5)</f>
        <v>7.7240000000000003E-2</v>
      </c>
      <c r="E41" s="38">
        <f t="shared" ref="E41:I41" si="11">ROUND(E38/E40,5)</f>
        <v>0.10557</v>
      </c>
      <c r="F41" s="38">
        <f t="shared" si="11"/>
        <v>7.8979999999999995E-2</v>
      </c>
      <c r="G41" s="38">
        <f t="shared" si="11"/>
        <v>5.935E-2</v>
      </c>
      <c r="H41" s="38">
        <f t="shared" si="11"/>
        <v>7.6410000000000006E-2</v>
      </c>
      <c r="I41" s="38">
        <f t="shared" si="11"/>
        <v>0</v>
      </c>
    </row>
    <row r="42" spans="1:11">
      <c r="B42" s="12"/>
      <c r="D42" s="8"/>
      <c r="E42" s="8"/>
      <c r="F42" s="8"/>
      <c r="G42" s="8"/>
      <c r="H42" s="8"/>
      <c r="I42" s="8"/>
    </row>
    <row r="43" spans="1:11" ht="15.75">
      <c r="B43" s="39" t="s">
        <v>35</v>
      </c>
      <c r="D43" s="8"/>
      <c r="E43" s="8"/>
      <c r="F43" s="8"/>
      <c r="G43" s="8"/>
      <c r="H43" s="8"/>
      <c r="I43" s="8"/>
    </row>
    <row r="44" spans="1:11" ht="8.25" customHeight="1"/>
    <row r="45" spans="1:11">
      <c r="B45" s="40" t="s">
        <v>36</v>
      </c>
    </row>
    <row r="46" spans="1:11" ht="15.75">
      <c r="B46" s="39" t="s">
        <v>37</v>
      </c>
    </row>
    <row r="47" spans="1:11" ht="8.25" customHeight="1"/>
    <row r="48" spans="1:11">
      <c r="B48" s="7" t="s">
        <v>38</v>
      </c>
    </row>
    <row r="49" spans="2:2" ht="15.75">
      <c r="B49" s="11" t="s">
        <v>39</v>
      </c>
    </row>
    <row r="50" spans="2:2" ht="8.25" customHeight="1"/>
    <row r="51" spans="2:2">
      <c r="B51" s="7" t="s">
        <v>40</v>
      </c>
    </row>
    <row r="52" spans="2:2" ht="15.75">
      <c r="B52" s="11" t="s">
        <v>41</v>
      </c>
    </row>
    <row r="53" spans="2:2" ht="8.25" customHeight="1"/>
  </sheetData>
  <printOptions horizontalCentered="1"/>
  <pageMargins left="0.75" right="0.75" top="0.4" bottom="0.75" header="0.41" footer="0.38"/>
  <pageSetup scale="70" orientation="landscape" r:id="rId1"/>
  <headerFooter>
    <oddHeader>&amp;RExhibit No.___(PDE-8)</oddHeader>
    <oddFooter>&amp;RPage 1 of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0"/>
  <sheetViews>
    <sheetView topLeftCell="B6" zoomScaleNormal="100" workbookViewId="0">
      <selection activeCell="D38" sqref="D38"/>
    </sheetView>
  </sheetViews>
  <sheetFormatPr defaultColWidth="8.85546875" defaultRowHeight="15.75"/>
  <cols>
    <col min="1" max="1" width="17.7109375" style="50" customWidth="1"/>
    <col min="2" max="2" width="12.28515625" style="50" customWidth="1"/>
    <col min="3" max="3" width="23.28515625" style="50" bestFit="1" customWidth="1"/>
    <col min="4" max="5" width="15.7109375" style="50" customWidth="1"/>
    <col min="6" max="6" width="11.7109375" style="50" customWidth="1"/>
    <col min="7" max="7" width="8.85546875" style="50"/>
    <col min="8" max="8" width="11.7109375" style="50" customWidth="1"/>
    <col min="9" max="9" width="11.140625" style="50" customWidth="1"/>
    <col min="10" max="10" width="2" style="50" customWidth="1"/>
    <col min="11" max="11" width="11.7109375" style="50" customWidth="1"/>
    <col min="12" max="15" width="8.85546875" style="50"/>
    <col min="16" max="16" width="11.42578125" style="43" bestFit="1" customWidth="1"/>
    <col min="17" max="18" width="15.42578125" style="2" customWidth="1"/>
    <col min="19" max="19" width="2.85546875" style="2" customWidth="1"/>
    <col min="20" max="16384" width="8.85546875" style="50"/>
  </cols>
  <sheetData>
    <row r="1" spans="1:19">
      <c r="A1" s="50" t="s">
        <v>49</v>
      </c>
    </row>
    <row r="3" spans="1:19">
      <c r="A3" s="45">
        <v>2012</v>
      </c>
      <c r="B3" s="1" t="s">
        <v>50</v>
      </c>
    </row>
    <row r="4" spans="1:19">
      <c r="A4" s="45">
        <v>2013</v>
      </c>
      <c r="B4" s="1" t="s">
        <v>51</v>
      </c>
    </row>
    <row r="5" spans="1:19">
      <c r="A5" s="45">
        <v>2014</v>
      </c>
      <c r="B5" t="s">
        <v>52</v>
      </c>
    </row>
    <row r="6" spans="1:19">
      <c r="A6" s="45">
        <v>2015</v>
      </c>
      <c r="B6" t="s">
        <v>53</v>
      </c>
    </row>
    <row r="8" spans="1:19">
      <c r="A8" s="51" t="s">
        <v>54</v>
      </c>
    </row>
    <row r="9" spans="1:19" ht="31.5">
      <c r="B9" s="5" t="s">
        <v>55</v>
      </c>
      <c r="C9" s="52"/>
      <c r="D9" s="53" t="s">
        <v>0</v>
      </c>
      <c r="E9" s="4" t="s">
        <v>56</v>
      </c>
      <c r="F9" s="54" t="s">
        <v>4</v>
      </c>
      <c r="H9" s="4" t="s">
        <v>57</v>
      </c>
      <c r="I9" s="4" t="s">
        <v>4</v>
      </c>
      <c r="K9" s="4" t="s">
        <v>58</v>
      </c>
      <c r="P9" s="44" t="s">
        <v>0</v>
      </c>
      <c r="Q9" s="44" t="s">
        <v>84</v>
      </c>
      <c r="R9" s="113" t="s">
        <v>83</v>
      </c>
      <c r="S9" s="114"/>
    </row>
    <row r="10" spans="1:19">
      <c r="A10" s="50">
        <v>2012</v>
      </c>
      <c r="B10" s="55">
        <v>64192</v>
      </c>
      <c r="C10" s="9" t="s">
        <v>59</v>
      </c>
      <c r="D10" s="50">
        <v>1</v>
      </c>
      <c r="E10" s="10">
        <f>836031+7419766+15863000+55821</f>
        <v>24174618</v>
      </c>
      <c r="F10" s="6">
        <f>E10/$E$15</f>
        <v>0.37659639279915758</v>
      </c>
      <c r="H10" s="13">
        <f>328934+2249524+213712+7366081+598462+2588334+71040+18308000</f>
        <v>31724087</v>
      </c>
      <c r="I10" s="6">
        <f>ROUND(H10/$H$15,4)</f>
        <v>0.72929999999999995</v>
      </c>
      <c r="K10" s="56">
        <f>AVERAGE(F10,I10)</f>
        <v>0.55294819639957882</v>
      </c>
      <c r="P10" s="43">
        <v>1</v>
      </c>
      <c r="Q10" s="116">
        <f>328934+2249524+213712+7366081+598462+2588334+71040+18308000</f>
        <v>31724087</v>
      </c>
      <c r="R10" s="115">
        <f>ROUND(Q10/$H$15,4)</f>
        <v>0.72929999999999995</v>
      </c>
    </row>
    <row r="11" spans="1:19">
      <c r="A11" s="50">
        <v>2013</v>
      </c>
      <c r="B11" s="55">
        <v>43497</v>
      </c>
      <c r="C11" s="9" t="s">
        <v>60</v>
      </c>
      <c r="D11" s="57" t="s">
        <v>61</v>
      </c>
      <c r="E11" s="10">
        <v>10682909</v>
      </c>
      <c r="F11" s="6">
        <f>E11/$E$15</f>
        <v>0.16642020957690648</v>
      </c>
      <c r="H11" s="58">
        <v>6629046</v>
      </c>
      <c r="I11" s="6">
        <f>ROUND(H11/$H$15,4)</f>
        <v>0.15240000000000001</v>
      </c>
      <c r="K11" s="56">
        <f t="shared" ref="K11:K14" si="0">AVERAGE(F11,I11)</f>
        <v>0.15941010478845324</v>
      </c>
      <c r="P11" s="111" t="s">
        <v>61</v>
      </c>
      <c r="Q11" s="116">
        <v>6629046</v>
      </c>
      <c r="R11" s="115">
        <f>ROUND(Q11/$H$15,4)</f>
        <v>0.15240000000000001</v>
      </c>
    </row>
    <row r="12" spans="1:19">
      <c r="A12" s="50">
        <v>2014</v>
      </c>
      <c r="B12" s="55">
        <v>41486</v>
      </c>
      <c r="C12" s="9" t="s">
        <v>62</v>
      </c>
      <c r="D12" s="59" t="s">
        <v>63</v>
      </c>
      <c r="E12" s="10">
        <v>23078081</v>
      </c>
      <c r="F12" s="6">
        <f>E12/$E$15</f>
        <v>0.35951434919578767</v>
      </c>
      <c r="H12" s="58">
        <v>2208613</v>
      </c>
      <c r="I12" s="6">
        <f>ROUND(H12/$H$15,4)</f>
        <v>5.0799999999999998E-2</v>
      </c>
      <c r="K12" s="56">
        <f t="shared" si="0"/>
        <v>0.20515717459789384</v>
      </c>
      <c r="P12" s="112" t="s">
        <v>63</v>
      </c>
      <c r="Q12" s="116">
        <v>2208613</v>
      </c>
      <c r="R12" s="115">
        <f>ROUND(Q12/$H$15,4)</f>
        <v>5.0799999999999998E-2</v>
      </c>
    </row>
    <row r="13" spans="1:19">
      <c r="A13" s="50">
        <v>2015</v>
      </c>
      <c r="B13" s="55">
        <f>1.05*41486</f>
        <v>43560.3</v>
      </c>
      <c r="C13" s="9" t="s">
        <v>85</v>
      </c>
      <c r="D13" s="50">
        <v>25</v>
      </c>
      <c r="E13" s="10">
        <v>4843908</v>
      </c>
      <c r="F13" s="6">
        <f>E13/$E$15</f>
        <v>7.5459239101564365E-2</v>
      </c>
      <c r="H13" s="58">
        <v>2917062</v>
      </c>
      <c r="I13" s="6">
        <f>ROUND(H13/$H$15,4)</f>
        <v>6.7100000000000007E-2</v>
      </c>
      <c r="K13" s="56">
        <f t="shared" si="0"/>
        <v>7.1279619550782186E-2</v>
      </c>
      <c r="P13" s="43">
        <v>25</v>
      </c>
      <c r="Q13" s="116">
        <v>2917062</v>
      </c>
      <c r="R13" s="115">
        <f>ROUND(Q13/$H$15,4)</f>
        <v>6.7100000000000007E-2</v>
      </c>
    </row>
    <row r="14" spans="1:19">
      <c r="A14" s="51"/>
      <c r="D14" s="59" t="s">
        <v>64</v>
      </c>
      <c r="E14" s="10">
        <v>1412862</v>
      </c>
      <c r="F14" s="6">
        <f>E14/$E$15</f>
        <v>2.2009809326583914E-2</v>
      </c>
      <c r="H14" s="58">
        <v>18648</v>
      </c>
      <c r="I14" s="6">
        <f>ROUND(H14/$H$15,4)</f>
        <v>4.0000000000000002E-4</v>
      </c>
      <c r="K14" s="56">
        <f t="shared" si="0"/>
        <v>1.1204904663291958E-2</v>
      </c>
      <c r="L14" s="7"/>
      <c r="P14" s="112" t="s">
        <v>64</v>
      </c>
      <c r="Q14" s="116">
        <v>18648</v>
      </c>
      <c r="R14" s="115">
        <f>ROUND(Q14/$H$15,4)</f>
        <v>4.0000000000000002E-4</v>
      </c>
    </row>
    <row r="15" spans="1:19">
      <c r="D15" s="60" t="s">
        <v>65</v>
      </c>
      <c r="E15" s="61">
        <f>SUM(E10:E14)</f>
        <v>64192378</v>
      </c>
      <c r="F15" s="62">
        <f>SUM(F10:F14)</f>
        <v>1</v>
      </c>
      <c r="H15" s="61">
        <f>SUM(H10:H14)</f>
        <v>43497456</v>
      </c>
      <c r="I15" s="62">
        <f>SUM(I10:I14)</f>
        <v>0.99999999999999989</v>
      </c>
      <c r="K15" s="62">
        <f>SUM(K10:K14)</f>
        <v>1.0000000000000002</v>
      </c>
      <c r="L15" s="7"/>
      <c r="P15" s="43" t="s">
        <v>65</v>
      </c>
      <c r="Q15" s="118">
        <f>SUM(Q10:Q14)</f>
        <v>43497456</v>
      </c>
      <c r="R15" s="119">
        <f>SUM(R10:R14)</f>
        <v>0.99999999999999989</v>
      </c>
    </row>
    <row r="16" spans="1:19" ht="14.25" customHeight="1">
      <c r="D16" s="60"/>
      <c r="E16" s="10"/>
      <c r="L16" s="7"/>
    </row>
    <row r="17" spans="1:19">
      <c r="D17" s="60"/>
      <c r="E17" s="10"/>
      <c r="F17" s="63"/>
      <c r="H17" s="63"/>
      <c r="I17" s="63"/>
      <c r="J17" s="63"/>
      <c r="K17" s="63"/>
      <c r="L17" s="63"/>
    </row>
    <row r="18" spans="1:19">
      <c r="D18" s="60"/>
      <c r="E18" s="10"/>
      <c r="F18" s="63"/>
      <c r="H18" s="63"/>
      <c r="I18" s="63"/>
      <c r="J18" s="63"/>
      <c r="K18" s="63"/>
      <c r="L18" s="63"/>
    </row>
    <row r="19" spans="1:19">
      <c r="F19" s="63"/>
      <c r="H19" s="63"/>
      <c r="I19" s="63"/>
      <c r="J19" s="63"/>
      <c r="K19" s="63"/>
      <c r="L19" s="63"/>
      <c r="M19" s="63"/>
    </row>
    <row r="20" spans="1:19" ht="14.25" customHeight="1">
      <c r="A20" s="64"/>
      <c r="B20" s="65">
        <v>2012</v>
      </c>
      <c r="C20" s="65">
        <v>2013</v>
      </c>
      <c r="D20" s="65">
        <v>2014</v>
      </c>
      <c r="E20" s="66">
        <v>2015</v>
      </c>
      <c r="F20" s="63"/>
      <c r="H20" s="63"/>
      <c r="I20" s="63"/>
      <c r="J20" s="63"/>
      <c r="K20" s="63"/>
      <c r="L20" s="63"/>
      <c r="M20" s="63"/>
    </row>
    <row r="21" spans="1:19" ht="14.25" customHeight="1">
      <c r="A21" s="67" t="s">
        <v>66</v>
      </c>
      <c r="B21" s="68">
        <f>((B$10*0.25))</f>
        <v>16048</v>
      </c>
      <c r="C21" s="69">
        <v>0</v>
      </c>
      <c r="D21" s="69">
        <v>0</v>
      </c>
      <c r="E21" s="70">
        <v>0</v>
      </c>
      <c r="F21" s="63"/>
      <c r="H21" s="63"/>
      <c r="I21" s="63"/>
      <c r="J21" s="63"/>
      <c r="K21" s="63"/>
      <c r="L21" s="63"/>
      <c r="M21" s="63"/>
    </row>
    <row r="22" spans="1:19" ht="14.25" customHeight="1">
      <c r="A22" s="71" t="s">
        <v>67</v>
      </c>
      <c r="B22" s="72"/>
      <c r="C22" s="73">
        <f>B11*0.75</f>
        <v>32622.75</v>
      </c>
      <c r="D22" s="69"/>
      <c r="E22" s="70"/>
      <c r="F22" s="63"/>
      <c r="H22" s="63"/>
      <c r="I22" s="63"/>
      <c r="J22" s="63"/>
      <c r="K22" s="63"/>
      <c r="L22" s="63"/>
      <c r="M22" s="63"/>
    </row>
    <row r="23" spans="1:19" ht="14.25" customHeight="1">
      <c r="A23" s="67" t="s">
        <v>68</v>
      </c>
      <c r="B23" s="72"/>
      <c r="C23" s="72"/>
      <c r="D23" s="74">
        <f>B$12</f>
        <v>41486</v>
      </c>
      <c r="E23" s="70">
        <v>0</v>
      </c>
      <c r="F23" s="63"/>
      <c r="H23" s="63"/>
      <c r="I23" s="63"/>
      <c r="J23" s="63"/>
      <c r="K23" s="63"/>
      <c r="L23" s="63"/>
      <c r="M23" s="63"/>
    </row>
    <row r="24" spans="1:19" ht="14.25" customHeight="1">
      <c r="A24" s="67" t="s">
        <v>69</v>
      </c>
      <c r="B24" s="72"/>
      <c r="C24" s="72"/>
      <c r="D24" s="72"/>
      <c r="E24" s="75">
        <f>(B$13/2)</f>
        <v>21780.15</v>
      </c>
      <c r="F24" s="63"/>
      <c r="H24" s="63"/>
      <c r="I24" s="63"/>
      <c r="J24" s="63"/>
      <c r="K24" s="63"/>
      <c r="L24" s="63"/>
      <c r="M24" s="63"/>
    </row>
    <row r="25" spans="1:19" ht="14.25" customHeight="1">
      <c r="A25" s="76" t="s">
        <v>12</v>
      </c>
      <c r="B25" s="77">
        <f>SUM(B21:B24)</f>
        <v>16048</v>
      </c>
      <c r="C25" s="77">
        <f>SUM(C21:C24)</f>
        <v>32622.75</v>
      </c>
      <c r="D25" s="77">
        <f>SUM(D21:D24)</f>
        <v>41486</v>
      </c>
      <c r="E25" s="78">
        <f>SUM(E21:E24)</f>
        <v>21780.15</v>
      </c>
      <c r="F25" s="63"/>
      <c r="H25" s="63"/>
      <c r="I25" s="63"/>
      <c r="J25" s="63"/>
      <c r="K25" s="63"/>
      <c r="L25" s="63"/>
      <c r="M25" s="63"/>
    </row>
    <row r="26" spans="1:19" ht="14.25" customHeight="1">
      <c r="A26" s="79"/>
      <c r="B26" s="80" t="s">
        <v>70</v>
      </c>
      <c r="C26" s="80"/>
      <c r="D26" s="81"/>
      <c r="E26" s="82"/>
      <c r="F26" s="63"/>
      <c r="H26" s="63"/>
      <c r="I26" s="63"/>
      <c r="J26" s="63"/>
      <c r="K26" s="63"/>
      <c r="L26" s="63"/>
      <c r="M26" s="63"/>
    </row>
    <row r="27" spans="1:19" ht="14.25" customHeight="1">
      <c r="A27" s="79"/>
      <c r="B27" s="83" t="s">
        <v>71</v>
      </c>
      <c r="C27" s="84"/>
      <c r="D27" s="81"/>
      <c r="E27" s="82"/>
      <c r="F27" s="63"/>
      <c r="H27" s="63"/>
      <c r="I27" s="63"/>
      <c r="J27" s="63"/>
      <c r="K27" s="63"/>
      <c r="L27" s="63"/>
      <c r="M27" s="63"/>
    </row>
    <row r="28" spans="1:19" ht="14.25" customHeight="1">
      <c r="A28" s="79"/>
      <c r="B28" s="85" t="s">
        <v>72</v>
      </c>
      <c r="C28" s="86"/>
      <c r="D28" s="81"/>
      <c r="E28" s="82"/>
      <c r="F28" s="63"/>
      <c r="H28" s="63"/>
      <c r="I28" s="63"/>
      <c r="J28" s="63"/>
      <c r="K28" s="63"/>
      <c r="M28" s="63"/>
    </row>
    <row r="29" spans="1:19" ht="14.25" customHeight="1">
      <c r="A29" s="79"/>
      <c r="B29" s="87" t="s">
        <v>73</v>
      </c>
      <c r="C29" s="88"/>
      <c r="D29" s="81"/>
      <c r="E29" s="82"/>
      <c r="F29" s="63"/>
      <c r="H29" s="63"/>
      <c r="I29" s="63"/>
      <c r="J29" s="63"/>
      <c r="K29" s="63"/>
      <c r="L29" s="7"/>
      <c r="M29" s="63"/>
    </row>
    <row r="30" spans="1:19" ht="14.25" customHeight="1">
      <c r="A30" s="89"/>
      <c r="B30" s="90" t="s">
        <v>74</v>
      </c>
      <c r="C30" s="90"/>
      <c r="D30" s="91"/>
      <c r="E30" s="92"/>
      <c r="F30" s="63"/>
      <c r="H30" s="63"/>
      <c r="I30" s="63"/>
      <c r="J30" s="63"/>
      <c r="K30" s="63"/>
    </row>
    <row r="31" spans="1:19">
      <c r="E31" s="63"/>
      <c r="M31" s="7"/>
    </row>
    <row r="32" spans="1:19" s="7" customFormat="1" ht="16.5" thickBot="1">
      <c r="A32" s="7" t="s">
        <v>75</v>
      </c>
      <c r="L32" s="50"/>
      <c r="M32" s="50"/>
      <c r="P32" s="42"/>
      <c r="Q32" s="3"/>
      <c r="R32" s="3"/>
      <c r="S32" s="3"/>
    </row>
    <row r="33" spans="1:11">
      <c r="F33" s="93" t="s">
        <v>76</v>
      </c>
      <c r="G33" s="94"/>
      <c r="H33" s="94"/>
      <c r="I33" s="94"/>
      <c r="J33" s="95"/>
      <c r="K33" s="96"/>
    </row>
    <row r="34" spans="1:11">
      <c r="A34" s="97" t="s">
        <v>77</v>
      </c>
      <c r="B34" s="97" t="s">
        <v>78</v>
      </c>
      <c r="C34" t="s">
        <v>79</v>
      </c>
      <c r="F34" s="98">
        <v>2012</v>
      </c>
      <c r="G34" s="46">
        <v>2013</v>
      </c>
      <c r="H34" s="46">
        <v>2014</v>
      </c>
      <c r="I34" s="46">
        <v>2015</v>
      </c>
      <c r="J34" s="99"/>
      <c r="K34" s="100" t="s">
        <v>12</v>
      </c>
    </row>
    <row r="35" spans="1:11">
      <c r="A35" s="101">
        <f t="shared" ref="A35:A36" si="1">F10</f>
        <v>0.37659639279915758</v>
      </c>
      <c r="B35" s="101">
        <f>I10</f>
        <v>0.72929999999999995</v>
      </c>
      <c r="C35" s="56">
        <f>B35</f>
        <v>0.72929999999999995</v>
      </c>
      <c r="E35" s="50" t="s">
        <v>2</v>
      </c>
      <c r="F35" s="102">
        <f>B$25*A35</f>
        <v>6043.6189116408805</v>
      </c>
      <c r="G35" s="103">
        <f>C$25*B35</f>
        <v>23791.771574999999</v>
      </c>
      <c r="H35" s="103">
        <f>D$25*C35</f>
        <v>30255.739799999999</v>
      </c>
      <c r="I35" s="103">
        <f>E$25*C35</f>
        <v>15884.263395</v>
      </c>
      <c r="J35" s="99"/>
      <c r="K35" s="104">
        <f t="shared" ref="K35:K40" si="2">SUM(F35:I35)</f>
        <v>75975.393681640882</v>
      </c>
    </row>
    <row r="36" spans="1:11">
      <c r="A36" s="101">
        <f t="shared" si="1"/>
        <v>0.16642020957690648</v>
      </c>
      <c r="B36" s="101">
        <f t="shared" ref="B36" si="3">I11</f>
        <v>0.15240000000000001</v>
      </c>
      <c r="C36" s="56">
        <f t="shared" ref="C36:C39" si="4">B36</f>
        <v>0.15240000000000001</v>
      </c>
      <c r="E36" t="s">
        <v>80</v>
      </c>
      <c r="F36" s="102">
        <f t="shared" ref="F36:H39" si="5">B$25*A36</f>
        <v>2670.7115232901951</v>
      </c>
      <c r="G36" s="103">
        <f t="shared" si="5"/>
        <v>4971.7071000000005</v>
      </c>
      <c r="H36" s="103">
        <f t="shared" si="5"/>
        <v>6322.4664000000002</v>
      </c>
      <c r="I36" s="103">
        <f t="shared" ref="I36:I39" si="6">E$25*C36</f>
        <v>3319.2948600000004</v>
      </c>
      <c r="J36" s="99"/>
      <c r="K36" s="104">
        <f t="shared" si="2"/>
        <v>17284.179883290199</v>
      </c>
    </row>
    <row r="37" spans="1:11">
      <c r="A37" s="101">
        <f>F12</f>
        <v>0.35951434919578767</v>
      </c>
      <c r="B37" s="101">
        <f>I12</f>
        <v>5.0799999999999998E-2</v>
      </c>
      <c r="C37" s="56">
        <f t="shared" si="4"/>
        <v>5.0799999999999998E-2</v>
      </c>
      <c r="E37" t="s">
        <v>81</v>
      </c>
      <c r="F37" s="102">
        <f t="shared" si="5"/>
        <v>5769.4862758940008</v>
      </c>
      <c r="G37" s="103">
        <f t="shared" si="5"/>
        <v>1657.2357</v>
      </c>
      <c r="H37" s="103">
        <f t="shared" si="5"/>
        <v>2107.4888000000001</v>
      </c>
      <c r="I37" s="103">
        <f t="shared" si="6"/>
        <v>1106.4316200000001</v>
      </c>
      <c r="J37" s="99"/>
      <c r="K37" s="104">
        <f t="shared" si="2"/>
        <v>10640.642395893999</v>
      </c>
    </row>
    <row r="38" spans="1:11">
      <c r="A38" s="101">
        <f>F13</f>
        <v>7.5459239101564365E-2</v>
      </c>
      <c r="B38" s="101">
        <f>I13</f>
        <v>6.7100000000000007E-2</v>
      </c>
      <c r="C38" s="56">
        <f t="shared" si="4"/>
        <v>6.7100000000000007E-2</v>
      </c>
      <c r="E38" s="50" t="s">
        <v>3</v>
      </c>
      <c r="F38" s="102">
        <f t="shared" si="5"/>
        <v>1210.969869101905</v>
      </c>
      <c r="G38" s="103">
        <f t="shared" si="5"/>
        <v>2188.9865250000003</v>
      </c>
      <c r="H38" s="103">
        <f t="shared" si="5"/>
        <v>2783.7106000000003</v>
      </c>
      <c r="I38" s="103">
        <f t="shared" si="6"/>
        <v>1461.4480650000003</v>
      </c>
      <c r="J38" s="99"/>
      <c r="K38" s="104">
        <f t="shared" si="2"/>
        <v>7645.1150591019059</v>
      </c>
    </row>
    <row r="39" spans="1:11">
      <c r="A39" s="101">
        <f>F14</f>
        <v>2.2009809326583914E-2</v>
      </c>
      <c r="B39" s="101">
        <f>I14</f>
        <v>4.0000000000000002E-4</v>
      </c>
      <c r="C39" s="56">
        <f t="shared" si="4"/>
        <v>4.0000000000000002E-4</v>
      </c>
      <c r="E39" t="s">
        <v>82</v>
      </c>
      <c r="F39" s="102">
        <f t="shared" si="5"/>
        <v>353.21342007301865</v>
      </c>
      <c r="G39" s="103">
        <f t="shared" si="5"/>
        <v>13.049100000000001</v>
      </c>
      <c r="H39" s="103">
        <f t="shared" si="5"/>
        <v>16.5944</v>
      </c>
      <c r="I39" s="103">
        <f t="shared" si="6"/>
        <v>8.712060000000001</v>
      </c>
      <c r="J39" s="99"/>
      <c r="K39" s="104">
        <f t="shared" si="2"/>
        <v>391.56898007301868</v>
      </c>
    </row>
    <row r="40" spans="1:11" ht="16.5" thickBot="1">
      <c r="A40" s="105">
        <f>SUM(A35:A39)</f>
        <v>1</v>
      </c>
      <c r="B40" s="105">
        <f>SUM(B35:B39)</f>
        <v>0.99999999999999989</v>
      </c>
      <c r="C40" s="106">
        <f>SUM(C35:C39)</f>
        <v>0.99999999999999989</v>
      </c>
      <c r="F40" s="107">
        <f>SUM(F35:F39)</f>
        <v>16047.999999999998</v>
      </c>
      <c r="G40" s="108">
        <f>SUM(G35:G39)</f>
        <v>32622.75</v>
      </c>
      <c r="H40" s="108">
        <f>SUM(H35:H39)</f>
        <v>41486</v>
      </c>
      <c r="I40" s="108">
        <f>SUM(I35:I39)</f>
        <v>21780.15</v>
      </c>
      <c r="J40" s="108"/>
      <c r="K40" s="109">
        <f t="shared" si="2"/>
        <v>111936.9</v>
      </c>
    </row>
    <row r="41" spans="1:11" ht="12" customHeight="1"/>
    <row r="42" spans="1:11" ht="16.149999999999999" customHeight="1">
      <c r="D42" s="110"/>
      <c r="F42" s="110"/>
    </row>
    <row r="43" spans="1:11" ht="18" customHeight="1"/>
    <row r="44" spans="1:11" ht="16.149999999999999" customHeight="1"/>
    <row r="45" spans="1:11">
      <c r="C45" s="47"/>
      <c r="D45" s="47"/>
    </row>
    <row r="46" spans="1:11">
      <c r="C46" s="10"/>
      <c r="D46" s="10"/>
    </row>
    <row r="47" spans="1:11">
      <c r="C47" s="10"/>
      <c r="D47" s="10"/>
    </row>
    <row r="48" spans="1:11">
      <c r="C48" s="10"/>
      <c r="D48" s="10"/>
    </row>
    <row r="49" spans="3:4">
      <c r="C49" s="10"/>
      <c r="D49" s="10"/>
    </row>
    <row r="50" spans="3:4">
      <c r="C50" s="10"/>
      <c r="D50" s="10"/>
    </row>
  </sheetData>
  <pageMargins left="0.7" right="0.7" top="0.5" bottom="0.67" header="0.3" footer="0.3"/>
  <pageSetup scale="56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2014-02-04T08:00:00+00:00</OpenedDate>
    <Date1 xmlns="dc463f71-b30c-4ab2-9473-d307f9d35888">2014-02-05T08:00:00+00:00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4155D1A13B81845BCDB9E0BC8A67242" ma:contentTypeVersion="175" ma:contentTypeDescription="" ma:contentTypeScope="" ma:versionID="497aa7b913c45b4e49d8e41b8d971fe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0EFC54-4B1E-4064-AEF7-2148EE92D964}"/>
</file>

<file path=customXml/itemProps2.xml><?xml version="1.0" encoding="utf-8"?>
<ds:datastoreItem xmlns:ds="http://schemas.openxmlformats.org/officeDocument/2006/customXml" ds:itemID="{EA519B22-EB0D-4C4B-B118-8FC71F5BEC12}"/>
</file>

<file path=customXml/itemProps3.xml><?xml version="1.0" encoding="utf-8"?>
<ds:datastoreItem xmlns:ds="http://schemas.openxmlformats.org/officeDocument/2006/customXml" ds:itemID="{087BF7E7-443B-462D-B60E-98FF0DA7D783}"/>
</file>

<file path=customXml/itemProps4.xml><?xml version="1.0" encoding="utf-8"?>
<ds:datastoreItem xmlns:ds="http://schemas.openxmlformats.org/officeDocument/2006/customXml" ds:itemID="{F6F57000-E043-453A-BD13-112E6A1216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Exhibit PDE-8</vt:lpstr>
      <vt:lpstr>E-DSMA-2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Ehrbar</dc:creator>
  <cp:lastModifiedBy>Patrick Ehrbar</cp:lastModifiedBy>
  <cp:lastPrinted>2014-01-28T00:47:50Z</cp:lastPrinted>
  <dcterms:created xsi:type="dcterms:W3CDTF">2010-02-17T18:25:22Z</dcterms:created>
  <dcterms:modified xsi:type="dcterms:W3CDTF">2014-01-28T00:47:53Z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0x0101006E56B4D1795A2E4DB2F0B01679ED314A00B4155D1A13B81845BCDB9E0BC8A67242</vt:lpwstr>
  </property>
  <property fmtid="{D5CDD505-2E9C-101B-9397-08002B2CF9AE}" pid="3" name="_docset_NoMedatataSyncRequired">
    <vt:lpwstr>False</vt:lpwstr>
  </property>
</Properties>
</file>