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8" sheetId="1" r:id="rId1"/>
    <sheet name="GL Balances" sheetId="2" r:id="rId2"/>
  </sheets>
  <definedNames>
    <definedName name="_xlnm.Print_Area" localSheetId="0">'2008'!$A$1:$P$111</definedName>
  </definedNames>
  <calcPr fullCalcOnLoad="1"/>
</workbook>
</file>

<file path=xl/sharedStrings.xml><?xml version="1.0" encoding="utf-8"?>
<sst xmlns="http://schemas.openxmlformats.org/spreadsheetml/2006/main" count="213" uniqueCount="119">
  <si>
    <t>AVISTA UTILITIES</t>
  </si>
  <si>
    <t>Washington - Gas</t>
  </si>
  <si>
    <t>Approved Decoupling Mechanism</t>
  </si>
  <si>
    <t>2007/2008 with 2007 compared to 2004 Test Year and 2008 compared to 2006 Test Year</t>
  </si>
  <si>
    <t>Adjusted for Actual New Customer Usage</t>
  </si>
  <si>
    <t>2nd Year Pilot Period July 2007 - June 2008</t>
  </si>
  <si>
    <t>New Base Rates January 1, 2008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</si>
  <si>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</si>
  <si>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</si>
  <si>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</si>
  <si>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</si>
  <si>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</si>
  <si>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</si>
  <si>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</si>
  <si>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</si>
  <si>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</si>
  <si>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</si>
  <si>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</si>
  <si>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</si>
  <si>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</si>
  <si>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</si>
  <si>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12 Months Ended June 2006 Actual</t>
  </si>
  <si>
    <t>Schedule 101</t>
  </si>
  <si>
    <t>Schedule 101 Billed Therms</t>
  </si>
  <si>
    <t>Deduct New Customer Usage(1)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</si>
  <si>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</si>
  <si>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</si>
  <si>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</si>
  <si>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</si>
  <si>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</si>
  <si>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</si>
  <si>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</si>
  <si>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   Revenue Excess (Shortfall)</t>
  </si>
  <si>
    <t>90% Limitation</t>
  </si>
  <si>
    <t xml:space="preserve">Deferred Revenue Account Entry </t>
  </si>
  <si>
    <t>407328 or (407428)</t>
  </si>
  <si>
    <t>Original Journal Entries</t>
  </si>
  <si>
    <t>Correction July through September</t>
  </si>
  <si>
    <t>(1) Per monthly reports - current month usage for new services opened since that month of the test year (2004 for July through December, 2006 for January through June)</t>
  </si>
  <si>
    <t>(2) Revised Margin Rate per Therm corrected in October per agreement with Staff and Public Counsel in Docket No. UG-071863, margin rate January through June from UG-070805 is exclusive of incremental revenue related cost items.</t>
  </si>
  <si>
    <t>Unbilled Calculation (2004 Test Year Factors)</t>
  </si>
  <si>
    <t>Unbilled DDH</t>
  </si>
  <si>
    <t>Unbilled Factor</t>
  </si>
  <si>
    <t>Sch. 101</t>
  </si>
  <si>
    <t>2004 Baseload</t>
  </si>
  <si>
    <t>Sensitivity</t>
  </si>
  <si>
    <t>Res 101</t>
  </si>
  <si>
    <t>Com 101</t>
  </si>
  <si>
    <t>Ind 101</t>
  </si>
  <si>
    <t>Weather Adjustment Calculation (2004 Test Year Factors)</t>
  </si>
  <si>
    <t>Normal DDH</t>
  </si>
  <si>
    <t>Actual DDH</t>
  </si>
  <si>
    <t>Normal - Actual DDH</t>
  </si>
  <si>
    <t>2004 Test Year Number of Customers by Class</t>
  </si>
  <si>
    <t>101</t>
  </si>
  <si>
    <t>01 RESIDENTIAL</t>
  </si>
  <si>
    <t>21 FIRM COMMERCIAL</t>
  </si>
  <si>
    <t>31 FIRM-MISCELLANEOUS INDUSTRIAL</t>
  </si>
  <si>
    <t>80 INTERDEPARTMENT REVENUE</t>
  </si>
  <si>
    <t>Total 101</t>
  </si>
  <si>
    <t>2006 Test Year</t>
  </si>
  <si>
    <t>Weather Normalization</t>
  </si>
  <si>
    <t>Degree Day Adjustment</t>
  </si>
  <si>
    <t>Monthly</t>
  </si>
  <si>
    <t>Use/DD/Cust(1)</t>
  </si>
  <si>
    <t xml:space="preserve">  Total 101</t>
  </si>
  <si>
    <t>Monthly Unbilled Calculation</t>
  </si>
  <si>
    <t>06 Baseld(1)</t>
  </si>
  <si>
    <t xml:space="preserve">   Total</t>
  </si>
  <si>
    <t>Revenue Run Customers (Meters Billed)</t>
  </si>
  <si>
    <t>Class</t>
  </si>
  <si>
    <t>2006 Total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</si>
  <si>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</si>
  <si>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</si>
  <si>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</si>
  <si>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</si>
  <si>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</si>
  <si>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</si>
  <si>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</si>
  <si>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</si>
  <si>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r>
      <t xml:space="preserve">      Times Current Margin Rate per Therm </t>
    </r>
    <r>
      <rPr>
        <b/>
        <i/>
        <sz val="10"/>
        <rFont val="Arial"/>
        <family val="2"/>
      </rPr>
      <t>(2)</t>
    </r>
  </si>
  <si>
    <r>
      <t xml:space="preserve">Revised Oct </t>
    </r>
    <r>
      <rPr>
        <b/>
        <i/>
        <sz val="10"/>
        <rFont val="Arial"/>
        <family val="2"/>
      </rPr>
      <t>(2)</t>
    </r>
  </si>
  <si>
    <t>UG-070805 Margin Rate</t>
  </si>
  <si>
    <t>Sch 101 Base Rate/therm</t>
  </si>
  <si>
    <t>Times:  1 minus Revenue Related Items</t>
  </si>
  <si>
    <t>Revenue prior to gross up</t>
  </si>
  <si>
    <t>Less: Weighted Average Gas Cost/therm</t>
  </si>
  <si>
    <t xml:space="preserve">   Margin Rate/therm</t>
  </si>
  <si>
    <t>GL Account Balance  Accounting Period : '200804, 200805, 200806'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</si>
  <si>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</si>
  <si>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</si>
  <si>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</si>
  <si>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</si>
  <si>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</si>
  <si>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</si>
  <si>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</si>
  <si>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</si>
  <si>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200804</t>
  </si>
  <si>
    <t>200805</t>
  </si>
  <si>
    <t>200806</t>
  </si>
  <si>
    <t>Sum: -71,628.00</t>
  </si>
  <si>
    <t>Ferc Acct:182328</t>
  </si>
  <si>
    <t>Ferc Acct Desc:REG ASSET- DECOUPLING SURCHARG</t>
  </si>
  <si>
    <t>Sum: -48,069.00</t>
  </si>
  <si>
    <t>Ferc Acct:182329</t>
  </si>
  <si>
    <t>Ferc Acct Desc:REG ASSET- DECOUPLING PRIOR YE</t>
  </si>
  <si>
    <t>Sum: 0.00</t>
  </si>
  <si>
    <t>Ferc Acct:283328</t>
  </si>
  <si>
    <t>Ferc Acct Desc:ADFIT DECOUPLING DEFERRED REV</t>
  </si>
  <si>
    <t>Sum: 41,893.95</t>
  </si>
  <si>
    <t>Ferc Acct:407428</t>
  </si>
  <si>
    <t>Ferc Acct Desc:REG CREDIT DECOUPLING DEF REV</t>
  </si>
  <si>
    <t>Sum: -25,204.00</t>
  </si>
  <si>
    <t>Ferc Acct:407328</t>
  </si>
  <si>
    <t>Ferc Acct Desc:REG DEBIT DECOUPLING DEF REV</t>
  </si>
  <si>
    <t>Sum: 96,832.00</t>
  </si>
  <si>
    <t>Ferc Acct:407329</t>
  </si>
  <si>
    <t>Ferc Acct Desc:REG DEBIT AMT DECOUPLING SURCH</t>
  </si>
  <si>
    <t>Sum: 48,981.66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</si>
</sst>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&quot;$&quot;#,##0.00000"/>
    <numFmt numFmtId="192" formatCode="_(* #,##0.000_);_(* \(#,##0.000\);_(* &quot;-&quot;???_);_(@_)"/>
    <numFmt numFmtId="193" formatCode="#,##0,;\-#,##0,"/>
    <numFmt numFmtId="194" formatCode="#,###,###,##0.00"/>
    <numFmt numFmtId="195" formatCode="###,###,##0.0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4" fillId="0" borderId="0" xfId="0" applyFont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5" fontId="1" fillId="0" borderId="0" xfId="44" applyNumberFormat="1" applyFont="1" applyAlignment="1">
      <alignment/>
    </xf>
    <xf numFmtId="5" fontId="1" fillId="0" borderId="0" xfId="44" applyNumberFormat="1" applyFont="1" applyFill="1" applyAlignment="1">
      <alignment/>
    </xf>
    <xf numFmtId="0" fontId="0" fillId="0" borderId="0" xfId="0" applyFont="1" applyAlignment="1">
      <alignment horizontal="right"/>
    </xf>
    <xf numFmtId="9" fontId="0" fillId="0" borderId="0" xfId="57" applyFont="1" applyAlignment="1">
      <alignment/>
    </xf>
    <xf numFmtId="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5" fontId="1" fillId="0" borderId="0" xfId="44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/>
    </xf>
    <xf numFmtId="166" fontId="3" fillId="0" borderId="0" xfId="42" applyNumberFormat="1" applyFont="1" applyFill="1" applyBorder="1" applyAlignment="1">
      <alignment/>
    </xf>
    <xf numFmtId="10" fontId="0" fillId="0" borderId="0" xfId="57" applyNumberFormat="1" applyBorder="1" applyAlignment="1">
      <alignment/>
    </xf>
    <xf numFmtId="0" fontId="5" fillId="0" borderId="0" xfId="0" applyFont="1" applyAlignment="1">
      <alignment horizontal="right"/>
    </xf>
    <xf numFmtId="167" fontId="0" fillId="0" borderId="0" xfId="42" applyNumberFormat="1" applyAlignment="1">
      <alignment/>
    </xf>
    <xf numFmtId="167" fontId="0" fillId="0" borderId="10" xfId="42" applyNumberFormat="1" applyBorder="1" applyAlignment="1">
      <alignment/>
    </xf>
    <xf numFmtId="167" fontId="0" fillId="0" borderId="0" xfId="42" applyNumberFormat="1" applyBorder="1" applyAlignment="1">
      <alignment/>
    </xf>
    <xf numFmtId="0" fontId="6" fillId="0" borderId="0" xfId="0" applyFont="1" applyAlignment="1">
      <alignment/>
    </xf>
    <xf numFmtId="17" fontId="1" fillId="0" borderId="0" xfId="0" applyNumberFormat="1" applyFont="1" applyAlignment="1">
      <alignment/>
    </xf>
    <xf numFmtId="167" fontId="3" fillId="0" borderId="0" xfId="0" applyNumberFormat="1" applyFont="1" applyFill="1" applyBorder="1" applyAlignment="1">
      <alignment/>
    </xf>
    <xf numFmtId="167" fontId="0" fillId="0" borderId="10" xfId="42" applyNumberFormat="1" applyFont="1" applyBorder="1" applyAlignment="1">
      <alignment/>
    </xf>
    <xf numFmtId="0" fontId="0" fillId="33" borderId="0" xfId="0" applyFont="1" applyFill="1" applyAlignment="1">
      <alignment/>
    </xf>
    <xf numFmtId="17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" fontId="5" fillId="0" borderId="0" xfId="0" applyNumberFormat="1" applyFont="1" applyAlignment="1">
      <alignment/>
    </xf>
    <xf numFmtId="17" fontId="5" fillId="0" borderId="0" xfId="0" applyNumberFormat="1" applyFont="1" applyBorder="1" applyAlignment="1">
      <alignment/>
    </xf>
    <xf numFmtId="166" fontId="0" fillId="0" borderId="0" xfId="42" applyNumberFormat="1" applyBorder="1" applyAlignment="1">
      <alignment/>
    </xf>
    <xf numFmtId="166" fontId="0" fillId="34" borderId="0" xfId="42" applyNumberFormat="1" applyFill="1" applyBorder="1" applyAlignment="1">
      <alignment/>
    </xf>
    <xf numFmtId="10" fontId="0" fillId="34" borderId="0" xfId="57" applyNumberFormat="1" applyFill="1" applyBorder="1" applyAlignment="1">
      <alignment/>
    </xf>
    <xf numFmtId="10" fontId="0" fillId="0" borderId="0" xfId="57" applyNumberFormat="1" applyFont="1" applyAlignment="1">
      <alignment/>
    </xf>
    <xf numFmtId="10" fontId="0" fillId="0" borderId="0" xfId="57" applyNumberFormat="1" applyFont="1" applyBorder="1" applyAlignment="1">
      <alignment/>
    </xf>
    <xf numFmtId="10" fontId="0" fillId="0" borderId="0" xfId="57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67" fontId="1" fillId="0" borderId="0" xfId="42" applyNumberFormat="1" applyFont="1" applyAlignment="1">
      <alignment horizontal="center"/>
    </xf>
    <xf numFmtId="188" fontId="0" fillId="0" borderId="0" xfId="44" applyNumberFormat="1" applyFont="1" applyFill="1" applyAlignment="1">
      <alignment/>
    </xf>
    <xf numFmtId="188" fontId="0" fillId="0" borderId="10" xfId="44" applyNumberFormat="1" applyFont="1" applyFill="1" applyBorder="1" applyAlignment="1">
      <alignment/>
    </xf>
    <xf numFmtId="188" fontId="0" fillId="0" borderId="0" xfId="44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8" fillId="35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left" vertical="top"/>
    </xf>
    <xf numFmtId="0" fontId="8" fillId="36" borderId="0" xfId="0" applyFont="1" applyFill="1" applyBorder="1" applyAlignment="1">
      <alignment horizontal="left" vertical="center"/>
    </xf>
    <xf numFmtId="194" fontId="8" fillId="36" borderId="0" xfId="0" applyNumberFormat="1" applyFont="1" applyFill="1" applyBorder="1" applyAlignment="1">
      <alignment horizontal="right" vertical="center"/>
    </xf>
    <xf numFmtId="195" fontId="8" fillId="36" borderId="0" xfId="0" applyNumberFormat="1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left" vertical="top"/>
    </xf>
    <xf numFmtId="194" fontId="10" fillId="37" borderId="0" xfId="0" applyNumberFormat="1" applyFont="1" applyFill="1" applyBorder="1" applyAlignment="1">
      <alignment horizontal="left" vertical="top"/>
    </xf>
    <xf numFmtId="195" fontId="10" fillId="37" borderId="0" xfId="0" applyNumberFormat="1" applyFont="1" applyFill="1" applyBorder="1" applyAlignment="1">
      <alignment horizontal="left" vertical="top"/>
    </xf>
    <xf numFmtId="167" fontId="11" fillId="0" borderId="0" xfId="42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166" fontId="11" fillId="0" borderId="0" xfId="42" applyNumberFormat="1" applyFont="1" applyFill="1" applyBorder="1" applyAlignment="1">
      <alignment/>
    </xf>
    <xf numFmtId="10" fontId="11" fillId="0" borderId="0" xfId="57" applyNumberFormat="1" applyFont="1" applyFill="1" applyBorder="1" applyAlignment="1">
      <alignment/>
    </xf>
    <xf numFmtId="0" fontId="8" fillId="35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FFFF"/>
      <rgbColor rgb="00CCCCCC"/>
      <rgbColor rgb="00CCFF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pane xSplit="4410" topLeftCell="J1" activePane="topRight" state="split"/>
      <selection pane="topLeft" activeCell="E91" sqref="E91:J92"/>
      <selection pane="topRight" activeCell="Q12" sqref="Q12"/>
    </sheetView>
  </sheetViews>
  <sheetFormatPr defaultColWidth="9.140625" defaultRowHeight="12.75"/>
  <cols>
    <col min="1" max="1" width="10.00390625" style="2" customWidth="1"/>
    <col min="2" max="2" width="18.42187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00390625" style="2" bestFit="1" customWidth="1"/>
    <col min="9" max="9" width="13.7109375" style="2" customWidth="1"/>
    <col min="10" max="10" width="13.42187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5742187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0" ht="12.75">
      <c r="A6" s="1" t="s">
        <v>5</v>
      </c>
      <c r="J6" s="1" t="s">
        <v>6</v>
      </c>
    </row>
    <row r="7" spans="4:16" ht="12.75">
      <c r="D7" s="3">
        <v>2007</v>
      </c>
      <c r="E7" s="3">
        <v>2007</v>
      </c>
      <c r="F7" s="3">
        <v>2007</v>
      </c>
      <c r="G7" s="3">
        <v>2007</v>
      </c>
      <c r="H7" s="3">
        <v>2007</v>
      </c>
      <c r="I7" s="3">
        <v>2007</v>
      </c>
      <c r="J7" s="3">
        <v>2008</v>
      </c>
      <c r="K7" s="3">
        <v>2008</v>
      </c>
      <c r="L7" s="3">
        <v>2008</v>
      </c>
      <c r="M7" s="3">
        <v>2008</v>
      </c>
      <c r="N7" s="3">
        <v>2008</v>
      </c>
      <c r="O7" s="3">
        <v>2008</v>
      </c>
      <c r="P7" s="1" t="s">
        <v>7</v>
      </c>
    </row>
    <row r="8" spans="4:16" ht="12.75"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</row>
    <row r="9" spans="1:2" ht="12.75">
      <c r="A9" s="1" t="s">
        <v>21</v>
      </c>
      <c r="B9" s="1"/>
    </row>
    <row r="10" spans="1:7" ht="12.75">
      <c r="A10" s="5" t="s">
        <v>22</v>
      </c>
      <c r="D10" s="6"/>
      <c r="E10" s="6"/>
      <c r="F10" s="6"/>
      <c r="G10" s="7"/>
    </row>
    <row r="11" spans="1:17" ht="12.75">
      <c r="A11" s="2" t="s">
        <v>23</v>
      </c>
      <c r="D11" s="71">
        <v>2462636</v>
      </c>
      <c r="E11" s="71">
        <v>2010203</v>
      </c>
      <c r="F11" s="71">
        <v>2332936</v>
      </c>
      <c r="G11" s="71">
        <v>4484817</v>
      </c>
      <c r="H11" s="71">
        <v>9398517</v>
      </c>
      <c r="I11" s="71">
        <v>18392852</v>
      </c>
      <c r="J11" s="71">
        <v>20755627</v>
      </c>
      <c r="K11" s="71">
        <v>22514347</v>
      </c>
      <c r="L11" s="71">
        <v>14859076</v>
      </c>
      <c r="M11" s="71">
        <v>13629159</v>
      </c>
      <c r="N11" s="71">
        <v>8714627</v>
      </c>
      <c r="O11" s="71">
        <v>4232714</v>
      </c>
      <c r="P11" s="8">
        <f>SUM(D11:O11)</f>
        <v>123787511</v>
      </c>
      <c r="Q11" s="8"/>
    </row>
    <row r="12" spans="1:17" ht="12.75">
      <c r="A12" s="9" t="s">
        <v>24</v>
      </c>
      <c r="D12" s="71">
        <v>-180683</v>
      </c>
      <c r="E12" s="71">
        <v>-141329</v>
      </c>
      <c r="F12" s="71">
        <v>-161990</v>
      </c>
      <c r="G12" s="71">
        <v>-277602</v>
      </c>
      <c r="H12" s="71">
        <v>-613037</v>
      </c>
      <c r="I12" s="71">
        <v>-1548327</v>
      </c>
      <c r="J12" s="71">
        <v>-840804</v>
      </c>
      <c r="K12" s="71">
        <v>-933547</v>
      </c>
      <c r="L12" s="71">
        <v>-590323</v>
      </c>
      <c r="M12" s="71">
        <v>-544390</v>
      </c>
      <c r="N12" s="71">
        <v>-304416</v>
      </c>
      <c r="O12" s="71">
        <v>-134597</v>
      </c>
      <c r="P12" s="8">
        <f>SUM(D12:O12)</f>
        <v>-6271045</v>
      </c>
      <c r="Q12" s="8"/>
    </row>
    <row r="13" spans="1:17" ht="12.75">
      <c r="A13" s="2" t="s">
        <v>25</v>
      </c>
      <c r="D13" s="6">
        <f aca="true" t="shared" si="0" ref="D13:I13">-D47</f>
        <v>-1688657.3691</v>
      </c>
      <c r="E13" s="6">
        <f t="shared" si="0"/>
        <v>-512729.36110000004</v>
      </c>
      <c r="F13" s="6">
        <f t="shared" si="0"/>
        <v>-861827.0961999999</v>
      </c>
      <c r="G13" s="6">
        <f t="shared" si="0"/>
        <v>-3069727.6876000003</v>
      </c>
      <c r="H13" s="6">
        <f t="shared" si="0"/>
        <v>-6526098.6665</v>
      </c>
      <c r="I13" s="6">
        <f t="shared" si="0"/>
        <v>-10839345.651700001</v>
      </c>
      <c r="J13" s="6">
        <f aca="true" t="shared" si="1" ref="J13:O13">-D102</f>
        <v>-11907095</v>
      </c>
      <c r="K13" s="6">
        <f t="shared" si="1"/>
        <v>-12692443</v>
      </c>
      <c r="L13" s="6">
        <f t="shared" si="1"/>
        <v>-9661573</v>
      </c>
      <c r="M13" s="6">
        <f t="shared" si="1"/>
        <v>-9011346</v>
      </c>
      <c r="N13" s="6">
        <f t="shared" si="1"/>
        <v>-6832115</v>
      </c>
      <c r="O13" s="6">
        <f t="shared" si="1"/>
        <v>-3107922</v>
      </c>
      <c r="P13" s="8">
        <f>SUM(D13:O13)</f>
        <v>-76710879.8322</v>
      </c>
      <c r="Q13" s="8"/>
    </row>
    <row r="14" spans="1:17" ht="12.75">
      <c r="A14" s="2" t="s">
        <v>26</v>
      </c>
      <c r="D14" s="6">
        <f aca="true" t="shared" si="2" ref="D14:I14">E47</f>
        <v>512729.36110000004</v>
      </c>
      <c r="E14" s="6">
        <f t="shared" si="2"/>
        <v>861827.0961999999</v>
      </c>
      <c r="F14" s="6">
        <f t="shared" si="2"/>
        <v>3069727.6876000003</v>
      </c>
      <c r="G14" s="6">
        <f t="shared" si="2"/>
        <v>6526098.6665</v>
      </c>
      <c r="H14" s="6">
        <f t="shared" si="2"/>
        <v>10839345.651700001</v>
      </c>
      <c r="I14" s="6">
        <f t="shared" si="2"/>
        <v>11778585.171</v>
      </c>
      <c r="J14" s="6">
        <f aca="true" t="shared" si="3" ref="J14:O14">E102</f>
        <v>12692443</v>
      </c>
      <c r="K14" s="6">
        <f t="shared" si="3"/>
        <v>9661573</v>
      </c>
      <c r="L14" s="6">
        <f t="shared" si="3"/>
        <v>9011346</v>
      </c>
      <c r="M14" s="6">
        <f t="shared" si="3"/>
        <v>6832115</v>
      </c>
      <c r="N14" s="6">
        <f t="shared" si="3"/>
        <v>3107922</v>
      </c>
      <c r="O14" s="6">
        <f t="shared" si="3"/>
        <v>1731459</v>
      </c>
      <c r="P14" s="8">
        <f>SUM(D14:O14)</f>
        <v>76625171.6341</v>
      </c>
      <c r="Q14" s="6"/>
    </row>
    <row r="15" spans="1:17" ht="12.75">
      <c r="A15" s="2" t="s">
        <v>27</v>
      </c>
      <c r="D15" s="6">
        <f aca="true" t="shared" si="4" ref="D15:I15">D60</f>
        <v>692582.2639999999</v>
      </c>
      <c r="E15" s="6">
        <f t="shared" si="4"/>
        <v>236741.505</v>
      </c>
      <c r="F15" s="6">
        <f t="shared" si="4"/>
        <v>31658.591999999997</v>
      </c>
      <c r="G15" s="6">
        <f t="shared" si="4"/>
        <v>15894.109</v>
      </c>
      <c r="H15" s="6">
        <f t="shared" si="4"/>
        <v>47991.147000000004</v>
      </c>
      <c r="I15" s="6">
        <f t="shared" si="4"/>
        <v>673724.3099999999</v>
      </c>
      <c r="J15" s="6">
        <f aca="true" t="shared" si="5" ref="J15:O15">D86</f>
        <v>-1132969</v>
      </c>
      <c r="K15" s="6">
        <f t="shared" si="5"/>
        <v>-107342</v>
      </c>
      <c r="L15" s="6">
        <f t="shared" si="5"/>
        <v>-1381024</v>
      </c>
      <c r="M15" s="6">
        <f t="shared" si="5"/>
        <v>-1653998</v>
      </c>
      <c r="N15" s="6">
        <f t="shared" si="5"/>
        <v>840841</v>
      </c>
      <c r="O15" s="6">
        <f t="shared" si="5"/>
        <v>-354262</v>
      </c>
      <c r="P15" s="8">
        <f>SUM(D15:O15)</f>
        <v>-2090162.0730000003</v>
      </c>
      <c r="Q15" s="6"/>
    </row>
    <row r="16" spans="1:17" ht="12.75">
      <c r="A16" s="2" t="s">
        <v>28</v>
      </c>
      <c r="D16" s="10">
        <f aca="true" t="shared" si="6" ref="D16:P16">SUM(D11:D15)</f>
        <v>1798607.256</v>
      </c>
      <c r="E16" s="10">
        <f t="shared" si="6"/>
        <v>2454713.2400999996</v>
      </c>
      <c r="F16" s="10">
        <f t="shared" si="6"/>
        <v>4410505.1834</v>
      </c>
      <c r="G16" s="10">
        <f t="shared" si="6"/>
        <v>7679480.087900001</v>
      </c>
      <c r="H16" s="10">
        <f t="shared" si="6"/>
        <v>13146718.1322</v>
      </c>
      <c r="I16" s="10">
        <f t="shared" si="6"/>
        <v>18457488.829299998</v>
      </c>
      <c r="J16" s="10">
        <f t="shared" si="6"/>
        <v>19567202</v>
      </c>
      <c r="K16" s="10">
        <f t="shared" si="6"/>
        <v>18442588</v>
      </c>
      <c r="L16" s="10">
        <f t="shared" si="6"/>
        <v>12237502</v>
      </c>
      <c r="M16" s="10">
        <f t="shared" si="6"/>
        <v>9251540</v>
      </c>
      <c r="N16" s="10">
        <f t="shared" si="6"/>
        <v>5526859</v>
      </c>
      <c r="O16" s="10">
        <f t="shared" si="6"/>
        <v>2367392</v>
      </c>
      <c r="P16" s="10">
        <f t="shared" si="6"/>
        <v>115340595.7289</v>
      </c>
      <c r="Q16" s="6"/>
    </row>
    <row r="17" spans="4:17" ht="12.75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6"/>
    </row>
    <row r="18" spans="1:17" ht="12.75">
      <c r="A18" s="2" t="s">
        <v>29</v>
      </c>
      <c r="D18" s="11">
        <f aca="true" t="shared" si="7" ref="D18:O18">D16</f>
        <v>1798607.256</v>
      </c>
      <c r="E18" s="11">
        <f t="shared" si="7"/>
        <v>2454713.2400999996</v>
      </c>
      <c r="F18" s="11">
        <f t="shared" si="7"/>
        <v>4410505.1834</v>
      </c>
      <c r="G18" s="11">
        <f t="shared" si="7"/>
        <v>7679480.087900001</v>
      </c>
      <c r="H18" s="11">
        <f t="shared" si="7"/>
        <v>13146718.1322</v>
      </c>
      <c r="I18" s="11">
        <f t="shared" si="7"/>
        <v>18457488.829299998</v>
      </c>
      <c r="J18" s="11">
        <f t="shared" si="7"/>
        <v>19567202</v>
      </c>
      <c r="K18" s="11">
        <f t="shared" si="7"/>
        <v>18442588</v>
      </c>
      <c r="L18" s="11">
        <f t="shared" si="7"/>
        <v>12237502</v>
      </c>
      <c r="M18" s="11">
        <f t="shared" si="7"/>
        <v>9251540</v>
      </c>
      <c r="N18" s="11">
        <f t="shared" si="7"/>
        <v>5526859</v>
      </c>
      <c r="O18" s="11">
        <f t="shared" si="7"/>
        <v>2367392</v>
      </c>
      <c r="P18" s="8">
        <f>SUM(D18:O18)</f>
        <v>115340595.7289</v>
      </c>
      <c r="Q18" s="6"/>
    </row>
    <row r="19" spans="1:16" ht="12.75">
      <c r="A19" t="s">
        <v>30</v>
      </c>
      <c r="B19"/>
      <c r="C19"/>
      <c r="D19" s="12">
        <v>1992869.2803962994</v>
      </c>
      <c r="E19" s="12">
        <v>2626004.0579347075</v>
      </c>
      <c r="F19" s="12">
        <v>3962139.288864518</v>
      </c>
      <c r="G19" s="12">
        <v>9013668.04240531</v>
      </c>
      <c r="H19" s="12">
        <v>14551771.69540904</v>
      </c>
      <c r="I19" s="12">
        <v>19133174.011006385</v>
      </c>
      <c r="J19" s="12">
        <v>20193658</v>
      </c>
      <c r="K19" s="12">
        <v>16744930</v>
      </c>
      <c r="L19" s="12">
        <v>14101624</v>
      </c>
      <c r="M19" s="12">
        <v>9347535</v>
      </c>
      <c r="N19" s="12">
        <v>5032140</v>
      </c>
      <c r="O19" s="12">
        <v>2400167</v>
      </c>
      <c r="P19" s="8">
        <f>SUM(D19:O19)</f>
        <v>119099680.37601626</v>
      </c>
    </row>
    <row r="20" spans="1:16" ht="12.75">
      <c r="A20" s="2" t="s">
        <v>31</v>
      </c>
      <c r="C20"/>
      <c r="D20" s="13">
        <f aca="true" t="shared" si="8" ref="D20:O20">D18-D19</f>
        <v>-194262.02439629938</v>
      </c>
      <c r="E20" s="13">
        <f t="shared" si="8"/>
        <v>-171290.8178347079</v>
      </c>
      <c r="F20" s="13">
        <f t="shared" si="8"/>
        <v>448365.8945354824</v>
      </c>
      <c r="G20" s="13">
        <f t="shared" si="8"/>
        <v>-1334187.9545053085</v>
      </c>
      <c r="H20" s="13">
        <f t="shared" si="8"/>
        <v>-1405053.56320904</v>
      </c>
      <c r="I20" s="13">
        <f t="shared" si="8"/>
        <v>-675685.1817063875</v>
      </c>
      <c r="J20" s="13">
        <f t="shared" si="8"/>
        <v>-626456</v>
      </c>
      <c r="K20" s="13">
        <f t="shared" si="8"/>
        <v>1697658</v>
      </c>
      <c r="L20" s="13">
        <f t="shared" si="8"/>
        <v>-1864122</v>
      </c>
      <c r="M20" s="13">
        <f t="shared" si="8"/>
        <v>-95995</v>
      </c>
      <c r="N20" s="13">
        <f t="shared" si="8"/>
        <v>494719</v>
      </c>
      <c r="O20" s="13">
        <f t="shared" si="8"/>
        <v>-32775</v>
      </c>
      <c r="P20" s="8">
        <f>SUM(D20:O20)</f>
        <v>-3759084.6471162606</v>
      </c>
    </row>
    <row r="21" spans="1:16" ht="12.75">
      <c r="A21" s="2" t="s">
        <v>80</v>
      </c>
      <c r="C21"/>
      <c r="D21" s="14">
        <v>0.19822</v>
      </c>
      <c r="E21" s="14">
        <v>0.19822</v>
      </c>
      <c r="F21" s="14">
        <v>0.19822</v>
      </c>
      <c r="G21" s="14">
        <v>0.19822</v>
      </c>
      <c r="H21" s="14">
        <v>0.19822</v>
      </c>
      <c r="I21" s="14">
        <v>0.19822</v>
      </c>
      <c r="J21" s="14">
        <v>0.21748</v>
      </c>
      <c r="K21" s="14">
        <f>J21</f>
        <v>0.21748</v>
      </c>
      <c r="L21" s="14">
        <f>K21</f>
        <v>0.21748</v>
      </c>
      <c r="M21" s="14">
        <f>L21</f>
        <v>0.21748</v>
      </c>
      <c r="N21" s="14">
        <f>M21</f>
        <v>0.21748</v>
      </c>
      <c r="O21" s="14">
        <f>N21</f>
        <v>0.21748</v>
      </c>
      <c r="P21"/>
    </row>
    <row r="22" spans="1:16" s="1" customFormat="1" ht="12.75">
      <c r="A22" s="1" t="s">
        <v>32</v>
      </c>
      <c r="D22" s="15">
        <f aca="true" t="shared" si="9" ref="D22:O22">D20*D21</f>
        <v>-38506.61847583447</v>
      </c>
      <c r="E22" s="15">
        <f t="shared" si="9"/>
        <v>-33953.265911195806</v>
      </c>
      <c r="F22" s="16">
        <f t="shared" si="9"/>
        <v>88875.08761482332</v>
      </c>
      <c r="G22" s="15">
        <f t="shared" si="9"/>
        <v>-264462.7363420423</v>
      </c>
      <c r="H22" s="15">
        <f t="shared" si="9"/>
        <v>-278509.71729929594</v>
      </c>
      <c r="I22" s="15">
        <f t="shared" si="9"/>
        <v>-133934.31671784015</v>
      </c>
      <c r="J22" s="15">
        <f t="shared" si="9"/>
        <v>-136241.65088</v>
      </c>
      <c r="K22" s="15">
        <f t="shared" si="9"/>
        <v>369206.66184</v>
      </c>
      <c r="L22" s="15">
        <f t="shared" si="9"/>
        <v>-405409.25256</v>
      </c>
      <c r="M22" s="16">
        <f t="shared" si="9"/>
        <v>-20876.9926</v>
      </c>
      <c r="N22" s="15">
        <f t="shared" si="9"/>
        <v>107591.48812000001</v>
      </c>
      <c r="O22" s="16">
        <f t="shared" si="9"/>
        <v>-7127.907</v>
      </c>
      <c r="P22" s="15">
        <f>SUM(D22:O22)</f>
        <v>-753349.2202113853</v>
      </c>
    </row>
    <row r="23" spans="2:16" s="1" customFormat="1" ht="12.75">
      <c r="B23" s="17" t="s">
        <v>33</v>
      </c>
      <c r="C23" s="2"/>
      <c r="D23" s="18">
        <v>0.9</v>
      </c>
      <c r="E23" s="18">
        <v>0.9</v>
      </c>
      <c r="F23" s="18">
        <v>0.9</v>
      </c>
      <c r="G23" s="18">
        <v>0.9</v>
      </c>
      <c r="H23" s="18">
        <v>0.9</v>
      </c>
      <c r="I23" s="18">
        <v>0.9</v>
      </c>
      <c r="J23" s="18">
        <v>0.9</v>
      </c>
      <c r="K23" s="18">
        <v>0.9</v>
      </c>
      <c r="L23" s="18">
        <v>0.9</v>
      </c>
      <c r="M23" s="18">
        <v>0.9</v>
      </c>
      <c r="N23" s="18">
        <v>0.9</v>
      </c>
      <c r="O23" s="18">
        <v>0.9</v>
      </c>
      <c r="P23" s="15"/>
    </row>
    <row r="24" spans="1:16" ht="12.75">
      <c r="A24" s="1" t="s">
        <v>34</v>
      </c>
      <c r="D24" s="19">
        <f aca="true" t="shared" si="10" ref="D24:O24">D22*D23</f>
        <v>-34655.95662825102</v>
      </c>
      <c r="E24" s="19">
        <f t="shared" si="10"/>
        <v>-30557.939320076224</v>
      </c>
      <c r="F24" s="19">
        <f t="shared" si="10"/>
        <v>79987.578853341</v>
      </c>
      <c r="G24" s="19">
        <f t="shared" si="10"/>
        <v>-238016.46270783804</v>
      </c>
      <c r="H24" s="19">
        <f t="shared" si="10"/>
        <v>-250658.74556936635</v>
      </c>
      <c r="I24" s="19">
        <f t="shared" si="10"/>
        <v>-120540.88504605614</v>
      </c>
      <c r="J24" s="19">
        <f t="shared" si="10"/>
        <v>-122617.485792</v>
      </c>
      <c r="K24" s="19">
        <f t="shared" si="10"/>
        <v>332285.99565600004</v>
      </c>
      <c r="L24" s="19">
        <f t="shared" si="10"/>
        <v>-364868.327304</v>
      </c>
      <c r="M24" s="19">
        <f t="shared" si="10"/>
        <v>-18789.29334</v>
      </c>
      <c r="N24" s="19">
        <f t="shared" si="10"/>
        <v>96832.33930800001</v>
      </c>
      <c r="O24" s="19">
        <f t="shared" si="10"/>
        <v>-6415.116300000001</v>
      </c>
      <c r="P24" s="15">
        <f>SUM(D24:O24)</f>
        <v>-678014.2981902466</v>
      </c>
    </row>
    <row r="25" spans="1:16" ht="12.75">
      <c r="A25"/>
      <c r="B25" s="1" t="s">
        <v>35</v>
      </c>
      <c r="C25"/>
      <c r="D25" s="20" t="s">
        <v>81</v>
      </c>
      <c r="E25" s="20" t="s">
        <v>81</v>
      </c>
      <c r="F25" s="20" t="s">
        <v>81</v>
      </c>
      <c r="G25" s="6"/>
      <c r="H25" s="6"/>
      <c r="I25" s="6"/>
      <c r="J25" s="6"/>
      <c r="K25" s="6"/>
      <c r="L25" s="6"/>
      <c r="M25" s="6"/>
      <c r="N25" s="6"/>
      <c r="O25" s="6"/>
      <c r="P25" s="8"/>
    </row>
    <row r="26" spans="1:16" ht="12.75">
      <c r="A26" s="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" t="s">
        <v>36</v>
      </c>
      <c r="D27" s="6">
        <v>-36007.43753197607</v>
      </c>
      <c r="E27" s="6">
        <v>-31749.609539752288</v>
      </c>
      <c r="F27" s="6">
        <v>83106.86038162434</v>
      </c>
      <c r="G27" s="6"/>
      <c r="H27" s="6"/>
      <c r="I27" s="6"/>
      <c r="J27" s="6"/>
      <c r="K27" s="6"/>
      <c r="L27" s="6"/>
      <c r="M27" s="6"/>
      <c r="N27" s="6"/>
      <c r="O27" s="6"/>
      <c r="P27" s="8"/>
    </row>
    <row r="28" spans="1:16" ht="12.75">
      <c r="A28" s="1" t="s">
        <v>37</v>
      </c>
      <c r="D28" s="6">
        <f>D24-D27</f>
        <v>1351.4809037250525</v>
      </c>
      <c r="E28" s="6">
        <f>E24-E27</f>
        <v>1191.6702196760634</v>
      </c>
      <c r="F28" s="6">
        <f>F24-F27</f>
        <v>-3119.281528283347</v>
      </c>
      <c r="G28" s="22">
        <f>SUM(D28:F28)</f>
        <v>-576.1304048822312</v>
      </c>
      <c r="H28" s="6"/>
      <c r="I28" s="6"/>
      <c r="J28" s="6"/>
      <c r="K28" s="6"/>
      <c r="L28" s="6"/>
      <c r="M28" s="6"/>
      <c r="N28" s="6"/>
      <c r="O28" s="6"/>
      <c r="P28" s="8"/>
    </row>
    <row r="29" spans="4:16" ht="12.7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</row>
    <row r="30" spans="1:16" ht="12.75">
      <c r="A30" s="9" t="s">
        <v>38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"/>
    </row>
    <row r="31" spans="1:16" ht="12.75">
      <c r="A31" s="9" t="s">
        <v>39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1:16" ht="12.75">
      <c r="A32" s="9"/>
      <c r="D32" s="23"/>
      <c r="E32" s="23"/>
      <c r="F32" s="23"/>
      <c r="G32" s="23"/>
      <c r="H32" s="23"/>
      <c r="I32" s="23"/>
      <c r="J32" s="57" t="s">
        <v>82</v>
      </c>
      <c r="K32" s="23"/>
      <c r="L32" s="23"/>
      <c r="M32" s="23"/>
      <c r="N32" s="23"/>
      <c r="O32" s="23"/>
      <c r="P32" s="24"/>
    </row>
    <row r="33" spans="1:16" ht="12.75">
      <c r="A33" s="9"/>
      <c r="D33" s="23"/>
      <c r="E33" s="23"/>
      <c r="F33" s="2" t="s">
        <v>83</v>
      </c>
      <c r="G33"/>
      <c r="H33"/>
      <c r="I33"/>
      <c r="J33" s="58">
        <v>1.12076</v>
      </c>
      <c r="K33" s="23"/>
      <c r="L33" s="23"/>
      <c r="M33" s="23"/>
      <c r="N33" s="23"/>
      <c r="O33" s="23"/>
      <c r="P33" s="24"/>
    </row>
    <row r="34" spans="1:16" ht="12.75">
      <c r="A34" s="9"/>
      <c r="D34" s="23"/>
      <c r="E34" s="23"/>
      <c r="F34" s="2" t="s">
        <v>84</v>
      </c>
      <c r="G34"/>
      <c r="H34"/>
      <c r="I34"/>
      <c r="J34" s="39">
        <v>0.956922</v>
      </c>
      <c r="K34" s="23"/>
      <c r="L34" s="23"/>
      <c r="M34" s="23"/>
      <c r="N34" s="23"/>
      <c r="O34" s="23"/>
      <c r="P34" s="24"/>
    </row>
    <row r="35" spans="1:16" ht="12.75">
      <c r="A35" s="9"/>
      <c r="D35" s="23"/>
      <c r="E35" s="23"/>
      <c r="F35" s="2" t="s">
        <v>85</v>
      </c>
      <c r="G35"/>
      <c r="H35"/>
      <c r="I35"/>
      <c r="J35" s="59">
        <f>J33*J34</f>
        <v>1.07247990072</v>
      </c>
      <c r="K35" s="23"/>
      <c r="L35" s="23"/>
      <c r="M35" s="23"/>
      <c r="N35" s="23"/>
      <c r="O35" s="23"/>
      <c r="P35" s="24"/>
    </row>
    <row r="36" spans="1:16" ht="12.75">
      <c r="A36" s="9"/>
      <c r="D36" s="23"/>
      <c r="E36" s="23"/>
      <c r="F36" s="2" t="s">
        <v>86</v>
      </c>
      <c r="G36"/>
      <c r="H36"/>
      <c r="I36"/>
      <c r="J36" s="60">
        <f>-0.855</f>
        <v>-0.855</v>
      </c>
      <c r="K36" s="23"/>
      <c r="L36" s="23"/>
      <c r="M36" s="23"/>
      <c r="N36" s="23"/>
      <c r="O36" s="23"/>
      <c r="P36" s="24"/>
    </row>
    <row r="37" spans="1:16" ht="12.75">
      <c r="A37" s="9"/>
      <c r="D37" s="23"/>
      <c r="E37" s="23"/>
      <c r="F37" s="1" t="s">
        <v>87</v>
      </c>
      <c r="G37"/>
      <c r="H37"/>
      <c r="I37"/>
      <c r="J37" s="61">
        <f>J35+J36</f>
        <v>0.21747990072000012</v>
      </c>
      <c r="K37" s="23"/>
      <c r="L37" s="23"/>
      <c r="M37" s="23"/>
      <c r="N37" s="23"/>
      <c r="O37" s="23"/>
      <c r="P37" s="24"/>
    </row>
    <row r="38" spans="1:16" ht="12.75">
      <c r="A38" s="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</row>
    <row r="39" spans="1:3" ht="12.75" hidden="1">
      <c r="A39" s="5" t="s">
        <v>40</v>
      </c>
      <c r="C39" s="1"/>
    </row>
    <row r="40" spans="1:16" ht="12.75" hidden="1">
      <c r="A40" s="25"/>
      <c r="D40" s="26">
        <v>39234</v>
      </c>
      <c r="E40" s="26">
        <v>39264</v>
      </c>
      <c r="F40" s="26">
        <v>39295</v>
      </c>
      <c r="G40" s="26">
        <v>39326</v>
      </c>
      <c r="H40" s="26">
        <v>39356</v>
      </c>
      <c r="I40" s="26">
        <v>39387</v>
      </c>
      <c r="J40" s="26">
        <v>39417</v>
      </c>
      <c r="K40" s="26"/>
      <c r="L40" s="26"/>
      <c r="M40" s="26"/>
      <c r="N40" s="26"/>
      <c r="O40" s="26"/>
      <c r="P40" s="26"/>
    </row>
    <row r="41" spans="1:16" ht="12.75" hidden="1">
      <c r="A41" t="s">
        <v>41</v>
      </c>
      <c r="B41"/>
      <c r="C41"/>
      <c r="D41" s="27">
        <v>75.2</v>
      </c>
      <c r="E41" s="27">
        <v>0.4</v>
      </c>
      <c r="F41" s="27">
        <v>21.1</v>
      </c>
      <c r="G41" s="27">
        <v>161.9</v>
      </c>
      <c r="H41" s="27">
        <v>377.3</v>
      </c>
      <c r="I41" s="27">
        <v>642.8</v>
      </c>
      <c r="J41" s="27">
        <v>702.2</v>
      </c>
      <c r="K41"/>
      <c r="L41"/>
      <c r="M41"/>
      <c r="N41"/>
      <c r="O41"/>
      <c r="P41"/>
    </row>
    <row r="42" spans="1:16" ht="12.75" hidden="1">
      <c r="A42" t="s">
        <v>42</v>
      </c>
      <c r="B42"/>
      <c r="C42"/>
      <c r="D42" s="28">
        <v>0.6125</v>
      </c>
      <c r="E42" s="28">
        <v>0.6117</v>
      </c>
      <c r="F42" s="28">
        <v>0.6375</v>
      </c>
      <c r="G42" s="28">
        <v>0.6092</v>
      </c>
      <c r="H42" s="28">
        <v>0.6331</v>
      </c>
      <c r="I42" s="28">
        <v>0.6615</v>
      </c>
      <c r="J42" s="28">
        <v>0.61</v>
      </c>
      <c r="K42"/>
      <c r="L42"/>
      <c r="M42"/>
      <c r="N42"/>
      <c r="O42"/>
      <c r="P42"/>
    </row>
    <row r="43" spans="1:16" ht="12.75" hidden="1">
      <c r="A43" s="5" t="s">
        <v>43</v>
      </c>
      <c r="B43" s="29" t="s">
        <v>44</v>
      </c>
      <c r="C43" s="29" t="s">
        <v>45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</row>
    <row r="44" spans="1:16" ht="12.75" hidden="1">
      <c r="A44" t="s">
        <v>46</v>
      </c>
      <c r="B44" s="2">
        <v>7</v>
      </c>
      <c r="C44" s="2">
        <v>0.11</v>
      </c>
      <c r="D44" s="30">
        <f aca="true" t="shared" si="11" ref="D44:J44">$C44*D$41*D65+$B44*D$42*D65</f>
        <v>1484645.9355000001</v>
      </c>
      <c r="E44" s="30">
        <f t="shared" si="11"/>
        <v>511637.1707</v>
      </c>
      <c r="F44" s="30">
        <f t="shared" si="11"/>
        <v>803851.5334999999</v>
      </c>
      <c r="G44" s="30">
        <f t="shared" si="11"/>
        <v>2624152.0122</v>
      </c>
      <c r="H44" s="30">
        <f t="shared" si="11"/>
        <v>5485705.6128</v>
      </c>
      <c r="I44" s="30">
        <f t="shared" si="11"/>
        <v>9053352.206500001</v>
      </c>
      <c r="J44" s="30">
        <f t="shared" si="11"/>
        <v>9822603.56</v>
      </c>
      <c r="K44"/>
      <c r="L44"/>
      <c r="M44"/>
      <c r="N44"/>
      <c r="O44"/>
      <c r="P44"/>
    </row>
    <row r="45" spans="1:16" ht="12.75" hidden="1">
      <c r="A45" t="s">
        <v>47</v>
      </c>
      <c r="B45" s="2">
        <v>0</v>
      </c>
      <c r="C45" s="2">
        <v>0.249</v>
      </c>
      <c r="D45" s="30">
        <f aca="true" t="shared" si="12" ref="D45:J45">$C45*D$41*(D66)+$B45*D$42*(D66)</f>
        <v>201141.8016</v>
      </c>
      <c r="E45" s="30">
        <f t="shared" si="12"/>
        <v>1076.0784</v>
      </c>
      <c r="F45" s="30">
        <f t="shared" si="12"/>
        <v>57125.65470000001</v>
      </c>
      <c r="G45" s="30">
        <f t="shared" si="12"/>
        <v>438848.4066</v>
      </c>
      <c r="H45" s="30">
        <f t="shared" si="12"/>
        <v>1024875.4593</v>
      </c>
      <c r="I45" s="30">
        <f t="shared" si="12"/>
        <v>1759828.9139999999</v>
      </c>
      <c r="J45" s="30">
        <f t="shared" si="12"/>
        <v>1927696.995</v>
      </c>
      <c r="K45"/>
      <c r="L45"/>
      <c r="M45"/>
      <c r="N45"/>
      <c r="O45"/>
      <c r="P45"/>
    </row>
    <row r="46" spans="1:16" ht="12.75" hidden="1">
      <c r="A46" t="s">
        <v>48</v>
      </c>
      <c r="B46" s="2">
        <v>0</v>
      </c>
      <c r="C46" s="2">
        <v>0.424</v>
      </c>
      <c r="D46" s="30">
        <f aca="true" t="shared" si="13" ref="D46:J46">$C46*D$41*D67+$B46*D$42*D67</f>
        <v>2869.632</v>
      </c>
      <c r="E46" s="30">
        <f t="shared" si="13"/>
        <v>16.112</v>
      </c>
      <c r="F46" s="30">
        <f t="shared" si="13"/>
        <v>849.908</v>
      </c>
      <c r="G46" s="30">
        <f t="shared" si="13"/>
        <v>6727.2688</v>
      </c>
      <c r="H46" s="30">
        <f t="shared" si="13"/>
        <v>15517.5944</v>
      </c>
      <c r="I46" s="30">
        <f t="shared" si="13"/>
        <v>26164.531199999998</v>
      </c>
      <c r="J46" s="30">
        <f t="shared" si="13"/>
        <v>28284.615999999998</v>
      </c>
      <c r="K46"/>
      <c r="L46"/>
      <c r="M46"/>
      <c r="N46"/>
      <c r="O46"/>
      <c r="P46"/>
    </row>
    <row r="47" spans="1:16" ht="12.75" hidden="1">
      <c r="A47"/>
      <c r="D47" s="31">
        <f aca="true" t="shared" si="14" ref="D47:J47">SUM(D44:D46)</f>
        <v>1688657.3691</v>
      </c>
      <c r="E47" s="31">
        <f t="shared" si="14"/>
        <v>512729.36110000004</v>
      </c>
      <c r="F47" s="31">
        <f t="shared" si="14"/>
        <v>861827.0961999999</v>
      </c>
      <c r="G47" s="31">
        <f t="shared" si="14"/>
        <v>3069727.6876000003</v>
      </c>
      <c r="H47" s="31">
        <f t="shared" si="14"/>
        <v>6526098.6665</v>
      </c>
      <c r="I47" s="31">
        <f t="shared" si="14"/>
        <v>10839345.651700001</v>
      </c>
      <c r="J47" s="31">
        <f t="shared" si="14"/>
        <v>11778585.171</v>
      </c>
      <c r="K47"/>
      <c r="L47"/>
      <c r="M47"/>
      <c r="N47"/>
      <c r="O47"/>
      <c r="P47"/>
    </row>
    <row r="48" spans="1:16" ht="12.75" hidden="1">
      <c r="A48"/>
      <c r="D48" s="32"/>
      <c r="E48" s="32"/>
      <c r="F48" s="32"/>
      <c r="G48" s="32"/>
      <c r="H48" s="32"/>
      <c r="I48" s="32"/>
      <c r="J48" s="32"/>
      <c r="K48"/>
      <c r="L48"/>
      <c r="M48"/>
      <c r="N48"/>
      <c r="O48"/>
      <c r="P48"/>
    </row>
    <row r="49" spans="1:16" ht="12.75" hidden="1">
      <c r="A49"/>
      <c r="B49" s="33"/>
      <c r="C49" s="33"/>
      <c r="D49" s="32"/>
      <c r="E49" s="32"/>
      <c r="F49" s="32"/>
      <c r="G49" s="32"/>
      <c r="H49" s="32"/>
      <c r="I49" s="32"/>
      <c r="J49" s="32"/>
      <c r="K49"/>
      <c r="L49"/>
      <c r="M49"/>
      <c r="N49"/>
      <c r="O49"/>
      <c r="P49"/>
    </row>
    <row r="50" spans="1:16" ht="12.75" hidden="1">
      <c r="A50" s="5" t="s">
        <v>49</v>
      </c>
      <c r="B50"/>
      <c r="C50"/>
      <c r="D50" s="32"/>
      <c r="E50" s="32"/>
      <c r="F50" s="32"/>
      <c r="G50" s="32"/>
      <c r="H50" s="32"/>
      <c r="I50" s="32"/>
      <c r="J50" s="32"/>
      <c r="K50"/>
      <c r="L50"/>
      <c r="M50"/>
      <c r="N50"/>
      <c r="O50"/>
      <c r="P50"/>
    </row>
    <row r="51" spans="2:16" ht="12.75" hidden="1">
      <c r="B51"/>
      <c r="C51"/>
      <c r="D51" s="34">
        <v>39264</v>
      </c>
      <c r="E51" s="34">
        <v>39295</v>
      </c>
      <c r="F51" s="34">
        <v>39326</v>
      </c>
      <c r="G51" s="34">
        <v>39356</v>
      </c>
      <c r="H51" s="34">
        <v>39387</v>
      </c>
      <c r="I51" s="34">
        <v>39417</v>
      </c>
      <c r="J51"/>
      <c r="K51"/>
      <c r="L51"/>
      <c r="M51"/>
      <c r="N51"/>
      <c r="O51"/>
      <c r="P51"/>
    </row>
    <row r="52" spans="1:16" ht="12.75" hidden="1">
      <c r="A52" s="2" t="s">
        <v>50</v>
      </c>
      <c r="D52" s="11">
        <v>44</v>
      </c>
      <c r="E52" s="11">
        <v>42</v>
      </c>
      <c r="F52" s="11">
        <v>196</v>
      </c>
      <c r="G52" s="11">
        <v>554</v>
      </c>
      <c r="H52" s="11">
        <v>897</v>
      </c>
      <c r="I52" s="11">
        <v>1168</v>
      </c>
      <c r="J52"/>
      <c r="K52"/>
      <c r="L52"/>
      <c r="M52"/>
      <c r="N52"/>
      <c r="O52"/>
      <c r="P52"/>
    </row>
    <row r="53" spans="1:16" ht="12.75" hidden="1">
      <c r="A53" s="2" t="s">
        <v>51</v>
      </c>
      <c r="D53" s="35">
        <v>0</v>
      </c>
      <c r="E53" s="35">
        <v>27</v>
      </c>
      <c r="F53" s="35">
        <v>194</v>
      </c>
      <c r="G53" s="35">
        <v>553</v>
      </c>
      <c r="H53" s="35">
        <v>894</v>
      </c>
      <c r="I53" s="35">
        <v>1126</v>
      </c>
      <c r="J53"/>
      <c r="K53"/>
      <c r="L53"/>
      <c r="M53"/>
      <c r="N53"/>
      <c r="O53"/>
      <c r="P53"/>
    </row>
    <row r="54" spans="1:16" ht="12.75" hidden="1">
      <c r="A54" s="2" t="s">
        <v>52</v>
      </c>
      <c r="D54" s="10">
        <f aca="true" t="shared" si="15" ref="D54:I54">D52-D53</f>
        <v>44</v>
      </c>
      <c r="E54" s="10">
        <f t="shared" si="15"/>
        <v>15</v>
      </c>
      <c r="F54" s="10">
        <f t="shared" si="15"/>
        <v>2</v>
      </c>
      <c r="G54" s="10">
        <f t="shared" si="15"/>
        <v>1</v>
      </c>
      <c r="H54" s="10">
        <f t="shared" si="15"/>
        <v>3</v>
      </c>
      <c r="I54" s="10">
        <f t="shared" si="15"/>
        <v>42</v>
      </c>
      <c r="J54"/>
      <c r="K54"/>
      <c r="L54"/>
      <c r="M54"/>
      <c r="N54"/>
      <c r="O54"/>
      <c r="P54"/>
    </row>
    <row r="55" spans="4:16" ht="12.75" hidden="1">
      <c r="D55" s="11"/>
      <c r="E55" s="11"/>
      <c r="F55" s="11"/>
      <c r="G55" s="11"/>
      <c r="H55" s="11"/>
      <c r="I55" s="11"/>
      <c r="J55"/>
      <c r="K55"/>
      <c r="L55"/>
      <c r="M55"/>
      <c r="N55"/>
      <c r="O55"/>
      <c r="P55"/>
    </row>
    <row r="56" spans="1:16" ht="12.75" hidden="1">
      <c r="A56" s="14" t="s">
        <v>43</v>
      </c>
      <c r="B56" s="29" t="s">
        <v>44</v>
      </c>
      <c r="C56" s="14" t="s">
        <v>45</v>
      </c>
      <c r="D56" s="32"/>
      <c r="E56" s="32"/>
      <c r="F56" s="32"/>
      <c r="G56" s="32"/>
      <c r="H56" s="32"/>
      <c r="I56" s="32"/>
      <c r="J56"/>
      <c r="K56"/>
      <c r="L56"/>
      <c r="M56"/>
      <c r="N56"/>
      <c r="O56"/>
      <c r="P56"/>
    </row>
    <row r="57" spans="1:16" ht="12.75" hidden="1">
      <c r="A57" t="s">
        <v>46</v>
      </c>
      <c r="B57" s="2">
        <v>7</v>
      </c>
      <c r="C57" s="2">
        <v>0.11</v>
      </c>
      <c r="D57" s="32">
        <f aca="true" t="shared" si="16" ref="D57:I57">D$54*$C57*E65</f>
        <v>572441.32</v>
      </c>
      <c r="E57" s="32">
        <f t="shared" si="16"/>
        <v>195526.65</v>
      </c>
      <c r="F57" s="32">
        <f t="shared" si="16"/>
        <v>26154.26</v>
      </c>
      <c r="G57" s="32">
        <f t="shared" si="16"/>
        <v>13136.64</v>
      </c>
      <c r="H57" s="32">
        <f t="shared" si="16"/>
        <v>39655.770000000004</v>
      </c>
      <c r="I57" s="32">
        <f t="shared" si="16"/>
        <v>556733.1</v>
      </c>
      <c r="J57"/>
      <c r="K57"/>
      <c r="L57"/>
      <c r="M57"/>
      <c r="N57"/>
      <c r="O57"/>
      <c r="P57"/>
    </row>
    <row r="58" spans="1:16" ht="12.75" hidden="1">
      <c r="A58" t="s">
        <v>47</v>
      </c>
      <c r="B58" s="2">
        <v>0</v>
      </c>
      <c r="C58" s="2">
        <v>0.249</v>
      </c>
      <c r="D58" s="32">
        <f aca="true" t="shared" si="17" ref="D58:I58">D$54*$C58*(E66)</f>
        <v>118368.624</v>
      </c>
      <c r="E58" s="32">
        <f t="shared" si="17"/>
        <v>40610.655</v>
      </c>
      <c r="F58" s="32">
        <f t="shared" si="17"/>
        <v>5421.228</v>
      </c>
      <c r="G58" s="32">
        <f t="shared" si="17"/>
        <v>2716.341</v>
      </c>
      <c r="H58" s="32">
        <f t="shared" si="17"/>
        <v>8213.265</v>
      </c>
      <c r="I58" s="32">
        <f t="shared" si="17"/>
        <v>115299.45</v>
      </c>
      <c r="J58"/>
      <c r="K58"/>
      <c r="L58"/>
      <c r="M58"/>
      <c r="N58"/>
      <c r="O58"/>
      <c r="P58"/>
    </row>
    <row r="59" spans="1:16" ht="12.75" hidden="1">
      <c r="A59" t="s">
        <v>48</v>
      </c>
      <c r="B59" s="2">
        <v>0</v>
      </c>
      <c r="C59" s="2">
        <v>0.424</v>
      </c>
      <c r="D59" s="32">
        <f aca="true" t="shared" si="18" ref="D59:I59">D$54*$C59*E67</f>
        <v>1772.32</v>
      </c>
      <c r="E59" s="32">
        <f t="shared" si="18"/>
        <v>604.1999999999999</v>
      </c>
      <c r="F59" s="32">
        <f t="shared" si="18"/>
        <v>83.104</v>
      </c>
      <c r="G59" s="32">
        <f t="shared" si="18"/>
        <v>41.128</v>
      </c>
      <c r="H59" s="32">
        <f t="shared" si="18"/>
        <v>122.112</v>
      </c>
      <c r="I59" s="32">
        <f t="shared" si="18"/>
        <v>1691.76</v>
      </c>
      <c r="J59"/>
      <c r="K59"/>
      <c r="L59"/>
      <c r="M59"/>
      <c r="N59"/>
      <c r="O59"/>
      <c r="P59"/>
    </row>
    <row r="60" spans="4:16" ht="12.75" hidden="1">
      <c r="D60" s="10">
        <f aca="true" t="shared" si="19" ref="D60:I60">SUM(D57:D59)</f>
        <v>692582.2639999999</v>
      </c>
      <c r="E60" s="10">
        <f t="shared" si="19"/>
        <v>236741.505</v>
      </c>
      <c r="F60" s="10">
        <f t="shared" si="19"/>
        <v>31658.591999999997</v>
      </c>
      <c r="G60" s="10">
        <f t="shared" si="19"/>
        <v>15894.109</v>
      </c>
      <c r="H60" s="10">
        <f t="shared" si="19"/>
        <v>47991.147000000004</v>
      </c>
      <c r="I60" s="10">
        <f t="shared" si="19"/>
        <v>673724.3099999999</v>
      </c>
      <c r="J60"/>
      <c r="K60"/>
      <c r="L60"/>
      <c r="M60"/>
      <c r="N60"/>
      <c r="O60"/>
      <c r="P60"/>
    </row>
    <row r="61" ht="12.75" hidden="1"/>
    <row r="62" spans="1:16" ht="12.75" hidden="1">
      <c r="A6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 hidden="1">
      <c r="A63" s="1" t="s">
        <v>53</v>
      </c>
      <c r="B63" s="33"/>
      <c r="C63" s="3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2"/>
    </row>
    <row r="64" spans="4:10" ht="12.75" hidden="1">
      <c r="D64" s="34">
        <v>38139</v>
      </c>
      <c r="E64" s="34">
        <v>38169</v>
      </c>
      <c r="F64" s="34">
        <v>38200</v>
      </c>
      <c r="G64" s="34">
        <v>38231</v>
      </c>
      <c r="H64" s="34">
        <v>38261</v>
      </c>
      <c r="I64" s="34">
        <v>38292</v>
      </c>
      <c r="J64" s="34">
        <v>38322</v>
      </c>
    </row>
    <row r="65" spans="1:10" ht="12.75" hidden="1">
      <c r="A65" t="s">
        <v>54</v>
      </c>
      <c r="B65" s="2" t="s">
        <v>55</v>
      </c>
      <c r="D65" s="6">
        <v>118209</v>
      </c>
      <c r="E65" s="6">
        <v>118273</v>
      </c>
      <c r="F65" s="6">
        <v>118501</v>
      </c>
      <c r="G65" s="6">
        <v>118883</v>
      </c>
      <c r="H65" s="6">
        <v>119424</v>
      </c>
      <c r="I65" s="6">
        <v>120169</v>
      </c>
      <c r="J65" s="6">
        <v>120505</v>
      </c>
    </row>
    <row r="66" spans="1:10" ht="12.75" hidden="1">
      <c r="A66"/>
      <c r="B66" s="2" t="s">
        <v>56</v>
      </c>
      <c r="D66" s="6">
        <v>10742</v>
      </c>
      <c r="E66" s="6">
        <v>10804</v>
      </c>
      <c r="F66" s="6">
        <v>10873</v>
      </c>
      <c r="G66" s="6">
        <v>10886</v>
      </c>
      <c r="H66" s="6">
        <v>10909</v>
      </c>
      <c r="I66" s="6">
        <v>10995</v>
      </c>
      <c r="J66" s="6">
        <v>11025</v>
      </c>
    </row>
    <row r="67" spans="1:10" ht="12.75" hidden="1">
      <c r="A67"/>
      <c r="B67" s="2" t="s">
        <v>57</v>
      </c>
      <c r="D67" s="6">
        <v>90</v>
      </c>
      <c r="E67" s="6">
        <v>95</v>
      </c>
      <c r="F67" s="6">
        <v>95</v>
      </c>
      <c r="G67" s="6">
        <v>98</v>
      </c>
      <c r="H67" s="6">
        <v>97</v>
      </c>
      <c r="I67" s="6">
        <v>96</v>
      </c>
      <c r="J67" s="6">
        <v>95</v>
      </c>
    </row>
    <row r="68" spans="1:10" ht="12.75" hidden="1">
      <c r="A68"/>
      <c r="B68" s="2" t="s">
        <v>58</v>
      </c>
      <c r="D68" s="6">
        <v>20</v>
      </c>
      <c r="E68" s="6">
        <v>20</v>
      </c>
      <c r="F68" s="6">
        <v>21</v>
      </c>
      <c r="G68" s="6">
        <v>21</v>
      </c>
      <c r="H68" s="6">
        <v>21</v>
      </c>
      <c r="I68" s="6">
        <v>21</v>
      </c>
      <c r="J68" s="6">
        <v>21</v>
      </c>
    </row>
    <row r="69" spans="1:10" ht="12.75" hidden="1">
      <c r="A69" s="2" t="s">
        <v>59</v>
      </c>
      <c r="D69" s="36">
        <f aca="true" t="shared" si="20" ref="D69:J69">SUM(D65:D68)</f>
        <v>129061</v>
      </c>
      <c r="E69" s="36">
        <f t="shared" si="20"/>
        <v>129192</v>
      </c>
      <c r="F69" s="36">
        <f t="shared" si="20"/>
        <v>129490</v>
      </c>
      <c r="G69" s="36">
        <f t="shared" si="20"/>
        <v>129888</v>
      </c>
      <c r="H69" s="36">
        <f t="shared" si="20"/>
        <v>130451</v>
      </c>
      <c r="I69" s="36">
        <f t="shared" si="20"/>
        <v>131281</v>
      </c>
      <c r="J69" s="36">
        <f t="shared" si="20"/>
        <v>131646</v>
      </c>
    </row>
    <row r="70" spans="1:17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0" ht="12.75">
      <c r="A71" s="9" t="s">
        <v>60</v>
      </c>
      <c r="J71" s="8"/>
    </row>
    <row r="72" spans="1:16" ht="12.75">
      <c r="A72" s="5" t="s">
        <v>61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/>
      <c r="B73"/>
      <c r="C73"/>
      <c r="D73" s="38">
        <v>39448</v>
      </c>
      <c r="E73" s="38">
        <v>39479</v>
      </c>
      <c r="F73" s="38">
        <v>39508</v>
      </c>
      <c r="G73" s="38">
        <v>39539</v>
      </c>
      <c r="H73" s="38">
        <v>39569</v>
      </c>
      <c r="I73" s="38">
        <v>39600</v>
      </c>
      <c r="J73" s="38">
        <v>39630</v>
      </c>
      <c r="K73" s="38">
        <v>39661</v>
      </c>
      <c r="L73" s="38">
        <v>39692</v>
      </c>
      <c r="M73" s="38">
        <v>39722</v>
      </c>
      <c r="N73" s="38">
        <v>39753</v>
      </c>
      <c r="O73" s="38">
        <v>39783</v>
      </c>
      <c r="P73" s="29" t="s">
        <v>20</v>
      </c>
    </row>
    <row r="74" spans="1:16" ht="12.75">
      <c r="A74" s="2" t="s">
        <v>50</v>
      </c>
      <c r="D74" s="11">
        <v>1169</v>
      </c>
      <c r="E74" s="11">
        <f>916+29</f>
        <v>945</v>
      </c>
      <c r="F74" s="11">
        <v>790</v>
      </c>
      <c r="G74" s="11">
        <v>557</v>
      </c>
      <c r="H74" s="11">
        <v>338</v>
      </c>
      <c r="I74" s="11">
        <v>149</v>
      </c>
      <c r="J74" s="11">
        <v>44</v>
      </c>
      <c r="K74" s="11">
        <v>42</v>
      </c>
      <c r="L74" s="11">
        <v>196</v>
      </c>
      <c r="M74" s="11">
        <v>554</v>
      </c>
      <c r="N74" s="11">
        <v>897</v>
      </c>
      <c r="O74" s="11">
        <v>1168</v>
      </c>
      <c r="P74" s="8">
        <f>SUM(D74:O74)</f>
        <v>6849</v>
      </c>
    </row>
    <row r="75" spans="1:16" ht="12.75">
      <c r="A75" s="39" t="s">
        <v>51</v>
      </c>
      <c r="B75"/>
      <c r="C75"/>
      <c r="D75" s="72">
        <v>1243</v>
      </c>
      <c r="E75" s="72">
        <v>952</v>
      </c>
      <c r="F75" s="72">
        <v>880</v>
      </c>
      <c r="G75" s="72">
        <v>683</v>
      </c>
      <c r="H75" s="72">
        <v>274</v>
      </c>
      <c r="I75" s="72">
        <v>176</v>
      </c>
      <c r="J75" s="40">
        <f aca="true" t="shared" si="21" ref="J75:O75">J74</f>
        <v>44</v>
      </c>
      <c r="K75" s="40">
        <f t="shared" si="21"/>
        <v>42</v>
      </c>
      <c r="L75" s="40">
        <f t="shared" si="21"/>
        <v>196</v>
      </c>
      <c r="M75" s="40">
        <f t="shared" si="21"/>
        <v>554</v>
      </c>
      <c r="N75" s="40">
        <f t="shared" si="21"/>
        <v>897</v>
      </c>
      <c r="O75" s="40">
        <f t="shared" si="21"/>
        <v>1168</v>
      </c>
      <c r="P75" s="8">
        <f>SUM(D75:O75)</f>
        <v>7109</v>
      </c>
    </row>
    <row r="76" spans="1:16" ht="12.75">
      <c r="A76" s="1" t="s">
        <v>62</v>
      </c>
      <c r="B76"/>
      <c r="C76"/>
      <c r="D76" s="13">
        <f aca="true" t="shared" si="22" ref="D76:O76">D74-D75</f>
        <v>-74</v>
      </c>
      <c r="E76" s="13">
        <f t="shared" si="22"/>
        <v>-7</v>
      </c>
      <c r="F76" s="13">
        <f t="shared" si="22"/>
        <v>-90</v>
      </c>
      <c r="G76" s="13">
        <f t="shared" si="22"/>
        <v>-126</v>
      </c>
      <c r="H76" s="13">
        <f t="shared" si="22"/>
        <v>64</v>
      </c>
      <c r="I76" s="13">
        <f t="shared" si="22"/>
        <v>-27</v>
      </c>
      <c r="J76" s="13">
        <f t="shared" si="22"/>
        <v>0</v>
      </c>
      <c r="K76" s="13">
        <f t="shared" si="22"/>
        <v>0</v>
      </c>
      <c r="L76" s="13">
        <f t="shared" si="22"/>
        <v>0</v>
      </c>
      <c r="M76" s="13">
        <f t="shared" si="22"/>
        <v>0</v>
      </c>
      <c r="N76" s="13">
        <f t="shared" si="22"/>
        <v>0</v>
      </c>
      <c r="O76" s="13">
        <f t="shared" si="22"/>
        <v>0</v>
      </c>
      <c r="P76" s="10">
        <f>SUM(D76:O76)</f>
        <v>-260</v>
      </c>
    </row>
    <row r="77" spans="1:16" ht="12.75">
      <c r="A77" s="1"/>
      <c r="B77" s="41"/>
      <c r="C77" s="42" t="s">
        <v>63</v>
      </c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2.75">
      <c r="A78" t="s">
        <v>46</v>
      </c>
      <c r="B78"/>
      <c r="C78" s="29" t="s">
        <v>64</v>
      </c>
      <c r="D78" s="43">
        <v>0.101</v>
      </c>
      <c r="E78" s="43">
        <v>0.101</v>
      </c>
      <c r="F78" s="43">
        <v>0.101</v>
      </c>
      <c r="G78" s="43">
        <v>0.09</v>
      </c>
      <c r="H78" s="43">
        <v>0.09</v>
      </c>
      <c r="I78" s="43">
        <v>0.09</v>
      </c>
      <c r="J78" s="43">
        <v>0</v>
      </c>
      <c r="K78" s="43">
        <v>0</v>
      </c>
      <c r="L78" s="43">
        <v>0</v>
      </c>
      <c r="M78" s="43">
        <v>0.09</v>
      </c>
      <c r="N78" s="43">
        <v>0.09</v>
      </c>
      <c r="O78" s="43">
        <v>0.101</v>
      </c>
      <c r="P78"/>
    </row>
    <row r="79" spans="1:16" ht="12.75">
      <c r="A79" t="s">
        <v>47</v>
      </c>
      <c r="B79"/>
      <c r="C79" s="29" t="s">
        <v>64</v>
      </c>
      <c r="D79" s="43">
        <v>0.243</v>
      </c>
      <c r="E79" s="43">
        <v>0.243</v>
      </c>
      <c r="F79" s="43">
        <v>0.243</v>
      </c>
      <c r="G79" s="43">
        <v>0.169</v>
      </c>
      <c r="H79" s="43">
        <v>0.169</v>
      </c>
      <c r="I79" s="43">
        <v>0.169</v>
      </c>
      <c r="J79" s="43">
        <v>0</v>
      </c>
      <c r="K79" s="43">
        <v>0</v>
      </c>
      <c r="L79" s="43">
        <v>0</v>
      </c>
      <c r="M79" s="43">
        <v>0.169</v>
      </c>
      <c r="N79" s="43">
        <v>0.169</v>
      </c>
      <c r="O79" s="43">
        <v>0.243</v>
      </c>
      <c r="P79"/>
    </row>
    <row r="80" spans="1:16" ht="12.75">
      <c r="A80" t="s">
        <v>48</v>
      </c>
      <c r="B80"/>
      <c r="C80" s="29" t="s">
        <v>64</v>
      </c>
      <c r="D80" s="43">
        <v>0.422</v>
      </c>
      <c r="E80" s="43">
        <v>0.422</v>
      </c>
      <c r="F80" s="43">
        <v>0.422</v>
      </c>
      <c r="G80" s="43">
        <v>0.306</v>
      </c>
      <c r="H80" s="43">
        <v>0.306</v>
      </c>
      <c r="I80" s="43">
        <v>0.306</v>
      </c>
      <c r="J80" s="43">
        <v>0</v>
      </c>
      <c r="K80" s="43">
        <v>0</v>
      </c>
      <c r="L80" s="43">
        <v>0</v>
      </c>
      <c r="M80" s="43">
        <v>0.306</v>
      </c>
      <c r="N80" s="43">
        <v>0.306</v>
      </c>
      <c r="O80" s="43">
        <v>0.422</v>
      </c>
      <c r="P80"/>
    </row>
    <row r="81" spans="1:16" ht="12.75">
      <c r="A81"/>
      <c r="B81" s="14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2.75">
      <c r="A82" s="5" t="s">
        <v>43</v>
      </c>
      <c r="B82" s="14"/>
      <c r="C82" s="14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2.75">
      <c r="A83" t="s">
        <v>46</v>
      </c>
      <c r="B83"/>
      <c r="C83"/>
      <c r="D83" s="30">
        <f aca="true" t="shared" si="23" ref="D83:O83">ROUND(D$76*D78*D107,0)</f>
        <v>-927934</v>
      </c>
      <c r="E83" s="30">
        <f t="shared" si="23"/>
        <v>-87884</v>
      </c>
      <c r="F83" s="30">
        <f t="shared" si="23"/>
        <v>-1130678</v>
      </c>
      <c r="G83" s="30">
        <f t="shared" si="23"/>
        <v>-1410719</v>
      </c>
      <c r="H83" s="30">
        <f t="shared" si="23"/>
        <v>717708</v>
      </c>
      <c r="I83" s="30">
        <f t="shared" si="23"/>
        <v>-302190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0</v>
      </c>
      <c r="O83" s="30">
        <f t="shared" si="23"/>
        <v>0</v>
      </c>
      <c r="P83" s="30">
        <f>SUM(D83:O83)</f>
        <v>-3141697</v>
      </c>
    </row>
    <row r="84" spans="1:16" ht="12.75">
      <c r="A84" t="s">
        <v>47</v>
      </c>
      <c r="B84"/>
      <c r="C84"/>
      <c r="D84" s="30">
        <f aca="true" t="shared" si="24" ref="D84:O84">ROUND(D$76*D79*D108,0)</f>
        <v>-202100</v>
      </c>
      <c r="E84" s="30">
        <f t="shared" si="24"/>
        <v>-19186</v>
      </c>
      <c r="F84" s="30">
        <f t="shared" si="24"/>
        <v>-246890</v>
      </c>
      <c r="G84" s="30">
        <f t="shared" si="24"/>
        <v>-239770</v>
      </c>
      <c r="H84" s="30">
        <f t="shared" si="24"/>
        <v>121410</v>
      </c>
      <c r="I84" s="30">
        <f t="shared" si="24"/>
        <v>-51320</v>
      </c>
      <c r="J84" s="30">
        <f t="shared" si="24"/>
        <v>0</v>
      </c>
      <c r="K84" s="30">
        <f t="shared" si="24"/>
        <v>0</v>
      </c>
      <c r="L84" s="30">
        <f t="shared" si="24"/>
        <v>0</v>
      </c>
      <c r="M84" s="30">
        <f t="shared" si="24"/>
        <v>0</v>
      </c>
      <c r="N84" s="30">
        <f t="shared" si="24"/>
        <v>0</v>
      </c>
      <c r="O84" s="30">
        <f t="shared" si="24"/>
        <v>0</v>
      </c>
      <c r="P84" s="30">
        <f>SUM(D84:O84)</f>
        <v>-637856</v>
      </c>
    </row>
    <row r="85" spans="1:16" ht="12.75">
      <c r="A85" t="s">
        <v>48</v>
      </c>
      <c r="B85"/>
      <c r="C85"/>
      <c r="D85" s="30">
        <f aca="true" t="shared" si="25" ref="D85:O85">ROUND(D$76*D80*D109,0)</f>
        <v>-2935</v>
      </c>
      <c r="E85" s="30">
        <f t="shared" si="25"/>
        <v>-272</v>
      </c>
      <c r="F85" s="30">
        <f t="shared" si="25"/>
        <v>-3456</v>
      </c>
      <c r="G85" s="30">
        <f t="shared" si="25"/>
        <v>-3509</v>
      </c>
      <c r="H85" s="30">
        <f t="shared" si="25"/>
        <v>1723</v>
      </c>
      <c r="I85" s="30">
        <f t="shared" si="25"/>
        <v>-752</v>
      </c>
      <c r="J85" s="30">
        <f t="shared" si="25"/>
        <v>0</v>
      </c>
      <c r="K85" s="30">
        <f t="shared" si="25"/>
        <v>0</v>
      </c>
      <c r="L85" s="30">
        <f t="shared" si="25"/>
        <v>0</v>
      </c>
      <c r="M85" s="30">
        <f t="shared" si="25"/>
        <v>0</v>
      </c>
      <c r="N85" s="30">
        <f t="shared" si="25"/>
        <v>0</v>
      </c>
      <c r="O85" s="30">
        <f t="shared" si="25"/>
        <v>0</v>
      </c>
      <c r="P85" s="30">
        <f>SUM(D85:O85)</f>
        <v>-9201</v>
      </c>
    </row>
    <row r="86" spans="1:16" ht="12.75">
      <c r="A86" t="s">
        <v>65</v>
      </c>
      <c r="B86"/>
      <c r="C86"/>
      <c r="D86" s="31">
        <f aca="true" t="shared" si="26" ref="D86:P86">SUM(D83:D85)</f>
        <v>-1132969</v>
      </c>
      <c r="E86" s="31">
        <f t="shared" si="26"/>
        <v>-107342</v>
      </c>
      <c r="F86" s="31">
        <f t="shared" si="26"/>
        <v>-1381024</v>
      </c>
      <c r="G86" s="31">
        <f t="shared" si="26"/>
        <v>-1653998</v>
      </c>
      <c r="H86" s="31">
        <f t="shared" si="26"/>
        <v>840841</v>
      </c>
      <c r="I86" s="31">
        <f t="shared" si="26"/>
        <v>-354262</v>
      </c>
      <c r="J86" s="31">
        <f t="shared" si="26"/>
        <v>0</v>
      </c>
      <c r="K86" s="31">
        <f t="shared" si="26"/>
        <v>0</v>
      </c>
      <c r="L86" s="31">
        <f t="shared" si="26"/>
        <v>0</v>
      </c>
      <c r="M86" s="31">
        <f t="shared" si="26"/>
        <v>0</v>
      </c>
      <c r="N86" s="31">
        <f t="shared" si="26"/>
        <v>0</v>
      </c>
      <c r="O86" s="31">
        <f t="shared" si="26"/>
        <v>0</v>
      </c>
      <c r="P86" s="31">
        <f t="shared" si="26"/>
        <v>-3788754</v>
      </c>
    </row>
    <row r="87" spans="1:1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2.75">
      <c r="A89" s="5" t="s">
        <v>66</v>
      </c>
      <c r="B89"/>
      <c r="C89"/>
      <c r="D89" s="32"/>
      <c r="E89"/>
      <c r="F89" s="44"/>
      <c r="G89" s="44"/>
      <c r="H89"/>
      <c r="I89"/>
      <c r="J89"/>
      <c r="K89"/>
      <c r="L89"/>
      <c r="M89"/>
      <c r="N89"/>
      <c r="O89"/>
      <c r="P89"/>
    </row>
    <row r="90" spans="1:16" ht="12.75">
      <c r="A90" s="25"/>
      <c r="B90"/>
      <c r="C90"/>
      <c r="D90" s="45">
        <v>39417</v>
      </c>
      <c r="E90" s="45">
        <v>39448</v>
      </c>
      <c r="F90" s="46">
        <v>39479</v>
      </c>
      <c r="G90" s="46">
        <v>39508</v>
      </c>
      <c r="H90" s="45">
        <v>39539</v>
      </c>
      <c r="I90" s="45">
        <v>39569</v>
      </c>
      <c r="J90" s="45">
        <v>39600</v>
      </c>
      <c r="K90" s="45">
        <v>39630</v>
      </c>
      <c r="L90" s="45">
        <v>39661</v>
      </c>
      <c r="M90" s="45">
        <v>39692</v>
      </c>
      <c r="N90" s="45">
        <v>39722</v>
      </c>
      <c r="O90" s="45">
        <v>39753</v>
      </c>
      <c r="P90" s="45">
        <v>39783</v>
      </c>
    </row>
    <row r="91" spans="1:16" ht="12.75">
      <c r="A91" t="s">
        <v>41</v>
      </c>
      <c r="B91"/>
      <c r="C91"/>
      <c r="D91" s="47">
        <f>J41</f>
        <v>702.2</v>
      </c>
      <c r="E91" s="73">
        <v>756.7</v>
      </c>
      <c r="F91" s="73">
        <v>554.3</v>
      </c>
      <c r="G91" s="73">
        <v>549</v>
      </c>
      <c r="H91" s="73">
        <v>424.2</v>
      </c>
      <c r="I91" s="73">
        <v>140.1</v>
      </c>
      <c r="J91" s="73">
        <v>71.2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</row>
    <row r="92" spans="1:16" ht="12.75">
      <c r="A92" t="s">
        <v>42</v>
      </c>
      <c r="B92"/>
      <c r="C92"/>
      <c r="D92" s="28">
        <f>J42</f>
        <v>0.61</v>
      </c>
      <c r="E92" s="74">
        <v>0.5791</v>
      </c>
      <c r="F92" s="74">
        <v>0.599</v>
      </c>
      <c r="G92" s="74">
        <v>0.6132</v>
      </c>
      <c r="H92" s="74">
        <v>0.6425</v>
      </c>
      <c r="I92" s="74">
        <v>0.6361</v>
      </c>
      <c r="J92" s="74">
        <v>0.633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</row>
    <row r="93" spans="1:16" ht="12.75">
      <c r="A93" s="1"/>
      <c r="B93" s="41" t="s">
        <v>67</v>
      </c>
      <c r="C93" s="42" t="s">
        <v>63</v>
      </c>
      <c r="D93" s="28"/>
      <c r="E93" s="50"/>
      <c r="F93" s="51"/>
      <c r="G93" s="51"/>
      <c r="H93" s="50"/>
      <c r="I93" s="50"/>
      <c r="J93" s="50"/>
      <c r="K93" s="50"/>
      <c r="L93" s="50"/>
      <c r="M93" s="50"/>
      <c r="N93" s="50"/>
      <c r="O93" s="50"/>
      <c r="P93" s="52"/>
    </row>
    <row r="94" spans="1:16" ht="12.75">
      <c r="A94" t="s">
        <v>46</v>
      </c>
      <c r="B94" s="20">
        <v>15</v>
      </c>
      <c r="C94" s="29" t="s">
        <v>64</v>
      </c>
      <c r="D94" s="53">
        <v>0.1005</v>
      </c>
      <c r="E94" s="53">
        <v>0.1005</v>
      </c>
      <c r="F94" s="54">
        <v>0.1005</v>
      </c>
      <c r="G94" s="54">
        <f>(F94+H94)/2</f>
        <v>0.09505</v>
      </c>
      <c r="H94" s="53">
        <v>0.0896</v>
      </c>
      <c r="I94" s="53">
        <v>0.0896</v>
      </c>
      <c r="J94" s="53">
        <f>(I94+K94)/2</f>
        <v>0.0448</v>
      </c>
      <c r="K94" s="53">
        <v>0</v>
      </c>
      <c r="L94" s="53">
        <v>0</v>
      </c>
      <c r="M94" s="53">
        <f>(L94+N94)/2</f>
        <v>0.0448</v>
      </c>
      <c r="N94" s="53">
        <v>0.0896</v>
      </c>
      <c r="O94" s="53">
        <f>(N94+P94)/2</f>
        <v>0.09505</v>
      </c>
      <c r="P94" s="53">
        <v>0.1005</v>
      </c>
    </row>
    <row r="95" spans="1:16" ht="12.75">
      <c r="A95" t="s">
        <v>47</v>
      </c>
      <c r="B95" s="20">
        <v>12</v>
      </c>
      <c r="C95" s="29" t="s">
        <v>64</v>
      </c>
      <c r="D95" s="53">
        <v>0.2427</v>
      </c>
      <c r="E95" s="53">
        <v>0.2427</v>
      </c>
      <c r="F95" s="54">
        <v>0.2427</v>
      </c>
      <c r="G95" s="54">
        <f>(F95+H95)/2</f>
        <v>0.20575</v>
      </c>
      <c r="H95" s="53">
        <v>0.1688</v>
      </c>
      <c r="I95" s="53">
        <v>0.1688</v>
      </c>
      <c r="J95" s="53">
        <f>(I95+K95)/2</f>
        <v>0.0844</v>
      </c>
      <c r="K95" s="53">
        <v>0</v>
      </c>
      <c r="L95" s="53">
        <v>0</v>
      </c>
      <c r="M95" s="53">
        <f>(L95+N95)/2</f>
        <v>0.0844</v>
      </c>
      <c r="N95" s="53">
        <v>0.1688</v>
      </c>
      <c r="O95" s="53">
        <f>(N95+P95)/2</f>
        <v>0.20575</v>
      </c>
      <c r="P95" s="53">
        <v>0.2427</v>
      </c>
    </row>
    <row r="96" spans="1:16" ht="12.75">
      <c r="A96" t="s">
        <v>48</v>
      </c>
      <c r="B96" s="20">
        <v>0</v>
      </c>
      <c r="C96" s="29" t="s">
        <v>64</v>
      </c>
      <c r="D96" s="53">
        <v>0.4222</v>
      </c>
      <c r="E96" s="53">
        <v>0.4222</v>
      </c>
      <c r="F96" s="54">
        <v>0.4222</v>
      </c>
      <c r="G96" s="54">
        <f>(F96+H96)/2</f>
        <v>0.36385</v>
      </c>
      <c r="H96" s="53">
        <v>0.3055</v>
      </c>
      <c r="I96" s="53">
        <v>0.3055</v>
      </c>
      <c r="J96" s="53">
        <f>(I96+K96)/2</f>
        <v>0.15275</v>
      </c>
      <c r="K96" s="53">
        <v>0</v>
      </c>
      <c r="L96" s="53">
        <v>0</v>
      </c>
      <c r="M96" s="53">
        <f>(L96+N96)/2</f>
        <v>0.15275</v>
      </c>
      <c r="N96" s="53">
        <v>0.3055</v>
      </c>
      <c r="O96" s="53">
        <f>(N96+P96)/2</f>
        <v>0.36385</v>
      </c>
      <c r="P96" s="53">
        <v>0.4222</v>
      </c>
    </row>
    <row r="97" spans="1:16" ht="12.75">
      <c r="A97"/>
      <c r="B97"/>
      <c r="C97" s="14"/>
      <c r="D97" s="28"/>
      <c r="E97" s="50"/>
      <c r="F97" s="51"/>
      <c r="G97" s="51"/>
      <c r="H97" s="50"/>
      <c r="I97" s="50"/>
      <c r="J97" s="50"/>
      <c r="K97" s="50"/>
      <c r="L97" s="50"/>
      <c r="M97" s="50"/>
      <c r="N97" s="50"/>
      <c r="O97" s="50"/>
      <c r="P97" s="52"/>
    </row>
    <row r="98" spans="1:16" ht="12.75">
      <c r="A98" s="5" t="s">
        <v>43</v>
      </c>
      <c r="B98" s="41"/>
      <c r="C98" s="29"/>
      <c r="D98" s="28"/>
      <c r="E98" s="50"/>
      <c r="F98" s="51"/>
      <c r="G98" s="51"/>
      <c r="H98" s="50"/>
      <c r="I98" s="50"/>
      <c r="J98" s="50"/>
      <c r="K98" s="50"/>
      <c r="L98" s="50"/>
      <c r="M98" s="50"/>
      <c r="N98" s="50"/>
      <c r="O98" s="50"/>
      <c r="P98" s="52"/>
    </row>
    <row r="99" spans="1:16" ht="12.75">
      <c r="A99" t="s">
        <v>46</v>
      </c>
      <c r="B99"/>
      <c r="C99"/>
      <c r="D99" s="30">
        <f aca="true" t="shared" si="27" ref="D99:P99">ROUND((D$91*D94)*C107,0)+ROUND(($B94*D$92)*C107,0)</f>
        <v>9874335</v>
      </c>
      <c r="E99" s="30">
        <f t="shared" si="27"/>
        <v>10520255</v>
      </c>
      <c r="F99" s="30">
        <f t="shared" si="27"/>
        <v>8041622</v>
      </c>
      <c r="G99" s="30">
        <f t="shared" si="27"/>
        <v>7634930</v>
      </c>
      <c r="H99" s="30">
        <f t="shared" si="27"/>
        <v>5927235</v>
      </c>
      <c r="I99" s="30">
        <f t="shared" si="27"/>
        <v>2753014</v>
      </c>
      <c r="J99" s="30">
        <f t="shared" si="27"/>
        <v>1577451</v>
      </c>
      <c r="K99" s="30">
        <f t="shared" si="27"/>
        <v>0</v>
      </c>
      <c r="L99" s="30">
        <f t="shared" si="27"/>
        <v>0</v>
      </c>
      <c r="M99" s="30">
        <f t="shared" si="27"/>
        <v>0</v>
      </c>
      <c r="N99" s="30">
        <f t="shared" si="27"/>
        <v>0</v>
      </c>
      <c r="O99" s="30">
        <f t="shared" si="27"/>
        <v>0</v>
      </c>
      <c r="P99" s="30">
        <f t="shared" si="27"/>
        <v>0</v>
      </c>
    </row>
    <row r="100" spans="1:16" ht="12.75">
      <c r="A100" t="s">
        <v>47</v>
      </c>
      <c r="B100"/>
      <c r="C100"/>
      <c r="D100" s="30">
        <f aca="true" t="shared" si="28" ref="D100:P100">ROUND((D$91*D95)*C108,0)+ROUND(($B95*D$92)*C108,0)</f>
        <v>2005485</v>
      </c>
      <c r="E100" s="30">
        <f t="shared" si="28"/>
        <v>2142157</v>
      </c>
      <c r="F100" s="30">
        <f t="shared" si="28"/>
        <v>1598421</v>
      </c>
      <c r="G100" s="30">
        <f t="shared" si="28"/>
        <v>1358238</v>
      </c>
      <c r="H100" s="30">
        <f t="shared" si="28"/>
        <v>893087</v>
      </c>
      <c r="I100" s="30">
        <f t="shared" si="28"/>
        <v>351142</v>
      </c>
      <c r="J100" s="30">
        <f t="shared" si="28"/>
        <v>153018</v>
      </c>
      <c r="K100" s="30">
        <f t="shared" si="28"/>
        <v>0</v>
      </c>
      <c r="L100" s="30">
        <f t="shared" si="28"/>
        <v>0</v>
      </c>
      <c r="M100" s="30">
        <f t="shared" si="28"/>
        <v>0</v>
      </c>
      <c r="N100" s="30">
        <f t="shared" si="28"/>
        <v>0</v>
      </c>
      <c r="O100" s="30">
        <f t="shared" si="28"/>
        <v>0</v>
      </c>
      <c r="P100" s="30">
        <f t="shared" si="28"/>
        <v>0</v>
      </c>
    </row>
    <row r="101" spans="1:16" ht="12.75">
      <c r="A101" t="s">
        <v>48</v>
      </c>
      <c r="B101"/>
      <c r="C101"/>
      <c r="D101" s="30">
        <f aca="true" t="shared" si="29" ref="D101:P101">ROUND((D$91*D96)*C109,0)+ROUND(($B96*D$92)*C109,0)</f>
        <v>27275</v>
      </c>
      <c r="E101" s="30">
        <f t="shared" si="29"/>
        <v>30031</v>
      </c>
      <c r="F101" s="30">
        <f t="shared" si="29"/>
        <v>21530</v>
      </c>
      <c r="G101" s="30">
        <f t="shared" si="29"/>
        <v>18178</v>
      </c>
      <c r="H101" s="30">
        <f t="shared" si="29"/>
        <v>11793</v>
      </c>
      <c r="I101" s="30">
        <f t="shared" si="29"/>
        <v>3766</v>
      </c>
      <c r="J101" s="30">
        <f t="shared" si="29"/>
        <v>990</v>
      </c>
      <c r="K101" s="30">
        <f t="shared" si="29"/>
        <v>0</v>
      </c>
      <c r="L101" s="30">
        <f t="shared" si="29"/>
        <v>0</v>
      </c>
      <c r="M101" s="30">
        <f t="shared" si="29"/>
        <v>0</v>
      </c>
      <c r="N101" s="30">
        <f t="shared" si="29"/>
        <v>0</v>
      </c>
      <c r="O101" s="30">
        <f t="shared" si="29"/>
        <v>0</v>
      </c>
      <c r="P101" s="30">
        <f t="shared" si="29"/>
        <v>0</v>
      </c>
    </row>
    <row r="102" spans="1:16" ht="12.75">
      <c r="A102" t="s">
        <v>68</v>
      </c>
      <c r="B102"/>
      <c r="C102"/>
      <c r="D102" s="31">
        <f aca="true" t="shared" si="30" ref="D102:P102">SUM(D99:D101)</f>
        <v>11907095</v>
      </c>
      <c r="E102" s="31">
        <f t="shared" si="30"/>
        <v>12692443</v>
      </c>
      <c r="F102" s="31">
        <f t="shared" si="30"/>
        <v>9661573</v>
      </c>
      <c r="G102" s="31">
        <f t="shared" si="30"/>
        <v>9011346</v>
      </c>
      <c r="H102" s="31">
        <f t="shared" si="30"/>
        <v>6832115</v>
      </c>
      <c r="I102" s="31">
        <f t="shared" si="30"/>
        <v>3107922</v>
      </c>
      <c r="J102" s="31">
        <f t="shared" si="30"/>
        <v>1731459</v>
      </c>
      <c r="K102" s="31">
        <f t="shared" si="30"/>
        <v>0</v>
      </c>
      <c r="L102" s="31">
        <f t="shared" si="30"/>
        <v>0</v>
      </c>
      <c r="M102" s="31">
        <f t="shared" si="30"/>
        <v>0</v>
      </c>
      <c r="N102" s="31">
        <f t="shared" si="30"/>
        <v>0</v>
      </c>
      <c r="O102" s="31">
        <f t="shared" si="30"/>
        <v>0</v>
      </c>
      <c r="P102" s="31">
        <f t="shared" si="30"/>
        <v>0</v>
      </c>
    </row>
    <row r="103" spans="1:16" ht="12.75">
      <c r="A103"/>
      <c r="B103"/>
      <c r="C103"/>
      <c r="D103"/>
      <c r="E103"/>
      <c r="F103" s="44"/>
      <c r="G103" s="44"/>
      <c r="H103"/>
      <c r="I103"/>
      <c r="J103"/>
      <c r="K103"/>
      <c r="L103"/>
      <c r="M103"/>
      <c r="N103"/>
      <c r="O103"/>
      <c r="P103"/>
    </row>
    <row r="104" spans="1:1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2.75">
      <c r="A105" s="1" t="s">
        <v>69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.75">
      <c r="A106" s="1"/>
      <c r="B106" t="s">
        <v>70</v>
      </c>
      <c r="C106" s="45">
        <v>38687</v>
      </c>
      <c r="D106" s="45">
        <v>38718</v>
      </c>
      <c r="E106" s="45">
        <v>38749</v>
      </c>
      <c r="F106" s="45">
        <v>38777</v>
      </c>
      <c r="G106" s="45">
        <v>38808</v>
      </c>
      <c r="H106" s="45">
        <v>38838</v>
      </c>
      <c r="I106" s="45">
        <v>38869</v>
      </c>
      <c r="J106" s="45">
        <v>38899</v>
      </c>
      <c r="K106" s="45">
        <v>38930</v>
      </c>
      <c r="L106" s="45">
        <v>38961</v>
      </c>
      <c r="M106" s="45">
        <v>38991</v>
      </c>
      <c r="N106" s="45">
        <v>39022</v>
      </c>
      <c r="O106" s="45">
        <v>39052</v>
      </c>
      <c r="P106" s="55" t="s">
        <v>71</v>
      </c>
    </row>
    <row r="107" spans="1:16" ht="12.75">
      <c r="A107" t="s">
        <v>72</v>
      </c>
      <c r="B107" s="56" t="s">
        <v>73</v>
      </c>
      <c r="C107" s="30">
        <v>123861</v>
      </c>
      <c r="D107" s="30">
        <v>124155</v>
      </c>
      <c r="E107" s="30">
        <v>124306</v>
      </c>
      <c r="F107" s="30">
        <v>124387</v>
      </c>
      <c r="G107" s="30">
        <v>124402</v>
      </c>
      <c r="H107" s="30">
        <v>124602</v>
      </c>
      <c r="I107" s="30">
        <v>124358</v>
      </c>
      <c r="J107" s="30">
        <v>124482</v>
      </c>
      <c r="K107" s="30">
        <v>124715</v>
      </c>
      <c r="L107" s="30">
        <v>125061</v>
      </c>
      <c r="M107" s="30">
        <v>125868</v>
      </c>
      <c r="N107" s="30">
        <v>126533</v>
      </c>
      <c r="O107" s="30">
        <v>127078</v>
      </c>
      <c r="P107" s="30">
        <f>SUM(D107:O107)</f>
        <v>1499947</v>
      </c>
    </row>
    <row r="108" spans="1:16" ht="12.75">
      <c r="A108" t="s">
        <v>74</v>
      </c>
      <c r="B108" s="56" t="s">
        <v>75</v>
      </c>
      <c r="C108" s="30">
        <v>11283</v>
      </c>
      <c r="D108" s="30">
        <v>11239</v>
      </c>
      <c r="E108" s="30">
        <v>11279</v>
      </c>
      <c r="F108" s="30">
        <v>11289</v>
      </c>
      <c r="G108" s="30">
        <v>11260</v>
      </c>
      <c r="H108" s="30">
        <v>11225</v>
      </c>
      <c r="I108" s="30">
        <v>11247</v>
      </c>
      <c r="J108" s="30">
        <v>11226</v>
      </c>
      <c r="K108" s="30">
        <v>11300</v>
      </c>
      <c r="L108" s="30">
        <v>11291</v>
      </c>
      <c r="M108" s="30">
        <v>11323</v>
      </c>
      <c r="N108" s="30">
        <v>11388</v>
      </c>
      <c r="O108" s="30">
        <v>11474</v>
      </c>
      <c r="P108" s="30">
        <f>SUM(D108:O108)</f>
        <v>135541</v>
      </c>
    </row>
    <row r="109" spans="1:16" ht="12.75">
      <c r="A109" t="s">
        <v>76</v>
      </c>
      <c r="B109" s="56" t="s">
        <v>77</v>
      </c>
      <c r="C109" s="30">
        <v>92</v>
      </c>
      <c r="D109" s="30">
        <v>94</v>
      </c>
      <c r="E109" s="30">
        <v>92</v>
      </c>
      <c r="F109" s="30">
        <v>91</v>
      </c>
      <c r="G109" s="30">
        <v>91</v>
      </c>
      <c r="H109" s="30">
        <v>88</v>
      </c>
      <c r="I109" s="30">
        <v>91</v>
      </c>
      <c r="J109" s="30">
        <v>91</v>
      </c>
      <c r="K109" s="30">
        <v>90</v>
      </c>
      <c r="L109" s="30">
        <v>91</v>
      </c>
      <c r="M109" s="30">
        <v>88</v>
      </c>
      <c r="N109" s="30">
        <v>92</v>
      </c>
      <c r="O109" s="30">
        <v>93</v>
      </c>
      <c r="P109" s="30">
        <f>SUM(D109:O109)</f>
        <v>1092</v>
      </c>
    </row>
    <row r="110" spans="1:16" ht="12.75">
      <c r="A110" t="s">
        <v>78</v>
      </c>
      <c r="B110" s="56" t="s">
        <v>79</v>
      </c>
      <c r="C110" s="30"/>
      <c r="D110" s="30">
        <v>22</v>
      </c>
      <c r="E110" s="30">
        <v>22</v>
      </c>
      <c r="F110" s="30">
        <v>22</v>
      </c>
      <c r="G110" s="30">
        <v>22</v>
      </c>
      <c r="H110" s="30">
        <v>23</v>
      </c>
      <c r="I110" s="30">
        <v>23</v>
      </c>
      <c r="J110" s="30">
        <v>23</v>
      </c>
      <c r="K110" s="30">
        <v>23</v>
      </c>
      <c r="L110" s="30">
        <v>23</v>
      </c>
      <c r="M110" s="30">
        <v>23</v>
      </c>
      <c r="N110" s="30">
        <v>23</v>
      </c>
      <c r="O110" s="30">
        <v>22</v>
      </c>
      <c r="P110" s="30">
        <f>SUM(D110:O110)</f>
        <v>271</v>
      </c>
    </row>
    <row r="111" spans="1:16" ht="12.75">
      <c r="A111" t="s">
        <v>68</v>
      </c>
      <c r="B111"/>
      <c r="C111"/>
      <c r="D111" s="13">
        <f aca="true" t="shared" si="31" ref="D111:P111">SUM(D107:D110)</f>
        <v>135510</v>
      </c>
      <c r="E111" s="13">
        <f t="shared" si="31"/>
        <v>135699</v>
      </c>
      <c r="F111" s="13">
        <f t="shared" si="31"/>
        <v>135789</v>
      </c>
      <c r="G111" s="13">
        <f t="shared" si="31"/>
        <v>135775</v>
      </c>
      <c r="H111" s="13">
        <f t="shared" si="31"/>
        <v>135938</v>
      </c>
      <c r="I111" s="13">
        <f t="shared" si="31"/>
        <v>135719</v>
      </c>
      <c r="J111" s="13">
        <f t="shared" si="31"/>
        <v>135822</v>
      </c>
      <c r="K111" s="13">
        <f t="shared" si="31"/>
        <v>136128</v>
      </c>
      <c r="L111" s="13">
        <f t="shared" si="31"/>
        <v>136466</v>
      </c>
      <c r="M111" s="13">
        <f t="shared" si="31"/>
        <v>137302</v>
      </c>
      <c r="N111" s="13">
        <f t="shared" si="31"/>
        <v>138036</v>
      </c>
      <c r="O111" s="13">
        <f t="shared" si="31"/>
        <v>138667</v>
      </c>
      <c r="P111" s="13">
        <f t="shared" si="31"/>
        <v>1636851</v>
      </c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65" r:id="rId1"/>
  <headerFooter alignWithMargins="0">
    <oddFooter>&amp;Lfile: &amp;F / &amp;A&amp;RPage &amp;P of &amp;N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62">
      <selection activeCell="Q12" sqref="Q12"/>
    </sheetView>
  </sheetViews>
  <sheetFormatPr defaultColWidth="9.140625" defaultRowHeight="12.75"/>
  <cols>
    <col min="1" max="1" width="11.7109375" style="0" customWidth="1"/>
    <col min="2" max="2" width="48.28125" style="0" customWidth="1"/>
    <col min="3" max="4" width="14.8515625" style="0" customWidth="1"/>
  </cols>
  <sheetData>
    <row r="1" ht="12.75">
      <c r="A1" t="s">
        <v>88</v>
      </c>
    </row>
    <row r="3" spans="1:4" ht="24.75" customHeight="1">
      <c r="A3" s="62" t="s">
        <v>89</v>
      </c>
      <c r="B3" s="63" t="s">
        <v>90</v>
      </c>
      <c r="C3" s="64" t="s">
        <v>91</v>
      </c>
      <c r="D3" s="64" t="s">
        <v>92</v>
      </c>
    </row>
    <row r="5" spans="1:4" ht="24.75" customHeight="1">
      <c r="A5" s="62" t="s">
        <v>93</v>
      </c>
      <c r="B5" s="75" t="s">
        <v>94</v>
      </c>
      <c r="C5" s="75" t="s">
        <v>95</v>
      </c>
      <c r="D5" s="75" t="s">
        <v>96</v>
      </c>
    </row>
    <row r="6" spans="1:4" ht="12.75">
      <c r="A6" s="65" t="s">
        <v>97</v>
      </c>
      <c r="B6" s="66">
        <v>749641</v>
      </c>
      <c r="C6" s="67">
        <v>18789</v>
      </c>
      <c r="D6" s="66">
        <v>768430</v>
      </c>
    </row>
    <row r="7" spans="1:4" ht="12.75">
      <c r="A7" s="65" t="s">
        <v>98</v>
      </c>
      <c r="B7" s="66">
        <v>768430</v>
      </c>
      <c r="C7" s="67">
        <v>-96832</v>
      </c>
      <c r="D7" s="66">
        <v>671598</v>
      </c>
    </row>
    <row r="8" spans="1:4" ht="12.75">
      <c r="A8" s="65" t="s">
        <v>99</v>
      </c>
      <c r="B8" s="66">
        <v>671598</v>
      </c>
      <c r="C8" s="67">
        <v>6415</v>
      </c>
      <c r="D8" s="66">
        <v>678013</v>
      </c>
    </row>
    <row r="9" spans="1:4" ht="12.75">
      <c r="A9" s="68"/>
      <c r="B9" s="69"/>
      <c r="C9" s="70" t="s">
        <v>100</v>
      </c>
      <c r="D9" s="69"/>
    </row>
    <row r="13" ht="12.75">
      <c r="A13" t="s">
        <v>88</v>
      </c>
    </row>
    <row r="15" spans="1:4" ht="25.5">
      <c r="A15" s="62" t="s">
        <v>101</v>
      </c>
      <c r="B15" s="63" t="s">
        <v>102</v>
      </c>
      <c r="C15" s="64" t="s">
        <v>91</v>
      </c>
      <c r="D15" s="64" t="s">
        <v>92</v>
      </c>
    </row>
    <row r="17" spans="1:4" ht="25.5">
      <c r="A17" s="62" t="s">
        <v>93</v>
      </c>
      <c r="B17" s="75" t="s">
        <v>94</v>
      </c>
      <c r="C17" s="75" t="s">
        <v>95</v>
      </c>
      <c r="D17" s="75" t="s">
        <v>96</v>
      </c>
    </row>
    <row r="18" spans="1:4" ht="12.75">
      <c r="A18" s="65" t="s">
        <v>97</v>
      </c>
      <c r="B18" s="66">
        <v>84370.22</v>
      </c>
      <c r="C18" s="67">
        <v>-27417.47</v>
      </c>
      <c r="D18" s="66">
        <v>56952.75</v>
      </c>
    </row>
    <row r="19" spans="1:4" ht="12.75">
      <c r="A19" s="65" t="s">
        <v>98</v>
      </c>
      <c r="B19" s="66">
        <v>56952.75</v>
      </c>
      <c r="C19" s="67">
        <v>-12012.68</v>
      </c>
      <c r="D19" s="66">
        <v>44940.07</v>
      </c>
    </row>
    <row r="20" spans="1:4" ht="12.75">
      <c r="A20" s="65" t="s">
        <v>99</v>
      </c>
      <c r="B20" s="66">
        <v>44940.07</v>
      </c>
      <c r="C20" s="67">
        <v>-8638.85</v>
      </c>
      <c r="D20" s="66">
        <v>36301.22</v>
      </c>
    </row>
    <row r="21" spans="1:4" ht="12.75">
      <c r="A21" s="68"/>
      <c r="B21" s="69"/>
      <c r="C21" s="70" t="s">
        <v>103</v>
      </c>
      <c r="D21" s="69"/>
    </row>
    <row r="25" ht="12.75">
      <c r="A25" t="s">
        <v>88</v>
      </c>
    </row>
    <row r="27" spans="1:4" ht="25.5">
      <c r="A27" s="62" t="s">
        <v>104</v>
      </c>
      <c r="B27" s="63" t="s">
        <v>105</v>
      </c>
      <c r="C27" s="64" t="s">
        <v>91</v>
      </c>
      <c r="D27" s="64" t="s">
        <v>92</v>
      </c>
    </row>
    <row r="29" spans="1:4" ht="25.5">
      <c r="A29" s="62" t="s">
        <v>93</v>
      </c>
      <c r="B29" s="75" t="s">
        <v>94</v>
      </c>
      <c r="C29" s="75" t="s">
        <v>95</v>
      </c>
      <c r="D29" s="75" t="s">
        <v>96</v>
      </c>
    </row>
    <row r="30" spans="1:4" ht="12.75">
      <c r="A30" s="65" t="s">
        <v>97</v>
      </c>
      <c r="B30" s="66">
        <v>0</v>
      </c>
      <c r="C30" s="67">
        <v>0</v>
      </c>
      <c r="D30" s="66">
        <v>0</v>
      </c>
    </row>
    <row r="31" spans="1:4" ht="12.75">
      <c r="A31" s="65" t="s">
        <v>98</v>
      </c>
      <c r="B31" s="66">
        <v>0</v>
      </c>
      <c r="C31" s="67">
        <v>0</v>
      </c>
      <c r="D31" s="66">
        <v>0</v>
      </c>
    </row>
    <row r="32" spans="1:4" ht="12.75">
      <c r="A32" s="65" t="s">
        <v>99</v>
      </c>
      <c r="B32" s="66">
        <v>0</v>
      </c>
      <c r="C32" s="67">
        <v>0</v>
      </c>
      <c r="D32" s="66">
        <v>0</v>
      </c>
    </row>
    <row r="33" spans="1:4" ht="12.75">
      <c r="A33" s="68"/>
      <c r="B33" s="69"/>
      <c r="C33" s="70" t="s">
        <v>106</v>
      </c>
      <c r="D33" s="69"/>
    </row>
    <row r="37" ht="12.75">
      <c r="A37" t="s">
        <v>88</v>
      </c>
    </row>
    <row r="39" spans="1:4" ht="25.5">
      <c r="A39" s="62" t="s">
        <v>107</v>
      </c>
      <c r="B39" s="63" t="s">
        <v>108</v>
      </c>
      <c r="C39" s="64" t="s">
        <v>91</v>
      </c>
      <c r="D39" s="64" t="s">
        <v>92</v>
      </c>
    </row>
    <row r="41" spans="1:4" ht="25.5">
      <c r="A41" s="62" t="s">
        <v>93</v>
      </c>
      <c r="B41" s="75" t="s">
        <v>94</v>
      </c>
      <c r="C41" s="75" t="s">
        <v>95</v>
      </c>
      <c r="D41" s="75" t="s">
        <v>96</v>
      </c>
    </row>
    <row r="42" spans="1:4" ht="12.75">
      <c r="A42" s="65" t="s">
        <v>97</v>
      </c>
      <c r="B42" s="66">
        <v>-291903.98</v>
      </c>
      <c r="C42" s="67">
        <v>3019.96</v>
      </c>
      <c r="D42" s="66">
        <v>-288884.02</v>
      </c>
    </row>
    <row r="43" spans="1:4" ht="12.75">
      <c r="A43" s="65" t="s">
        <v>98</v>
      </c>
      <c r="B43" s="66">
        <v>-288884.02</v>
      </c>
      <c r="C43" s="67">
        <v>38095.64</v>
      </c>
      <c r="D43" s="66">
        <v>-250788.38</v>
      </c>
    </row>
    <row r="44" spans="1:4" ht="12.75">
      <c r="A44" s="65" t="s">
        <v>99</v>
      </c>
      <c r="B44" s="66">
        <v>-250788.38</v>
      </c>
      <c r="C44" s="67">
        <v>778.35</v>
      </c>
      <c r="D44" s="66">
        <v>-250010.03</v>
      </c>
    </row>
    <row r="45" spans="1:4" ht="12.75">
      <c r="A45" s="68"/>
      <c r="B45" s="69"/>
      <c r="C45" s="70" t="s">
        <v>109</v>
      </c>
      <c r="D45" s="69"/>
    </row>
    <row r="49" ht="12.75">
      <c r="A49" t="s">
        <v>88</v>
      </c>
    </row>
    <row r="51" spans="1:4" ht="25.5">
      <c r="A51" s="62" t="s">
        <v>110</v>
      </c>
      <c r="B51" s="63" t="s">
        <v>111</v>
      </c>
      <c r="C51" s="64" t="s">
        <v>91</v>
      </c>
      <c r="D51" s="64" t="s">
        <v>92</v>
      </c>
    </row>
    <row r="53" spans="1:4" ht="25.5">
      <c r="A53" s="62" t="s">
        <v>93</v>
      </c>
      <c r="B53" s="75" t="s">
        <v>94</v>
      </c>
      <c r="C53" s="75" t="s">
        <v>95</v>
      </c>
      <c r="D53" s="75" t="s">
        <v>96</v>
      </c>
    </row>
    <row r="54" spans="1:4" ht="12.75">
      <c r="A54" s="65" t="s">
        <v>97</v>
      </c>
      <c r="B54" s="66">
        <v>-487485</v>
      </c>
      <c r="C54" s="67">
        <v>-18789</v>
      </c>
      <c r="D54" s="66">
        <v>-506274</v>
      </c>
    </row>
    <row r="55" spans="1:4" ht="12.75">
      <c r="A55" s="65" t="s">
        <v>98</v>
      </c>
      <c r="B55" s="66">
        <v>-506274</v>
      </c>
      <c r="C55" s="67">
        <v>0</v>
      </c>
      <c r="D55" s="66">
        <v>-506274</v>
      </c>
    </row>
    <row r="56" spans="1:4" ht="12.75">
      <c r="A56" s="65" t="s">
        <v>99</v>
      </c>
      <c r="B56" s="66">
        <v>-506274</v>
      </c>
      <c r="C56" s="67">
        <v>-6415</v>
      </c>
      <c r="D56" s="66">
        <v>-512689</v>
      </c>
    </row>
    <row r="57" spans="1:4" ht="12.75">
      <c r="A57" s="68"/>
      <c r="B57" s="69"/>
      <c r="C57" s="70" t="s">
        <v>112</v>
      </c>
      <c r="D57" s="69"/>
    </row>
    <row r="61" ht="12.75">
      <c r="A61" t="s">
        <v>88</v>
      </c>
    </row>
    <row r="63" spans="1:4" ht="25.5">
      <c r="A63" s="62" t="s">
        <v>113</v>
      </c>
      <c r="B63" s="63" t="s">
        <v>114</v>
      </c>
      <c r="C63" s="64" t="s">
        <v>91</v>
      </c>
      <c r="D63" s="64" t="s">
        <v>92</v>
      </c>
    </row>
    <row r="65" spans="1:4" ht="25.5">
      <c r="A65" s="62" t="s">
        <v>93</v>
      </c>
      <c r="B65" s="75" t="s">
        <v>94</v>
      </c>
      <c r="C65" s="75" t="s">
        <v>95</v>
      </c>
      <c r="D65" s="75" t="s">
        <v>96</v>
      </c>
    </row>
    <row r="66" spans="1:4" ht="12.75">
      <c r="A66" s="65" t="s">
        <v>97</v>
      </c>
      <c r="B66" s="66">
        <v>332286</v>
      </c>
      <c r="C66" s="67">
        <v>0</v>
      </c>
      <c r="D66" s="66">
        <v>332286</v>
      </c>
    </row>
    <row r="67" spans="1:4" ht="12.75">
      <c r="A67" s="65" t="s">
        <v>98</v>
      </c>
      <c r="B67" s="66">
        <v>332286</v>
      </c>
      <c r="C67" s="67">
        <v>96832</v>
      </c>
      <c r="D67" s="66">
        <v>429118</v>
      </c>
    </row>
    <row r="68" spans="1:4" ht="12.75">
      <c r="A68" s="65" t="s">
        <v>99</v>
      </c>
      <c r="B68" s="66">
        <v>429118</v>
      </c>
      <c r="C68" s="67">
        <v>0</v>
      </c>
      <c r="D68" s="66">
        <v>429118</v>
      </c>
    </row>
    <row r="69" spans="1:4" ht="12.75">
      <c r="A69" s="68"/>
      <c r="B69" s="69"/>
      <c r="C69" s="70" t="s">
        <v>115</v>
      </c>
      <c r="D69" s="69"/>
    </row>
    <row r="73" ht="12.75">
      <c r="A73" t="s">
        <v>88</v>
      </c>
    </row>
    <row r="75" spans="1:4" ht="25.5">
      <c r="A75" s="62" t="s">
        <v>116</v>
      </c>
      <c r="B75" s="63" t="s">
        <v>117</v>
      </c>
      <c r="C75" s="64" t="s">
        <v>91</v>
      </c>
      <c r="D75" s="64" t="s">
        <v>92</v>
      </c>
    </row>
    <row r="77" spans="1:4" ht="25.5">
      <c r="A77" s="62" t="s">
        <v>93</v>
      </c>
      <c r="B77" s="75" t="s">
        <v>94</v>
      </c>
      <c r="C77" s="75" t="s">
        <v>95</v>
      </c>
      <c r="D77" s="75" t="s">
        <v>96</v>
      </c>
    </row>
    <row r="78" spans="1:4" ht="12.75">
      <c r="A78" s="65" t="s">
        <v>97</v>
      </c>
      <c r="B78" s="66">
        <v>142821.02</v>
      </c>
      <c r="C78" s="67">
        <v>27815</v>
      </c>
      <c r="D78" s="66">
        <v>170636.02</v>
      </c>
    </row>
    <row r="79" spans="1:4" ht="12.75">
      <c r="A79" s="65" t="s">
        <v>98</v>
      </c>
      <c r="B79" s="66">
        <v>170636.02</v>
      </c>
      <c r="C79" s="67">
        <v>12299.29</v>
      </c>
      <c r="D79" s="66">
        <v>182935.31</v>
      </c>
    </row>
    <row r="80" spans="1:4" ht="12.75">
      <c r="A80" s="65" t="s">
        <v>99</v>
      </c>
      <c r="B80" s="66">
        <v>182935.31</v>
      </c>
      <c r="C80" s="67">
        <v>8867.37</v>
      </c>
      <c r="D80" s="66">
        <v>191802.68</v>
      </c>
    </row>
    <row r="81" spans="1:4" ht="12.75">
      <c r="A81" s="68"/>
      <c r="B81" s="69"/>
      <c r="C81" s="70" t="s">
        <v>118</v>
      </c>
      <c r="D81" s="69"/>
    </row>
  </sheetData>
  <sheetProtection/>
  <printOptions/>
  <pageMargins left="0.75" right="0.75" top="0.75" bottom="1" header="0.5" footer="0.5"/>
  <pageSetup horizontalDpi="600" verticalDpi="600" orientation="portrait" r:id="rId1"/>
  <headerFooter alignWithMargins="0">
    <oddFooter>&amp;LFile: &amp;F /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Joni Higgins, Customer Service Specialist 2</cp:lastModifiedBy>
  <cp:lastPrinted>2008-07-28T17:51:40Z</cp:lastPrinted>
  <dcterms:created xsi:type="dcterms:W3CDTF">1996-10-14T23:33:28Z</dcterms:created>
  <dcterms:modified xsi:type="dcterms:W3CDTF">2008-07-29T15:40:41Z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2008-07-28T00:00:00Z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