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aiecon.sharepoint.com/Cases/19 CASES/1921 Puget Sound - RD/GAW Work/"/>
    </mc:Choice>
  </mc:AlternateContent>
  <xr:revisionPtr revIDLastSave="52" documentId="8_{7E6B5B22-5219-4BA6-ADE1-D1395A1A0D44}" xr6:coauthVersionLast="45" xr6:coauthVersionMax="45" xr10:uidLastSave="{DE52F8CE-316D-4D15-9AA3-E2E61C536F5C}"/>
  <bookViews>
    <workbookView xWindow="-120" yWindow="-120" windowWidth="20730" windowHeight="11160" xr2:uid="{00000000-000D-0000-FFFF-FFFF00000000}"/>
  </bookViews>
  <sheets>
    <sheet name="Cust Cost" sheetId="7" r:id="rId1"/>
  </sheets>
  <definedNames>
    <definedName name="_xlnm.Print_Area" localSheetId="0">'Cust Cost'!$B$5:$E$57</definedName>
  </definedNames>
  <calcPr calcId="191029" iterate="1" iterateCount="300" iterateDelta="1E-4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1" i="7" l="1"/>
  <c r="G67" i="7"/>
  <c r="G68" i="7" s="1"/>
  <c r="G66" i="7"/>
  <c r="D34" i="7"/>
  <c r="D18" i="7"/>
  <c r="D12" i="7"/>
  <c r="E42" i="7" l="1"/>
  <c r="E40" i="7"/>
  <c r="D54" i="7"/>
  <c r="D35" i="7"/>
  <c r="D19" i="7"/>
  <c r="E18" i="7"/>
  <c r="D13" i="7"/>
  <c r="E12" i="7"/>
  <c r="E55" i="7" l="1"/>
  <c r="E29" i="7"/>
  <c r="E28" i="7"/>
  <c r="E27" i="7"/>
  <c r="E26" i="7"/>
  <c r="E25" i="7"/>
  <c r="E20" i="7"/>
  <c r="G61" i="7"/>
  <c r="D55" i="7"/>
  <c r="D30" i="7"/>
  <c r="D20" i="7"/>
  <c r="D36" i="7"/>
  <c r="E30" i="7" l="1"/>
  <c r="E46" i="7" s="1"/>
  <c r="D14" i="7"/>
  <c r="G62" i="7"/>
  <c r="D47" i="7"/>
  <c r="D46" i="7"/>
  <c r="E36" i="7" l="1"/>
  <c r="E47" i="7" s="1"/>
  <c r="E14" i="7"/>
  <c r="E22" i="7" s="1"/>
  <c r="G63" i="7"/>
  <c r="D22" i="7"/>
  <c r="E41" i="7" l="1"/>
  <c r="D42" i="7"/>
  <c r="D40" i="7"/>
  <c r="D44" i="7" l="1"/>
  <c r="D49" i="7" s="1"/>
  <c r="D52" i="7" s="1"/>
  <c r="D57" i="7" s="1"/>
  <c r="E44" i="7"/>
  <c r="E49" i="7" s="1"/>
  <c r="E52" i="7" s="1"/>
  <c r="E57" i="7" s="1"/>
</calcChain>
</file>

<file path=xl/sharedStrings.xml><?xml version="1.0" encoding="utf-8"?>
<sst xmlns="http://schemas.openxmlformats.org/spreadsheetml/2006/main" count="48" uniqueCount="39">
  <si>
    <t>Gross Plant</t>
  </si>
  <si>
    <t>369</t>
  </si>
  <si>
    <t>Services</t>
  </si>
  <si>
    <t>Meters</t>
  </si>
  <si>
    <t>Total Gross Plant</t>
  </si>
  <si>
    <t>Depreciation Reserve</t>
  </si>
  <si>
    <t>Total Depreciation Reserve</t>
  </si>
  <si>
    <t>Total Net Plant</t>
  </si>
  <si>
    <t>Operation &amp; Maintenance Expenses</t>
  </si>
  <si>
    <t>Dist Oper - Meter</t>
  </si>
  <si>
    <t>Records &amp; Collections</t>
  </si>
  <si>
    <t>Total O &amp; M Expenses</t>
  </si>
  <si>
    <t>Depreciation Expense</t>
  </si>
  <si>
    <t>Total Depreciation Expense</t>
  </si>
  <si>
    <t>Revenue Requirement</t>
  </si>
  <si>
    <t>Interest</t>
  </si>
  <si>
    <t>Equity return</t>
  </si>
  <si>
    <t>Income Tax</t>
  </si>
  <si>
    <t>Revenue For Return</t>
  </si>
  <si>
    <t>O &amp; M Expenses</t>
  </si>
  <si>
    <t>Total Revenue Requirement</t>
  </si>
  <si>
    <t>Number of Customers</t>
  </si>
  <si>
    <t>Number of Bills</t>
  </si>
  <si>
    <t>TOTAL MONTHLY CUSTOMER COST</t>
  </si>
  <si>
    <t>Residential Customer Cost Analysis</t>
  </si>
  <si>
    <t>Meter Reading</t>
  </si>
  <si>
    <t>Maintenance-Meters</t>
  </si>
  <si>
    <t>coc</t>
  </si>
  <si>
    <t>Customer Installations - Meters</t>
  </si>
  <si>
    <t>Revenue Requirement Before Excise &amp; WUTC Gross-Up</t>
  </si>
  <si>
    <t>Uncollectible, State Utility Tax &amp; WUTC Fee Gross-Up Factor</t>
  </si>
  <si>
    <t>PUGET SOUND ENERGY - ELECTRIC</t>
  </si>
  <si>
    <t>PC</t>
  </si>
  <si>
    <t>Cost of Capital</t>
  </si>
  <si>
    <t>PSE</t>
  </si>
  <si>
    <t>PSE Proposed</t>
  </si>
  <si>
    <t>debt</t>
  </si>
  <si>
    <t>equity</t>
  </si>
  <si>
    <t>PC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</si>
</sst>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[$$-409]#,##0"/>
    <numFmt numFmtId="166" formatCode="&quot;$&quot;#,##0.00"/>
    <numFmt numFmtId="167" formatCode="#,##0.000000"/>
  </numFmts>
  <fonts count="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2" borderId="0">
      <alignment horizontal="left" wrapText="1"/>
    </xf>
  </cellStyleXfs>
  <cellXfs count="54">
    <xf numFmtId="0" fontId="0" fillId="0" borderId="0" xfId="0"/>
    <xf numFmtId="1" fontId="3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right"/>
    </xf>
    <xf numFmtId="0" fontId="2" fillId="0" borderId="0" xfId="1" applyNumberFormat="1" applyFont="1" applyAlignment="1">
      <alignment horizontal="centerContinuous" wrapText="1"/>
    </xf>
    <xf numFmtId="0" fontId="3" fillId="0" borderId="0" xfId="1" applyNumberFormat="1" applyFont="1" applyAlignment="1"/>
    <xf numFmtId="0" fontId="2" fillId="0" borderId="0" xfId="1" applyNumberFormat="1" applyFont="1" applyAlignment="1"/>
    <xf numFmtId="164" fontId="2" fillId="0" borderId="0" xfId="1" applyNumberFormat="1" applyFont="1" applyAlignment="1"/>
    <xf numFmtId="3" fontId="2" fillId="0" borderId="0" xfId="1" applyNumberFormat="1" applyFont="1" applyAlignment="1"/>
    <xf numFmtId="165" fontId="3" fillId="0" borderId="0" xfId="1" applyNumberFormat="1" applyFont="1" applyAlignment="1"/>
    <xf numFmtId="0" fontId="3" fillId="0" borderId="1" xfId="1" applyNumberFormat="1" applyFont="1" applyBorder="1" applyAlignment="1"/>
    <xf numFmtId="165" fontId="3" fillId="0" borderId="1" xfId="1" applyNumberFormat="1" applyFont="1" applyBorder="1" applyAlignment="1"/>
    <xf numFmtId="164" fontId="3" fillId="0" borderId="1" xfId="1" applyNumberFormat="1" applyFont="1" applyBorder="1" applyAlignment="1"/>
    <xf numFmtId="3" fontId="2" fillId="0" borderId="0" xfId="1" applyNumberFormat="1" applyFont="1"/>
    <xf numFmtId="0" fontId="2" fillId="0" borderId="0" xfId="1" applyFont="1"/>
    <xf numFmtId="0" fontId="3" fillId="0" borderId="0" xfId="1" applyNumberFormat="1" applyFont="1" applyAlignment="1">
      <alignment horizontal="center"/>
    </xf>
    <xf numFmtId="0" fontId="3" fillId="0" borderId="0" xfId="1" applyFont="1"/>
    <xf numFmtId="164" fontId="2" fillId="0" borderId="3" xfId="1" applyNumberFormat="1" applyFont="1" applyBorder="1" applyAlignment="1"/>
    <xf numFmtId="0" fontId="2" fillId="0" borderId="2" xfId="1" applyFont="1" applyBorder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 applyAlignment="1"/>
    <xf numFmtId="0" fontId="5" fillId="0" borderId="0" xfId="0" applyFont="1"/>
    <xf numFmtId="0" fontId="2" fillId="0" borderId="3" xfId="1" applyFont="1" applyBorder="1"/>
    <xf numFmtId="0" fontId="5" fillId="0" borderId="3" xfId="0" applyFont="1" applyBorder="1"/>
    <xf numFmtId="164" fontId="5" fillId="0" borderId="0" xfId="0" applyNumberFormat="1" applyFont="1"/>
    <xf numFmtId="10" fontId="5" fillId="0" borderId="0" xfId="3" applyNumberFormat="1" applyFont="1"/>
    <xf numFmtId="0" fontId="6" fillId="0" borderId="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66" fontId="5" fillId="0" borderId="0" xfId="0" applyNumberFormat="1" applyFont="1"/>
    <xf numFmtId="0" fontId="5" fillId="0" borderId="2" xfId="0" applyFont="1" applyBorder="1"/>
    <xf numFmtId="0" fontId="3" fillId="0" borderId="3" xfId="1" applyNumberFormat="1" applyFont="1" applyBorder="1" applyAlignment="1">
      <alignment horizontal="center"/>
    </xf>
    <xf numFmtId="164" fontId="2" fillId="0" borderId="0" xfId="1" applyNumberFormat="1" applyFont="1" applyBorder="1" applyAlignment="1"/>
    <xf numFmtId="164" fontId="2" fillId="0" borderId="0" xfId="1" applyNumberFormat="1" applyFont="1"/>
    <xf numFmtId="167" fontId="5" fillId="0" borderId="0" xfId="0" applyNumberFormat="1" applyFont="1"/>
    <xf numFmtId="5" fontId="5" fillId="0" borderId="0" xfId="2" applyNumberFormat="1" applyFont="1"/>
    <xf numFmtId="0" fontId="5" fillId="0" borderId="0" xfId="0" applyFont="1" applyBorder="1"/>
    <xf numFmtId="0" fontId="3" fillId="0" borderId="0" xfId="1" applyNumberFormat="1" applyFont="1" applyBorder="1" applyAlignment="1">
      <alignment wrapText="1"/>
    </xf>
    <xf numFmtId="0" fontId="3" fillId="0" borderId="0" xfId="1" applyNumberFormat="1" applyFont="1" applyBorder="1" applyAlignment="1"/>
    <xf numFmtId="5" fontId="5" fillId="0" borderId="0" xfId="2" applyNumberFormat="1" applyFont="1" applyBorder="1"/>
    <xf numFmtId="164" fontId="5" fillId="0" borderId="0" xfId="0" applyNumberFormat="1" applyFont="1" applyBorder="1"/>
    <xf numFmtId="164" fontId="3" fillId="0" borderId="0" xfId="1" applyNumberFormat="1" applyFont="1" applyBorder="1" applyAlignment="1"/>
    <xf numFmtId="164" fontId="2" fillId="0" borderId="0" xfId="1" applyNumberFormat="1" applyFont="1" applyBorder="1"/>
    <xf numFmtId="165" fontId="3" fillId="0" borderId="0" xfId="1" applyNumberFormat="1" applyFont="1" applyBorder="1" applyAlignment="1"/>
    <xf numFmtId="166" fontId="5" fillId="0" borderId="0" xfId="0" applyNumberFormat="1" applyFont="1" applyBorder="1"/>
    <xf numFmtId="167" fontId="5" fillId="0" borderId="0" xfId="0" applyNumberFormat="1" applyFont="1" applyBorder="1"/>
    <xf numFmtId="3" fontId="2" fillId="0" borderId="0" xfId="1" applyNumberFormat="1" applyFont="1" applyBorder="1" applyAlignment="1"/>
    <xf numFmtId="3" fontId="2" fillId="0" borderId="0" xfId="1" applyNumberFormat="1" applyFont="1" applyBorder="1"/>
    <xf numFmtId="10" fontId="5" fillId="0" borderId="0" xfId="3" applyNumberFormat="1" applyFont="1" applyBorder="1"/>
    <xf numFmtId="0" fontId="3" fillId="0" borderId="0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NumberFormat="1" applyFont="1" applyBorder="1" applyAlignment="1">
      <alignment horizontal="center"/>
    </xf>
    <xf numFmtId="0" fontId="3" fillId="0" borderId="0" xfId="1" applyNumberFormat="1" applyFont="1" applyAlignment="1">
      <alignment horizontal="center" wrapText="1"/>
    </xf>
    <xf numFmtId="0" fontId="3" fillId="0" borderId="3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/>
    </xf>
  </cellXfs>
  <cellStyles count="5">
    <cellStyle name="Currency" xfId="2" builtinId="4"/>
    <cellStyle name="Normal" xfId="0" builtinId="0"/>
    <cellStyle name="Normal 2" xfId="1" xr:uid="{00000000-0005-0000-0000-000002000000}"/>
    <cellStyle name="Percent" xfId="3" builtinId="5"/>
    <cellStyle name="Title: Minor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H68"/>
  <sheetViews>
    <sheetView tabSelected="1" workbookViewId="0">
      <pane xSplit="3" ySplit="9" topLeftCell="D50" activePane="bottomRight" state="frozen"/>
      <selection pane="topRight" activeCell="D1" sqref="D1"/>
      <selection pane="bottomLeft" activeCell="A10" sqref="A10"/>
      <selection pane="bottomRight" activeCell="B5" sqref="B5:E5"/>
    </sheetView>
  </sheetViews>
  <sheetFormatPr defaultColWidth="9.140625" defaultRowHeight="12.75" x14ac:dyDescent="0.2"/>
  <cols>
    <col min="1" max="1" width="9.140625" style="20"/>
    <col min="2" max="2" width="8" style="20" customWidth="1"/>
    <col min="3" max="3" width="56.7109375" style="20" customWidth="1"/>
    <col min="4" max="4" width="14.28515625" style="20" bestFit="1" customWidth="1"/>
    <col min="5" max="5" width="16" style="20" bestFit="1" customWidth="1"/>
    <col min="6" max="6" width="13.28515625" style="34" customWidth="1"/>
    <col min="7" max="8" width="12.85546875" style="34" bestFit="1" customWidth="1"/>
    <col min="9" max="16384" width="9.140625" style="20"/>
  </cols>
  <sheetData>
    <row r="4" spans="1:8" x14ac:dyDescent="0.2">
      <c r="A4" s="14"/>
      <c r="B4" s="3"/>
      <c r="C4" s="3"/>
    </row>
    <row r="5" spans="1:8" ht="15.75" customHeight="1" x14ac:dyDescent="0.2">
      <c r="A5" s="14"/>
      <c r="B5" s="51" t="s">
        <v>31</v>
      </c>
      <c r="C5" s="51"/>
      <c r="D5" s="51"/>
      <c r="E5" s="51"/>
      <c r="F5" s="35"/>
      <c r="G5" s="35"/>
      <c r="H5" s="35"/>
    </row>
    <row r="6" spans="1:8" ht="15.75" customHeight="1" x14ac:dyDescent="0.2">
      <c r="A6" s="14"/>
      <c r="B6" s="52" t="s">
        <v>24</v>
      </c>
      <c r="C6" s="52"/>
      <c r="D6" s="52"/>
      <c r="E6" s="52"/>
      <c r="F6" s="36"/>
      <c r="G6" s="36"/>
      <c r="H6" s="36"/>
    </row>
    <row r="7" spans="1:8" ht="15.75" customHeight="1" x14ac:dyDescent="0.2">
      <c r="A7" s="14"/>
      <c r="B7" s="47"/>
      <c r="C7" s="47"/>
      <c r="D7" s="53"/>
      <c r="E7" s="53"/>
      <c r="G7" s="50"/>
      <c r="H7" s="50"/>
    </row>
    <row r="8" spans="1:8" x14ac:dyDescent="0.2">
      <c r="A8" s="14"/>
      <c r="B8" s="13"/>
      <c r="C8" s="14"/>
      <c r="D8" s="26" t="s">
        <v>32</v>
      </c>
      <c r="E8" s="26" t="s">
        <v>34</v>
      </c>
      <c r="G8" s="26"/>
      <c r="H8" s="26"/>
    </row>
    <row r="9" spans="1:8" s="22" customFormat="1" x14ac:dyDescent="0.2">
      <c r="A9" s="29"/>
      <c r="B9" s="21"/>
      <c r="C9" s="48"/>
      <c r="D9" s="25" t="s">
        <v>33</v>
      </c>
      <c r="E9" s="25" t="s">
        <v>33</v>
      </c>
      <c r="F9" s="34"/>
      <c r="G9" s="26"/>
      <c r="H9" s="26"/>
    </row>
    <row r="10" spans="1:8" x14ac:dyDescent="0.2">
      <c r="A10" s="14"/>
      <c r="B10" s="4" t="s">
        <v>0</v>
      </c>
      <c r="C10" s="4"/>
    </row>
    <row r="11" spans="1:8" x14ac:dyDescent="0.2">
      <c r="A11" s="14"/>
      <c r="B11" s="5"/>
      <c r="C11" s="5"/>
      <c r="D11" s="30"/>
      <c r="E11" s="33"/>
      <c r="G11" s="30"/>
      <c r="H11" s="37"/>
    </row>
    <row r="12" spans="1:8" x14ac:dyDescent="0.2">
      <c r="A12" s="1"/>
      <c r="B12" s="2" t="s">
        <v>1</v>
      </c>
      <c r="C12" s="5" t="s">
        <v>2</v>
      </c>
      <c r="D12" s="6">
        <f>E12</f>
        <v>183429207</v>
      </c>
      <c r="E12" s="23">
        <f>35287388+148141819</f>
        <v>183429207</v>
      </c>
      <c r="G12" s="30"/>
      <c r="H12" s="38"/>
    </row>
    <row r="13" spans="1:8" x14ac:dyDescent="0.2">
      <c r="A13" s="1"/>
      <c r="B13" s="5">
        <v>370</v>
      </c>
      <c r="C13" s="5" t="s">
        <v>3</v>
      </c>
      <c r="D13" s="6">
        <f>E13</f>
        <v>133743709</v>
      </c>
      <c r="E13" s="23">
        <v>133743709</v>
      </c>
      <c r="G13" s="30"/>
      <c r="H13" s="38"/>
    </row>
    <row r="14" spans="1:8" x14ac:dyDescent="0.2">
      <c r="A14" s="1"/>
      <c r="B14" s="4"/>
      <c r="C14" s="9" t="s">
        <v>4</v>
      </c>
      <c r="D14" s="11">
        <f>SUM(D11:D13)</f>
        <v>317172916</v>
      </c>
      <c r="E14" s="11">
        <f>SUM(E11:E13)</f>
        <v>317172916</v>
      </c>
      <c r="G14" s="39"/>
      <c r="H14" s="39"/>
    </row>
    <row r="15" spans="1:8" x14ac:dyDescent="0.2">
      <c r="A15" s="1"/>
      <c r="B15" s="4"/>
      <c r="C15" s="13"/>
    </row>
    <row r="16" spans="1:8" x14ac:dyDescent="0.2">
      <c r="A16" s="14"/>
      <c r="B16" s="4" t="s">
        <v>5</v>
      </c>
      <c r="C16" s="13"/>
    </row>
    <row r="17" spans="1:8" x14ac:dyDescent="0.2">
      <c r="A17" s="14"/>
      <c r="B17" s="4"/>
      <c r="C17" s="13"/>
      <c r="D17" s="31"/>
      <c r="E17" s="23"/>
      <c r="G17" s="40"/>
      <c r="H17" s="38"/>
    </row>
    <row r="18" spans="1:8" s="23" customFormat="1" x14ac:dyDescent="0.2">
      <c r="A18" s="18"/>
      <c r="B18" s="19"/>
      <c r="C18" s="6" t="s">
        <v>2</v>
      </c>
      <c r="D18" s="6">
        <f>E18</f>
        <v>122211946</v>
      </c>
      <c r="E18" s="23">
        <f>28570731+93641215</f>
        <v>122211946</v>
      </c>
      <c r="F18" s="38"/>
      <c r="G18" s="30"/>
      <c r="H18" s="38"/>
    </row>
    <row r="19" spans="1:8" s="23" customFormat="1" x14ac:dyDescent="0.2">
      <c r="A19" s="18"/>
      <c r="B19" s="19"/>
      <c r="C19" s="6" t="s">
        <v>3</v>
      </c>
      <c r="D19" s="6">
        <f>E19</f>
        <v>25458658</v>
      </c>
      <c r="E19" s="23">
        <v>25458658</v>
      </c>
      <c r="F19" s="38"/>
      <c r="G19" s="30"/>
      <c r="H19" s="38"/>
    </row>
    <row r="20" spans="1:8" x14ac:dyDescent="0.2">
      <c r="A20" s="1"/>
      <c r="B20" s="4"/>
      <c r="C20" s="9" t="s">
        <v>6</v>
      </c>
      <c r="D20" s="10">
        <f>SUM(D17:D19)</f>
        <v>147670604</v>
      </c>
      <c r="E20" s="10">
        <f>SUM(E17:E19)</f>
        <v>147670604</v>
      </c>
      <c r="G20" s="41"/>
      <c r="H20" s="41"/>
    </row>
    <row r="21" spans="1:8" x14ac:dyDescent="0.2">
      <c r="A21" s="1"/>
      <c r="B21" s="4"/>
      <c r="C21" s="13"/>
    </row>
    <row r="22" spans="1:8" x14ac:dyDescent="0.2">
      <c r="A22" s="1"/>
      <c r="B22" s="4" t="s">
        <v>7</v>
      </c>
      <c r="C22" s="13"/>
      <c r="D22" s="8">
        <f>D14-D20</f>
        <v>169502312</v>
      </c>
      <c r="E22" s="8">
        <f>E14-E20</f>
        <v>169502312</v>
      </c>
      <c r="G22" s="41"/>
      <c r="H22" s="41"/>
    </row>
    <row r="23" spans="1:8" x14ac:dyDescent="0.2">
      <c r="A23" s="1"/>
      <c r="B23" s="4"/>
      <c r="C23" s="13"/>
    </row>
    <row r="24" spans="1:8" x14ac:dyDescent="0.2">
      <c r="A24" s="14"/>
      <c r="B24" s="4" t="s">
        <v>8</v>
      </c>
      <c r="C24" s="13"/>
    </row>
    <row r="25" spans="1:8" x14ac:dyDescent="0.2">
      <c r="A25" s="14"/>
      <c r="B25" s="5">
        <v>586</v>
      </c>
      <c r="C25" s="5" t="s">
        <v>9</v>
      </c>
      <c r="D25" s="6">
        <v>1123518</v>
      </c>
      <c r="E25" s="23">
        <f>D25</f>
        <v>1123518</v>
      </c>
      <c r="G25" s="30"/>
      <c r="H25" s="38"/>
    </row>
    <row r="26" spans="1:8" x14ac:dyDescent="0.2">
      <c r="A26" s="14"/>
      <c r="B26" s="5">
        <v>587</v>
      </c>
      <c r="C26" s="5" t="s">
        <v>28</v>
      </c>
      <c r="D26" s="6">
        <v>2215665</v>
      </c>
      <c r="E26" s="23">
        <f>D26</f>
        <v>2215665</v>
      </c>
      <c r="G26" s="30"/>
      <c r="H26" s="38"/>
    </row>
    <row r="27" spans="1:8" x14ac:dyDescent="0.2">
      <c r="A27" s="14"/>
      <c r="B27" s="5">
        <v>597</v>
      </c>
      <c r="C27" s="5" t="s">
        <v>26</v>
      </c>
      <c r="D27" s="6">
        <v>346005</v>
      </c>
      <c r="E27" s="23">
        <f>D27</f>
        <v>346005</v>
      </c>
      <c r="G27" s="30"/>
      <c r="H27" s="38"/>
    </row>
    <row r="28" spans="1:8" x14ac:dyDescent="0.2">
      <c r="A28" s="14"/>
      <c r="B28" s="5">
        <v>902</v>
      </c>
      <c r="C28" s="5" t="s">
        <v>25</v>
      </c>
      <c r="D28" s="6">
        <v>9996632</v>
      </c>
      <c r="E28" s="23">
        <f>D28</f>
        <v>9996632</v>
      </c>
      <c r="G28" s="30"/>
      <c r="H28" s="38"/>
    </row>
    <row r="29" spans="1:8" x14ac:dyDescent="0.2">
      <c r="A29" s="14"/>
      <c r="B29" s="5">
        <v>903</v>
      </c>
      <c r="C29" s="5" t="s">
        <v>10</v>
      </c>
      <c r="D29" s="6">
        <v>20177623</v>
      </c>
      <c r="E29" s="23">
        <f>D29</f>
        <v>20177623</v>
      </c>
      <c r="G29" s="30"/>
      <c r="H29" s="38"/>
    </row>
    <row r="30" spans="1:8" x14ac:dyDescent="0.2">
      <c r="A30" s="1"/>
      <c r="B30" s="4"/>
      <c r="C30" s="9" t="s">
        <v>11</v>
      </c>
      <c r="D30" s="11">
        <f>SUM(D25:D29)</f>
        <v>33859443</v>
      </c>
      <c r="E30" s="11">
        <f>SUM(E25:E29)</f>
        <v>33859443</v>
      </c>
      <c r="G30" s="39"/>
      <c r="H30" s="39"/>
    </row>
    <row r="31" spans="1:8" x14ac:dyDescent="0.2">
      <c r="A31" s="1"/>
      <c r="B31" s="4"/>
      <c r="C31" s="13"/>
    </row>
    <row r="32" spans="1:8" x14ac:dyDescent="0.2">
      <c r="A32" s="1"/>
      <c r="B32" s="4" t="s">
        <v>12</v>
      </c>
      <c r="C32" s="13"/>
    </row>
    <row r="33" spans="1:8" x14ac:dyDescent="0.2">
      <c r="A33" s="1"/>
      <c r="B33" s="4"/>
      <c r="C33" s="13"/>
      <c r="D33" s="23"/>
      <c r="E33" s="23"/>
      <c r="G33" s="38"/>
      <c r="H33" s="38"/>
    </row>
    <row r="34" spans="1:8" x14ac:dyDescent="0.2">
      <c r="A34" s="1"/>
      <c r="B34" s="5"/>
      <c r="C34" s="5" t="s">
        <v>2</v>
      </c>
      <c r="D34" s="6">
        <f>E34</f>
        <v>5770233</v>
      </c>
      <c r="E34" s="6">
        <v>5770233</v>
      </c>
      <c r="G34" s="30"/>
      <c r="H34" s="30"/>
    </row>
    <row r="35" spans="1:8" x14ac:dyDescent="0.2">
      <c r="A35" s="1"/>
      <c r="B35" s="5"/>
      <c r="C35" s="5" t="s">
        <v>3</v>
      </c>
      <c r="D35" s="16">
        <f>E35</f>
        <v>10053641</v>
      </c>
      <c r="E35" s="16">
        <v>10053641</v>
      </c>
      <c r="G35" s="30"/>
      <c r="H35" s="30"/>
    </row>
    <row r="36" spans="1:8" x14ac:dyDescent="0.2">
      <c r="A36" s="1"/>
      <c r="B36" s="4"/>
      <c r="C36" s="9" t="s">
        <v>13</v>
      </c>
      <c r="D36" s="23">
        <f>SUM(D33:D35)</f>
        <v>15823874</v>
      </c>
      <c r="E36" s="23">
        <f>SUM(E33:E35)</f>
        <v>15823874</v>
      </c>
      <c r="G36" s="38"/>
      <c r="H36" s="38"/>
    </row>
    <row r="37" spans="1:8" x14ac:dyDescent="0.2">
      <c r="A37" s="1"/>
      <c r="B37" s="4"/>
      <c r="C37" s="13"/>
    </row>
    <row r="38" spans="1:8" x14ac:dyDescent="0.2">
      <c r="A38" s="1"/>
      <c r="B38" s="4" t="s">
        <v>14</v>
      </c>
      <c r="C38" s="13"/>
    </row>
    <row r="39" spans="1:8" x14ac:dyDescent="0.2">
      <c r="A39" s="1"/>
      <c r="B39" s="4"/>
      <c r="C39" s="13"/>
    </row>
    <row r="40" spans="1:8" x14ac:dyDescent="0.2">
      <c r="A40" s="1"/>
      <c r="B40" s="4"/>
      <c r="C40" s="5" t="s">
        <v>15</v>
      </c>
      <c r="D40" s="23">
        <f>D22*$G61</f>
        <v>4864716.3543999996</v>
      </c>
      <c r="E40" s="23">
        <f>E22*$G61</f>
        <v>4864716.3543999996</v>
      </c>
      <c r="G40" s="38"/>
      <c r="H40" s="38"/>
    </row>
    <row r="41" spans="1:8" x14ac:dyDescent="0.2">
      <c r="A41" s="1"/>
      <c r="B41" s="4"/>
      <c r="C41" s="5" t="s">
        <v>16</v>
      </c>
      <c r="D41" s="23">
        <f>D22*$G67</f>
        <v>7193254.3654999994</v>
      </c>
      <c r="E41" s="23">
        <f>E22*$G62</f>
        <v>8056444.8893600004</v>
      </c>
      <c r="F41" s="38"/>
      <c r="G41" s="38"/>
      <c r="H41" s="38"/>
    </row>
    <row r="42" spans="1:8" x14ac:dyDescent="0.2">
      <c r="A42" s="1"/>
      <c r="B42" s="4"/>
      <c r="C42" s="5" t="s">
        <v>17</v>
      </c>
      <c r="D42" s="23">
        <f>(D41*(0.21/(1-0.21)))</f>
        <v>1912130.9072848097</v>
      </c>
      <c r="E42" s="23">
        <f>(E41*(0.21/(1-0.21)))</f>
        <v>2141586.6161589874</v>
      </c>
      <c r="F42" s="42"/>
      <c r="G42" s="38"/>
      <c r="H42" s="38"/>
    </row>
    <row r="43" spans="1:8" x14ac:dyDescent="0.2">
      <c r="A43" s="1"/>
      <c r="B43" s="4"/>
      <c r="C43" s="13"/>
      <c r="D43" s="23"/>
      <c r="G43" s="38"/>
    </row>
    <row r="44" spans="1:8" x14ac:dyDescent="0.2">
      <c r="A44" s="1"/>
      <c r="B44" s="4"/>
      <c r="C44" s="5" t="s">
        <v>18</v>
      </c>
      <c r="D44" s="23">
        <f>SUM(D40:D42)</f>
        <v>13970101.627184808</v>
      </c>
      <c r="E44" s="23">
        <f>SUM(E40:E42)</f>
        <v>15062747.859918989</v>
      </c>
      <c r="G44" s="38"/>
      <c r="H44" s="38"/>
    </row>
    <row r="45" spans="1:8" x14ac:dyDescent="0.2">
      <c r="A45" s="1"/>
      <c r="B45" s="4"/>
      <c r="C45" s="13"/>
      <c r="D45" s="23"/>
      <c r="G45" s="38"/>
    </row>
    <row r="46" spans="1:8" x14ac:dyDescent="0.2">
      <c r="A46" s="1"/>
      <c r="B46" s="4"/>
      <c r="C46" s="5" t="s">
        <v>19</v>
      </c>
      <c r="D46" s="23">
        <f>D30</f>
        <v>33859443</v>
      </c>
      <c r="E46" s="23">
        <f>E30</f>
        <v>33859443</v>
      </c>
      <c r="G46" s="38"/>
      <c r="H46" s="38"/>
    </row>
    <row r="47" spans="1:8" x14ac:dyDescent="0.2">
      <c r="A47" s="1"/>
      <c r="B47" s="4"/>
      <c r="C47" s="5" t="s">
        <v>12</v>
      </c>
      <c r="D47" s="23">
        <f>D36</f>
        <v>15823874</v>
      </c>
      <c r="E47" s="23">
        <f>E36</f>
        <v>15823874</v>
      </c>
      <c r="G47" s="38"/>
      <c r="H47" s="38"/>
    </row>
    <row r="48" spans="1:8" x14ac:dyDescent="0.2">
      <c r="A48" s="1"/>
      <c r="B48" s="4"/>
      <c r="C48" s="13"/>
      <c r="D48" s="23"/>
      <c r="G48" s="38"/>
    </row>
    <row r="49" spans="1:8" x14ac:dyDescent="0.2">
      <c r="A49" s="1"/>
      <c r="B49" s="4"/>
      <c r="C49" s="5" t="s">
        <v>29</v>
      </c>
      <c r="D49" s="23">
        <f>SUM(D44:D47)</f>
        <v>63653418.627184808</v>
      </c>
      <c r="E49" s="23">
        <f>SUM(E44:E47)</f>
        <v>64746064.859918989</v>
      </c>
      <c r="G49" s="38"/>
      <c r="H49" s="38"/>
    </row>
    <row r="50" spans="1:8" x14ac:dyDescent="0.2">
      <c r="A50" s="1"/>
      <c r="B50" s="4"/>
      <c r="C50" s="5" t="s">
        <v>30</v>
      </c>
      <c r="D50" s="32">
        <v>0.95238599999999995</v>
      </c>
      <c r="E50" s="32">
        <v>0.95238599999999995</v>
      </c>
      <c r="G50" s="43"/>
      <c r="H50" s="43"/>
    </row>
    <row r="51" spans="1:8" x14ac:dyDescent="0.2">
      <c r="A51" s="1"/>
      <c r="B51" s="4"/>
      <c r="C51" s="5"/>
      <c r="D51" s="23"/>
      <c r="E51" s="23"/>
      <c r="G51" s="38"/>
      <c r="H51" s="38"/>
    </row>
    <row r="52" spans="1:8" x14ac:dyDescent="0.2">
      <c r="A52" s="1"/>
      <c r="B52" s="4"/>
      <c r="C52" s="9" t="s">
        <v>20</v>
      </c>
      <c r="D52" s="11">
        <f>D49/D50</f>
        <v>66835735.32914681</v>
      </c>
      <c r="E52" s="11">
        <f>E49/E50</f>
        <v>67983007.792973638</v>
      </c>
      <c r="G52" s="39"/>
      <c r="H52" s="39"/>
    </row>
    <row r="53" spans="1:8" x14ac:dyDescent="0.2">
      <c r="A53" s="1"/>
      <c r="B53" s="4"/>
      <c r="C53" s="13"/>
    </row>
    <row r="54" spans="1:8" x14ac:dyDescent="0.2">
      <c r="A54" s="1"/>
      <c r="B54" s="4"/>
      <c r="C54" s="13" t="s">
        <v>21</v>
      </c>
      <c r="D54" s="7">
        <f>E54</f>
        <v>1010572</v>
      </c>
      <c r="E54" s="7">
        <v>1010572</v>
      </c>
      <c r="G54" s="44"/>
      <c r="H54" s="44"/>
    </row>
    <row r="55" spans="1:8" x14ac:dyDescent="0.2">
      <c r="A55" s="1"/>
      <c r="B55" s="4"/>
      <c r="C55" s="5" t="s">
        <v>22</v>
      </c>
      <c r="D55" s="12">
        <f>D54*12</f>
        <v>12126864</v>
      </c>
      <c r="E55" s="12">
        <f>E54*12</f>
        <v>12126864</v>
      </c>
      <c r="G55" s="45"/>
      <c r="H55" s="45"/>
    </row>
    <row r="56" spans="1:8" ht="13.5" thickBot="1" x14ac:dyDescent="0.25">
      <c r="A56" s="1"/>
      <c r="B56" s="4"/>
      <c r="C56" s="17"/>
      <c r="D56" s="28"/>
      <c r="E56" s="28"/>
    </row>
    <row r="57" spans="1:8" ht="13.5" thickTop="1" x14ac:dyDescent="0.2">
      <c r="A57" s="1"/>
      <c r="B57" s="4"/>
      <c r="C57" s="15" t="s">
        <v>23</v>
      </c>
      <c r="D57" s="27">
        <f>D52/D55</f>
        <v>5.5113783191719481</v>
      </c>
      <c r="E57" s="27">
        <f>E52/E55</f>
        <v>5.6059841846147229</v>
      </c>
      <c r="G57" s="42"/>
      <c r="H57" s="42"/>
    </row>
    <row r="58" spans="1:8" x14ac:dyDescent="0.2">
      <c r="A58" s="1"/>
      <c r="B58" s="4"/>
      <c r="C58" s="13"/>
    </row>
    <row r="59" spans="1:8" x14ac:dyDescent="0.2">
      <c r="A59" s="1"/>
      <c r="B59" s="4"/>
      <c r="C59" s="13"/>
    </row>
    <row r="60" spans="1:8" x14ac:dyDescent="0.2">
      <c r="A60" s="1"/>
      <c r="B60" s="4"/>
      <c r="C60" s="13"/>
      <c r="D60" s="13" t="s">
        <v>27</v>
      </c>
      <c r="E60" s="49" t="s">
        <v>35</v>
      </c>
      <c r="F60" s="49"/>
      <c r="G60" s="49"/>
    </row>
    <row r="61" spans="1:8" x14ac:dyDescent="0.2">
      <c r="D61" s="20" t="s">
        <v>36</v>
      </c>
      <c r="E61" s="24">
        <v>0.51500000000000001</v>
      </c>
      <c r="F61" s="46">
        <v>5.57E-2</v>
      </c>
      <c r="G61" s="46">
        <f>ROUND((F61*E61),4)</f>
        <v>2.87E-2</v>
      </c>
    </row>
    <row r="62" spans="1:8" x14ac:dyDescent="0.2">
      <c r="D62" s="20" t="s">
        <v>37</v>
      </c>
      <c r="E62" s="24">
        <v>0.48499999999999999</v>
      </c>
      <c r="F62" s="46">
        <v>9.8000000000000004E-2</v>
      </c>
      <c r="G62" s="46">
        <f>F62*E62</f>
        <v>4.7530000000000003E-2</v>
      </c>
    </row>
    <row r="63" spans="1:8" x14ac:dyDescent="0.2">
      <c r="E63" s="24"/>
      <c r="F63" s="46"/>
      <c r="G63" s="46">
        <f>G62+G61</f>
        <v>7.6230000000000006E-2</v>
      </c>
    </row>
    <row r="65" spans="4:7" x14ac:dyDescent="0.2">
      <c r="D65" s="13" t="s">
        <v>27</v>
      </c>
      <c r="E65" s="49" t="s">
        <v>38</v>
      </c>
      <c r="F65" s="49"/>
      <c r="G65" s="49"/>
    </row>
    <row r="66" spans="4:7" x14ac:dyDescent="0.2">
      <c r="D66" s="20" t="s">
        <v>36</v>
      </c>
      <c r="E66" s="24">
        <v>0.51500000000000001</v>
      </c>
      <c r="F66" s="46">
        <v>5.57E-2</v>
      </c>
      <c r="G66" s="46">
        <f>ROUND((F66*E66),4)</f>
        <v>2.87E-2</v>
      </c>
    </row>
    <row r="67" spans="4:7" x14ac:dyDescent="0.2">
      <c r="D67" s="20" t="s">
        <v>37</v>
      </c>
      <c r="E67" s="24">
        <v>0.48499999999999999</v>
      </c>
      <c r="F67" s="46">
        <v>8.7499999999999994E-2</v>
      </c>
      <c r="G67" s="46">
        <f>F67*E67</f>
        <v>4.2437499999999996E-2</v>
      </c>
    </row>
    <row r="68" spans="4:7" x14ac:dyDescent="0.2">
      <c r="E68" s="24"/>
      <c r="F68" s="46"/>
      <c r="G68" s="46">
        <f>G67+G66</f>
        <v>7.1137499999999992E-2</v>
      </c>
    </row>
  </sheetData>
  <mergeCells count="6">
    <mergeCell ref="E65:G65"/>
    <mergeCell ref="D7:E7"/>
    <mergeCell ref="G7:H7"/>
    <mergeCell ref="B5:E5"/>
    <mergeCell ref="B6:E6"/>
    <mergeCell ref="E60:G60"/>
  </mergeCells>
  <printOptions horizontalCentered="1"/>
  <pageMargins left="0.7" right="0.7" top="1.25" bottom="0.75" header="0.3" footer="0.3"/>
  <pageSetup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EBF9B3D-8DD8-4437-9685-246514F90EC5}">
  <ds:schemaRefs>
    <ds:schemaRef ds:uri="http://purl.org/dc/elements/1.1/"/>
    <ds:schemaRef ds:uri="0bb6117c-7237-4594-87be-1a98bf45b026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27DC9B-FD1A-47C4-B242-04F876490A8E}"/>
</file>

<file path=customXml/itemProps3.xml><?xml version="1.0" encoding="utf-8"?>
<ds:datastoreItem xmlns:ds="http://schemas.openxmlformats.org/officeDocument/2006/customXml" ds:itemID="{C302D5B3-5D37-481C-B630-DC7BC80C5F1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0A107AB-7991-437B-A959-2F5FA9760A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Cust Cost</vt:lpstr>
      <vt:lpstr>'Cust Cost'!Print_Area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A. Skirpan</dc:creator>
  <cp:lastModifiedBy>Jenny Dolen</cp:lastModifiedBy>
  <cp:lastPrinted>2019-11-18T20:53:38Z</cp:lastPrinted>
  <dcterms:created xsi:type="dcterms:W3CDTF">2009-08-01T16:42:45Z</dcterms:created>
  <dcterms:modified xsi:type="dcterms:W3CDTF">2019-11-18T20:54:05Z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