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aiecon.sharepoint.com/Cases/19 CASES/1921 Puget Sound - RD/GAW Work/GAW Exhibits &amp; Workpapers/Exhibits.xls/"/>
    </mc:Choice>
  </mc:AlternateContent>
  <xr:revisionPtr revIDLastSave="0" documentId="8_{1A940377-9F61-4305-8345-284C91867053}" xr6:coauthVersionLast="45" xr6:coauthVersionMax="45" xr10:uidLastSave="{00000000-0000-0000-0000-000000000000}"/>
  <bookViews>
    <workbookView xWindow="-120" yWindow="-120" windowWidth="20730" windowHeight="11160" activeTab="1" xr2:uid="{5E93F56E-A987-4255-A39F-B7561D7B951D}"/>
  </bookViews>
  <sheets>
    <sheet name="TOC" sheetId="8" r:id="rId1"/>
    <sheet name="Summary" sheetId="1" r:id="rId2"/>
    <sheet name="Rate Base" sheetId="2" r:id="rId3"/>
    <sheet name="Expenses" sheetId="3" r:id="rId4"/>
    <sheet name="Labor" sheetId="4" r:id="rId5"/>
    <sheet name="Revenue" sheetId="5" r:id="rId6"/>
    <sheet name="Alloc Amt" sheetId="6" r:id="rId7"/>
    <sheet name="Alloc Pct" sheetId="7" r:id="rId8"/>
  </sheets>
  <externalReferences>
    <externalReference r:id="rId9"/>
  </externalReferences>
  <definedNames>
    <definedName name="_xlnm._FilterDatabase" localSheetId="3" hidden="1">Expenses!$D$1:$D$189</definedName>
    <definedName name="_xlnm._FilterDatabase" localSheetId="2" hidden="1">'Rate Base'!$D$1:$D$179</definedName>
    <definedName name="Alloc">'Alloc Pct'!$B$7:$Q$111</definedName>
    <definedName name="_xlnm.Print_Area" localSheetId="1">Summary!$A$4:$R$60</definedName>
    <definedName name="ROR">[1]INPUTS!$F$29</definedName>
  </definedNames>
  <calcPr calcId="191029" iterate="1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60" i="1" l="1"/>
  <c r="L60" i="1"/>
  <c r="M59" i="1"/>
  <c r="L59" i="1"/>
  <c r="M56" i="1"/>
  <c r="L56" i="1"/>
  <c r="R49" i="1"/>
  <c r="Q49" i="1"/>
  <c r="P49" i="1"/>
  <c r="O49" i="1"/>
  <c r="N49" i="1"/>
  <c r="M49" i="1"/>
  <c r="L49" i="1"/>
  <c r="K49" i="1"/>
  <c r="J49" i="1"/>
  <c r="I49" i="1"/>
  <c r="H49" i="1"/>
  <c r="M54" i="1"/>
  <c r="L54" i="1"/>
  <c r="M46" i="1" l="1"/>
  <c r="L46" i="1"/>
  <c r="M1" i="1"/>
  <c r="N1" i="1" s="1"/>
  <c r="O1" i="1" s="1"/>
  <c r="P1" i="1" s="1"/>
  <c r="Q1" i="1" s="1"/>
  <c r="R1" i="1" s="1"/>
  <c r="L1" i="1"/>
  <c r="M146" i="2"/>
  <c r="L146" i="2"/>
  <c r="M144" i="2"/>
  <c r="L144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94" i="2"/>
  <c r="L94" i="2"/>
  <c r="M93" i="2"/>
  <c r="L93" i="2"/>
  <c r="M58" i="2"/>
  <c r="L58" i="2"/>
  <c r="M57" i="2"/>
  <c r="L67" i="6" s="1"/>
  <c r="L57" i="2"/>
  <c r="K67" i="6" s="1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53" i="5"/>
  <c r="L53" i="5"/>
  <c r="M52" i="5"/>
  <c r="L52" i="5"/>
  <c r="M45" i="5"/>
  <c r="L45" i="5"/>
  <c r="M37" i="5"/>
  <c r="L37" i="5"/>
  <c r="M32" i="5"/>
  <c r="L32" i="5"/>
  <c r="M31" i="5"/>
  <c r="L31" i="5"/>
  <c r="M30" i="5"/>
  <c r="L30" i="5"/>
  <c r="M29" i="5"/>
  <c r="L29" i="5"/>
  <c r="M28" i="5"/>
  <c r="L28" i="5"/>
  <c r="M27" i="5"/>
  <c r="L27" i="5"/>
  <c r="M26" i="5"/>
  <c r="L26" i="5"/>
  <c r="M25" i="5"/>
  <c r="L25" i="5"/>
  <c r="M24" i="5"/>
  <c r="L24" i="5"/>
  <c r="M23" i="5"/>
  <c r="L23" i="5"/>
  <c r="M14" i="5"/>
  <c r="L14" i="5"/>
  <c r="M13" i="5"/>
  <c r="L13" i="5"/>
  <c r="M12" i="5"/>
  <c r="L12" i="5"/>
  <c r="M11" i="5"/>
  <c r="L11" i="5"/>
  <c r="M1" i="5"/>
  <c r="N1" i="5" s="1"/>
  <c r="O1" i="5" s="1"/>
  <c r="P1" i="5" s="1"/>
  <c r="Q1" i="5" s="1"/>
  <c r="R1" i="5" s="1"/>
  <c r="L1" i="5"/>
  <c r="M177" i="3"/>
  <c r="L177" i="3"/>
  <c r="M162" i="3"/>
  <c r="L162" i="3"/>
  <c r="M161" i="3"/>
  <c r="L161" i="3"/>
  <c r="M158" i="3"/>
  <c r="L158" i="3"/>
  <c r="M157" i="3"/>
  <c r="L157" i="3"/>
  <c r="M145" i="3"/>
  <c r="L145" i="3"/>
  <c r="M144" i="3"/>
  <c r="L144" i="3"/>
  <c r="M141" i="3"/>
  <c r="L141" i="3"/>
  <c r="M140" i="3"/>
  <c r="L140" i="3"/>
  <c r="M139" i="3"/>
  <c r="L139" i="3"/>
  <c r="M138" i="3"/>
  <c r="L138" i="3"/>
  <c r="M137" i="3"/>
  <c r="L137" i="3"/>
  <c r="M133" i="3"/>
  <c r="L133" i="3"/>
  <c r="M132" i="3"/>
  <c r="L132" i="3"/>
  <c r="M130" i="3"/>
  <c r="L130" i="3"/>
  <c r="M129" i="3"/>
  <c r="L129" i="3"/>
  <c r="M128" i="3"/>
  <c r="L128" i="3"/>
  <c r="M126" i="3"/>
  <c r="L126" i="3"/>
  <c r="M125" i="3"/>
  <c r="L125" i="3"/>
  <c r="M108" i="3"/>
  <c r="L108" i="3"/>
  <c r="M107" i="3"/>
  <c r="L107" i="3"/>
  <c r="M81" i="3"/>
  <c r="L81" i="3"/>
  <c r="M80" i="3"/>
  <c r="L80" i="3"/>
  <c r="M79" i="3"/>
  <c r="L79" i="3"/>
  <c r="M78" i="3"/>
  <c r="L78" i="3"/>
  <c r="M76" i="3"/>
  <c r="L76" i="3"/>
  <c r="M72" i="3"/>
  <c r="L72" i="3"/>
  <c r="M71" i="3"/>
  <c r="L71" i="3"/>
  <c r="M70" i="3"/>
  <c r="L70" i="3"/>
  <c r="M69" i="3"/>
  <c r="L69" i="3"/>
  <c r="M61" i="3"/>
  <c r="L61" i="3"/>
  <c r="M60" i="3"/>
  <c r="L60" i="3"/>
  <c r="M59" i="3"/>
  <c r="L59" i="3"/>
  <c r="M51" i="3"/>
  <c r="L51" i="3"/>
  <c r="M50" i="3"/>
  <c r="L50" i="3"/>
  <c r="M45" i="3"/>
  <c r="L45" i="3"/>
  <c r="M44" i="3"/>
  <c r="L44" i="3"/>
  <c r="M42" i="3"/>
  <c r="L42" i="3"/>
  <c r="M41" i="3"/>
  <c r="L41" i="3"/>
  <c r="M36" i="3"/>
  <c r="L36" i="3"/>
  <c r="M35" i="3"/>
  <c r="L35" i="3"/>
  <c r="M31" i="3"/>
  <c r="L31" i="3"/>
  <c r="M30" i="3"/>
  <c r="L30" i="3"/>
  <c r="M22" i="3"/>
  <c r="L22" i="3"/>
  <c r="M21" i="3"/>
  <c r="L21" i="3"/>
  <c r="L1" i="3"/>
  <c r="M1" i="3" s="1"/>
  <c r="N1" i="3" s="1"/>
  <c r="O1" i="3" s="1"/>
  <c r="P1" i="3" s="1"/>
  <c r="Q1" i="3" s="1"/>
  <c r="R1" i="3" s="1"/>
  <c r="M35" i="2"/>
  <c r="L35" i="2"/>
  <c r="K35" i="2"/>
  <c r="M34" i="2"/>
  <c r="L34" i="2"/>
  <c r="K34" i="2"/>
  <c r="M29" i="2"/>
  <c r="L29" i="2"/>
  <c r="K29" i="2"/>
  <c r="M28" i="2"/>
  <c r="L28" i="2"/>
  <c r="K28" i="2"/>
  <c r="M26" i="2"/>
  <c r="L26" i="2"/>
  <c r="K26" i="2"/>
  <c r="L25" i="2"/>
  <c r="M28" i="4"/>
  <c r="M29" i="4" s="1"/>
  <c r="L28" i="4"/>
  <c r="L29" i="4" s="1"/>
  <c r="M1" i="4"/>
  <c r="N1" i="4" s="1"/>
  <c r="O1" i="4" s="1"/>
  <c r="P1" i="4" s="1"/>
  <c r="Q1" i="4" s="1"/>
  <c r="R1" i="4" s="1"/>
  <c r="L1" i="4"/>
  <c r="M31" i="2"/>
  <c r="L31" i="2"/>
  <c r="M25" i="2"/>
  <c r="M20" i="2"/>
  <c r="L20" i="2"/>
  <c r="M19" i="2"/>
  <c r="L19" i="2"/>
  <c r="M15" i="5" l="1"/>
  <c r="L15" i="5"/>
  <c r="L8" i="1" s="1"/>
  <c r="M52" i="3"/>
  <c r="M37" i="3"/>
  <c r="L52" i="3"/>
  <c r="L37" i="3"/>
  <c r="L26" i="3"/>
  <c r="M26" i="3"/>
  <c r="L32" i="3"/>
  <c r="M32" i="3"/>
  <c r="L66" i="6"/>
  <c r="L64" i="6"/>
  <c r="L63" i="6"/>
  <c r="L62" i="6"/>
  <c r="M36" i="2"/>
  <c r="L36" i="2"/>
  <c r="L21" i="2"/>
  <c r="M21" i="2"/>
  <c r="L79" i="6" s="1"/>
  <c r="L61" i="6"/>
  <c r="L65" i="6"/>
  <c r="K65" i="6"/>
  <c r="K66" i="6"/>
  <c r="K62" i="6"/>
  <c r="M8" i="1"/>
  <c r="K70" i="6"/>
  <c r="L70" i="6"/>
  <c r="K64" i="6"/>
  <c r="K63" i="6"/>
  <c r="K61" i="6"/>
  <c r="L60" i="6"/>
  <c r="K60" i="6"/>
  <c r="K77" i="6"/>
  <c r="L77" i="6"/>
  <c r="L90" i="6" l="1"/>
  <c r="K90" i="6"/>
  <c r="L88" i="6"/>
  <c r="K88" i="6"/>
  <c r="K79" i="6"/>
  <c r="L1" i="2" l="1"/>
  <c r="L59" i="7"/>
  <c r="K59" i="7"/>
  <c r="L58" i="7"/>
  <c r="K58" i="7"/>
  <c r="L57" i="7"/>
  <c r="K57" i="7"/>
  <c r="L56" i="7"/>
  <c r="K56" i="7"/>
  <c r="L55" i="7"/>
  <c r="K55" i="7"/>
  <c r="L54" i="7"/>
  <c r="K54" i="7"/>
  <c r="L53" i="7"/>
  <c r="K53" i="7"/>
  <c r="L52" i="7"/>
  <c r="K52" i="7"/>
  <c r="L51" i="7"/>
  <c r="K51" i="7"/>
  <c r="L50" i="7"/>
  <c r="K50" i="7"/>
  <c r="L49" i="7"/>
  <c r="K49" i="7"/>
  <c r="L48" i="7"/>
  <c r="K48" i="7"/>
  <c r="L47" i="7"/>
  <c r="K47" i="7"/>
  <c r="L46" i="7"/>
  <c r="K46" i="7"/>
  <c r="L45" i="7"/>
  <c r="K45" i="7"/>
  <c r="L44" i="7"/>
  <c r="K44" i="7"/>
  <c r="L43" i="7"/>
  <c r="K43" i="7"/>
  <c r="L42" i="7"/>
  <c r="K42" i="7"/>
  <c r="L41" i="7"/>
  <c r="K41" i="7"/>
  <c r="L40" i="7"/>
  <c r="K40" i="7"/>
  <c r="L39" i="7"/>
  <c r="K39" i="7"/>
  <c r="L38" i="7"/>
  <c r="K38" i="7"/>
  <c r="L37" i="7"/>
  <c r="K37" i="7"/>
  <c r="L36" i="7"/>
  <c r="K36" i="7"/>
  <c r="L35" i="7"/>
  <c r="K35" i="7"/>
  <c r="L34" i="7"/>
  <c r="K34" i="7"/>
  <c r="L33" i="7"/>
  <c r="K33" i="7"/>
  <c r="L32" i="7"/>
  <c r="K32" i="7"/>
  <c r="L31" i="7"/>
  <c r="K31" i="7"/>
  <c r="L30" i="7"/>
  <c r="K30" i="7"/>
  <c r="L29" i="7"/>
  <c r="K29" i="7"/>
  <c r="L28" i="7"/>
  <c r="K28" i="7"/>
  <c r="L27" i="7"/>
  <c r="K27" i="7"/>
  <c r="L26" i="7"/>
  <c r="K26" i="7"/>
  <c r="L25" i="7"/>
  <c r="K25" i="7"/>
  <c r="L24" i="7"/>
  <c r="K24" i="7"/>
  <c r="L23" i="7"/>
  <c r="K23" i="7"/>
  <c r="L22" i="7"/>
  <c r="K22" i="7"/>
  <c r="L21" i="7"/>
  <c r="K21" i="7"/>
  <c r="L20" i="7"/>
  <c r="K20" i="7"/>
  <c r="L19" i="7"/>
  <c r="K19" i="7"/>
  <c r="L18" i="7"/>
  <c r="K18" i="7"/>
  <c r="L17" i="7"/>
  <c r="K17" i="7"/>
  <c r="L16" i="7"/>
  <c r="K16" i="7"/>
  <c r="L15" i="7"/>
  <c r="K15" i="7"/>
  <c r="L14" i="7"/>
  <c r="K14" i="7"/>
  <c r="L13" i="7"/>
  <c r="K13" i="7"/>
  <c r="L12" i="7"/>
  <c r="K12" i="7"/>
  <c r="L11" i="7"/>
  <c r="K11" i="7"/>
  <c r="L10" i="7"/>
  <c r="K10" i="7"/>
  <c r="L9" i="7"/>
  <c r="K9" i="7"/>
  <c r="L8" i="7"/>
  <c r="K8" i="7"/>
  <c r="L7" i="7"/>
  <c r="K7" i="7"/>
  <c r="M1" i="2" l="1"/>
  <c r="E92" i="6"/>
  <c r="Y92" i="6" s="1"/>
  <c r="N92" i="7" l="1"/>
  <c r="L92" i="7"/>
  <c r="K92" i="7"/>
  <c r="N1" i="2"/>
  <c r="O1" i="2" s="1"/>
  <c r="P1" i="2" s="1"/>
  <c r="Q1" i="2" s="1"/>
  <c r="R1" i="2" s="1"/>
  <c r="P92" i="7"/>
  <c r="Q92" i="7"/>
  <c r="H92" i="7"/>
  <c r="I92" i="7"/>
  <c r="O92" i="7"/>
  <c r="F92" i="7"/>
  <c r="G92" i="7"/>
  <c r="J92" i="7"/>
  <c r="M92" i="7"/>
  <c r="D91" i="6"/>
  <c r="D92" i="6" s="1"/>
  <c r="D93" i="6" s="1"/>
  <c r="D94" i="6" s="1"/>
  <c r="D95" i="6" s="1"/>
  <c r="F21" i="3"/>
  <c r="F22" i="3"/>
  <c r="L16" i="3" l="1"/>
  <c r="L15" i="3"/>
  <c r="M16" i="3"/>
  <c r="M15" i="3"/>
  <c r="E92" i="7"/>
  <c r="E162" i="3"/>
  <c r="E158" i="3"/>
  <c r="E133" i="3"/>
  <c r="E129" i="3"/>
  <c r="E126" i="3"/>
  <c r="E51" i="3"/>
  <c r="E45" i="3"/>
  <c r="E42" i="3"/>
  <c r="E36" i="3"/>
  <c r="E31" i="3"/>
  <c r="E25" i="3"/>
  <c r="E22" i="3"/>
  <c r="E94" i="2"/>
  <c r="E35" i="2"/>
  <c r="E29" i="2"/>
  <c r="E26" i="2"/>
  <c r="E20" i="2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19" i="5"/>
  <c r="C18" i="5"/>
  <c r="C14" i="5"/>
  <c r="C13" i="5"/>
  <c r="C12" i="5"/>
  <c r="C11" i="5"/>
  <c r="C35" i="4"/>
  <c r="C28" i="4"/>
  <c r="C24" i="4"/>
  <c r="C20" i="4"/>
  <c r="C16" i="4"/>
  <c r="C12" i="4"/>
  <c r="C177" i="3"/>
  <c r="C175" i="3"/>
  <c r="C174" i="3"/>
  <c r="C173" i="3"/>
  <c r="C169" i="3"/>
  <c r="C168" i="3"/>
  <c r="C167" i="3"/>
  <c r="C166" i="3"/>
  <c r="C165" i="3"/>
  <c r="C164" i="3"/>
  <c r="C163" i="3"/>
  <c r="C162" i="3"/>
  <c r="C161" i="3"/>
  <c r="C158" i="3"/>
  <c r="C157" i="3"/>
  <c r="C155" i="3"/>
  <c r="C154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0" i="3"/>
  <c r="C129" i="3"/>
  <c r="C128" i="3"/>
  <c r="C126" i="3"/>
  <c r="C125" i="3"/>
  <c r="C123" i="3"/>
  <c r="C122" i="3"/>
  <c r="C121" i="3"/>
  <c r="C113" i="3"/>
  <c r="C109" i="3"/>
  <c r="C108" i="3"/>
  <c r="C107" i="3"/>
  <c r="C106" i="3"/>
  <c r="C105" i="3"/>
  <c r="C104" i="3"/>
  <c r="C103" i="3"/>
  <c r="C102" i="3"/>
  <c r="C96" i="3"/>
  <c r="C95" i="3"/>
  <c r="C94" i="3"/>
  <c r="C93" i="3"/>
  <c r="C92" i="3"/>
  <c r="C91" i="3"/>
  <c r="C90" i="3"/>
  <c r="C89" i="3"/>
  <c r="C88" i="3"/>
  <c r="C87" i="3"/>
  <c r="C81" i="3"/>
  <c r="C80" i="3"/>
  <c r="C79" i="3"/>
  <c r="C78" i="3"/>
  <c r="C77" i="3"/>
  <c r="C76" i="3"/>
  <c r="C72" i="3"/>
  <c r="C71" i="3"/>
  <c r="C70" i="3"/>
  <c r="C69" i="3"/>
  <c r="C68" i="3"/>
  <c r="C64" i="3"/>
  <c r="C63" i="3"/>
  <c r="C62" i="3"/>
  <c r="C61" i="3"/>
  <c r="C60" i="3"/>
  <c r="C59" i="3"/>
  <c r="C58" i="3"/>
  <c r="C57" i="3"/>
  <c r="C56" i="3"/>
  <c r="C55" i="3"/>
  <c r="C51" i="3"/>
  <c r="C50" i="3"/>
  <c r="C47" i="3"/>
  <c r="C45" i="3"/>
  <c r="C44" i="3"/>
  <c r="C42" i="3"/>
  <c r="C41" i="3"/>
  <c r="C36" i="3"/>
  <c r="C35" i="3"/>
  <c r="C31" i="3"/>
  <c r="C30" i="3"/>
  <c r="C22" i="3"/>
  <c r="C21" i="3"/>
  <c r="C16" i="3"/>
  <c r="C15" i="3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3" i="2"/>
  <c r="C126" i="2"/>
  <c r="C125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97" i="2"/>
  <c r="C96" i="2"/>
  <c r="C95" i="2"/>
  <c r="C94" i="2"/>
  <c r="C93" i="2"/>
  <c r="C88" i="2"/>
  <c r="C87" i="2"/>
  <c r="C86" i="2"/>
  <c r="C82" i="2"/>
  <c r="C81" i="2"/>
  <c r="C80" i="2"/>
  <c r="C73" i="2"/>
  <c r="C72" i="2"/>
  <c r="C71" i="2"/>
  <c r="C70" i="2"/>
  <c r="C69" i="2"/>
  <c r="C68" i="2"/>
  <c r="C67" i="2"/>
  <c r="C66" i="2"/>
  <c r="C65" i="2"/>
  <c r="C64" i="2"/>
  <c r="C63" i="2"/>
  <c r="C59" i="2"/>
  <c r="C58" i="2"/>
  <c r="C57" i="2"/>
  <c r="C56" i="2"/>
  <c r="C55" i="2"/>
  <c r="C54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5" i="2"/>
  <c r="C34" i="2"/>
  <c r="C31" i="2"/>
  <c r="C29" i="2"/>
  <c r="C28" i="2"/>
  <c r="C26" i="2"/>
  <c r="C25" i="2"/>
  <c r="C20" i="2"/>
  <c r="C19" i="2"/>
  <c r="C15" i="2"/>
  <c r="C14" i="2"/>
  <c r="C13" i="2"/>
  <c r="L17" i="3" l="1"/>
  <c r="M17" i="3"/>
  <c r="D90" i="6"/>
  <c r="L78" i="6" l="1"/>
  <c r="K78" i="6"/>
  <c r="T58" i="1"/>
  <c r="T57" i="1"/>
  <c r="T52" i="1"/>
  <c r="T50" i="1"/>
  <c r="T45" i="1"/>
  <c r="T44" i="1"/>
  <c r="T41" i="1"/>
  <c r="T40" i="1"/>
  <c r="T39" i="1"/>
  <c r="T35" i="1"/>
  <c r="T33" i="1"/>
  <c r="T30" i="1"/>
  <c r="T26" i="1"/>
  <c r="T25" i="1"/>
  <c r="T23" i="1"/>
  <c r="T19" i="1"/>
  <c r="T17" i="1"/>
  <c r="T12" i="1"/>
  <c r="F178" i="3" l="1"/>
  <c r="T36" i="4" l="1"/>
  <c r="T54" i="3"/>
  <c r="T53" i="3"/>
  <c r="T49" i="3"/>
  <c r="T48" i="3"/>
  <c r="T46" i="3"/>
  <c r="T43" i="3"/>
  <c r="T40" i="3"/>
  <c r="T39" i="3"/>
  <c r="T38" i="3"/>
  <c r="T34" i="3"/>
  <c r="T33" i="3"/>
  <c r="T29" i="3"/>
  <c r="T28" i="3"/>
  <c r="T27" i="3"/>
  <c r="T25" i="3"/>
  <c r="T24" i="3"/>
  <c r="T23" i="3"/>
  <c r="T20" i="3"/>
  <c r="T19" i="3"/>
  <c r="T18" i="3"/>
  <c r="T187" i="3"/>
  <c r="T186" i="3"/>
  <c r="T184" i="3"/>
  <c r="T180" i="3"/>
  <c r="T179" i="3"/>
  <c r="T176" i="3"/>
  <c r="T172" i="3"/>
  <c r="T171" i="3"/>
  <c r="T160" i="3"/>
  <c r="T156" i="3"/>
  <c r="T153" i="3"/>
  <c r="T131" i="3"/>
  <c r="T127" i="3"/>
  <c r="T124" i="3"/>
  <c r="T120" i="3"/>
  <c r="T119" i="3"/>
  <c r="T117" i="3"/>
  <c r="T115" i="3"/>
  <c r="T112" i="3"/>
  <c r="T111" i="3"/>
  <c r="T101" i="3"/>
  <c r="T100" i="3"/>
  <c r="T98" i="3"/>
  <c r="T33" i="2"/>
  <c r="T32" i="2"/>
  <c r="T30" i="2"/>
  <c r="T27" i="2"/>
  <c r="T24" i="2"/>
  <c r="T172" i="2"/>
  <c r="T171" i="2"/>
  <c r="T170" i="2"/>
  <c r="T169" i="2"/>
  <c r="T168" i="2"/>
  <c r="T167" i="2"/>
  <c r="T166" i="2"/>
  <c r="T164" i="2"/>
  <c r="T163" i="2"/>
  <c r="T161" i="2"/>
  <c r="T159" i="2"/>
  <c r="T136" i="2"/>
  <c r="T135" i="2"/>
  <c r="T132" i="2"/>
  <c r="T131" i="2"/>
  <c r="T130" i="2"/>
  <c r="T128" i="2"/>
  <c r="T124" i="2"/>
  <c r="T123" i="2"/>
  <c r="T75" i="2"/>
  <c r="T47" i="2"/>
  <c r="F56" i="5" l="1"/>
  <c r="F54" i="5"/>
  <c r="F20" i="5"/>
  <c r="F15" i="5"/>
  <c r="T58" i="5"/>
  <c r="T57" i="5"/>
  <c r="T55" i="5"/>
  <c r="T22" i="5"/>
  <c r="T21" i="5"/>
  <c r="T17" i="5"/>
  <c r="T16" i="5"/>
  <c r="F183" i="3"/>
  <c r="F22" i="1" s="1"/>
  <c r="F94" i="2" l="1"/>
  <c r="F93" i="2"/>
  <c r="F162" i="3"/>
  <c r="F161" i="3"/>
  <c r="F158" i="3"/>
  <c r="F157" i="3"/>
  <c r="F133" i="3"/>
  <c r="F132" i="3"/>
  <c r="F129" i="3"/>
  <c r="F128" i="3"/>
  <c r="F126" i="3"/>
  <c r="F125" i="3"/>
  <c r="F114" i="3"/>
  <c r="F97" i="3"/>
  <c r="F84" i="3"/>
  <c r="F65" i="3"/>
  <c r="F110" i="3"/>
  <c r="F51" i="3"/>
  <c r="F50" i="3"/>
  <c r="F47" i="3"/>
  <c r="F45" i="3"/>
  <c r="F44" i="3"/>
  <c r="F42" i="3"/>
  <c r="F41" i="3"/>
  <c r="F73" i="3"/>
  <c r="F41" i="4"/>
  <c r="F39" i="4"/>
  <c r="F37" i="4"/>
  <c r="F31" i="4"/>
  <c r="F29" i="4"/>
  <c r="F25" i="4"/>
  <c r="F21" i="4"/>
  <c r="F17" i="4"/>
  <c r="F13" i="4"/>
  <c r="G1" i="4"/>
  <c r="H1" i="4" s="1"/>
  <c r="I1" i="4" s="1"/>
  <c r="J1" i="4" s="1"/>
  <c r="K1" i="4" s="1"/>
  <c r="F36" i="3"/>
  <c r="F35" i="3"/>
  <c r="F31" i="3"/>
  <c r="F30" i="3"/>
  <c r="F1" i="3"/>
  <c r="G1" i="3" s="1"/>
  <c r="F35" i="2"/>
  <c r="F34" i="2"/>
  <c r="F31" i="2"/>
  <c r="F29" i="2"/>
  <c r="F28" i="2"/>
  <c r="F26" i="2"/>
  <c r="F25" i="2"/>
  <c r="F20" i="2"/>
  <c r="F19" i="2"/>
  <c r="F1" i="2"/>
  <c r="G1" i="2" s="1"/>
  <c r="H1" i="2" s="1"/>
  <c r="I1" i="2" s="1"/>
  <c r="J1" i="2" s="1"/>
  <c r="K1" i="2" s="1"/>
  <c r="F134" i="2"/>
  <c r="F127" i="2"/>
  <c r="F122" i="2"/>
  <c r="F89" i="2"/>
  <c r="F83" i="2"/>
  <c r="F74" i="2"/>
  <c r="F60" i="2"/>
  <c r="F16" i="2"/>
  <c r="Q58" i="7"/>
  <c r="P58" i="7"/>
  <c r="Q29" i="2" s="1"/>
  <c r="O58" i="7"/>
  <c r="N58" i="7"/>
  <c r="M58" i="7"/>
  <c r="J58" i="7"/>
  <c r="I58" i="7"/>
  <c r="H58" i="7"/>
  <c r="G58" i="7"/>
  <c r="F58" i="7"/>
  <c r="Q57" i="7"/>
  <c r="P57" i="7"/>
  <c r="O57" i="7"/>
  <c r="N57" i="7"/>
  <c r="M57" i="7"/>
  <c r="J57" i="7"/>
  <c r="I57" i="7"/>
  <c r="H57" i="7"/>
  <c r="G57" i="7"/>
  <c r="F57" i="7"/>
  <c r="Q56" i="7"/>
  <c r="P56" i="7"/>
  <c r="O56" i="7"/>
  <c r="N56" i="7"/>
  <c r="M56" i="7"/>
  <c r="J56" i="7"/>
  <c r="I56" i="7"/>
  <c r="H56" i="7"/>
  <c r="G56" i="7"/>
  <c r="F56" i="7"/>
  <c r="Q55" i="7"/>
  <c r="P55" i="7"/>
  <c r="O55" i="7"/>
  <c r="P37" i="5" s="1"/>
  <c r="N55" i="7"/>
  <c r="O37" i="5" s="1"/>
  <c r="M55" i="7"/>
  <c r="N37" i="5" s="1"/>
  <c r="J55" i="7"/>
  <c r="K37" i="5" s="1"/>
  <c r="I55" i="7"/>
  <c r="J37" i="5" s="1"/>
  <c r="H55" i="7"/>
  <c r="I37" i="5" s="1"/>
  <c r="G55" i="7"/>
  <c r="H37" i="5" s="1"/>
  <c r="F55" i="7"/>
  <c r="G37" i="5" s="1"/>
  <c r="Q54" i="7"/>
  <c r="P54" i="7"/>
  <c r="Q53" i="2" s="1"/>
  <c r="O54" i="7"/>
  <c r="N54" i="7"/>
  <c r="M54" i="7"/>
  <c r="J54" i="7"/>
  <c r="I54" i="7"/>
  <c r="H54" i="7"/>
  <c r="G54" i="7"/>
  <c r="F54" i="7"/>
  <c r="Q53" i="7"/>
  <c r="P53" i="7"/>
  <c r="O53" i="7"/>
  <c r="N53" i="7"/>
  <c r="M53" i="7"/>
  <c r="J53" i="7"/>
  <c r="I53" i="7"/>
  <c r="H53" i="7"/>
  <c r="I51" i="2" s="1"/>
  <c r="G53" i="7"/>
  <c r="F53" i="7"/>
  <c r="Q52" i="7"/>
  <c r="P52" i="7"/>
  <c r="O52" i="7"/>
  <c r="N52" i="7"/>
  <c r="M52" i="7"/>
  <c r="J52" i="7"/>
  <c r="K115" i="2" s="1"/>
  <c r="I52" i="7"/>
  <c r="H52" i="7"/>
  <c r="G52" i="7"/>
  <c r="F52" i="7"/>
  <c r="Q51" i="7"/>
  <c r="P51" i="7"/>
  <c r="O51" i="7"/>
  <c r="N51" i="7"/>
  <c r="O110" i="2" s="1"/>
  <c r="M51" i="7"/>
  <c r="J51" i="7"/>
  <c r="I51" i="7"/>
  <c r="H51" i="7"/>
  <c r="G51" i="7"/>
  <c r="F51" i="7"/>
  <c r="Q50" i="7"/>
  <c r="P50" i="7"/>
  <c r="Q44" i="2" s="1"/>
  <c r="O50" i="7"/>
  <c r="N50" i="7"/>
  <c r="M50" i="7"/>
  <c r="J50" i="7"/>
  <c r="I50" i="7"/>
  <c r="H50" i="7"/>
  <c r="G50" i="7"/>
  <c r="F50" i="7"/>
  <c r="Q49" i="7"/>
  <c r="P49" i="7"/>
  <c r="O49" i="7"/>
  <c r="N49" i="7"/>
  <c r="M49" i="7"/>
  <c r="J49" i="7"/>
  <c r="I49" i="7"/>
  <c r="H49" i="7"/>
  <c r="I42" i="2" s="1"/>
  <c r="G49" i="7"/>
  <c r="F49" i="7"/>
  <c r="Q48" i="7"/>
  <c r="P48" i="7"/>
  <c r="O48" i="7"/>
  <c r="N48" i="7"/>
  <c r="M48" i="7"/>
  <c r="J48" i="7"/>
  <c r="K102" i="2" s="1"/>
  <c r="I48" i="7"/>
  <c r="H48" i="7"/>
  <c r="G48" i="7"/>
  <c r="H102" i="2" s="1"/>
  <c r="F48" i="7"/>
  <c r="Q47" i="7"/>
  <c r="P47" i="7"/>
  <c r="O47" i="7"/>
  <c r="N47" i="7"/>
  <c r="O54" i="2" s="1"/>
  <c r="M47" i="7"/>
  <c r="J47" i="7"/>
  <c r="I47" i="7"/>
  <c r="J114" i="2" s="1"/>
  <c r="H47" i="7"/>
  <c r="G47" i="7"/>
  <c r="F47" i="7"/>
  <c r="Q46" i="7"/>
  <c r="P46" i="7"/>
  <c r="Q49" i="2" s="1"/>
  <c r="O46" i="7"/>
  <c r="N46" i="7"/>
  <c r="M46" i="7"/>
  <c r="N49" i="2" s="1"/>
  <c r="J46" i="7"/>
  <c r="I46" i="7"/>
  <c r="H46" i="7"/>
  <c r="G46" i="7"/>
  <c r="F46" i="7"/>
  <c r="Q45" i="7"/>
  <c r="P45" i="7"/>
  <c r="O45" i="7"/>
  <c r="N45" i="7"/>
  <c r="M45" i="7"/>
  <c r="J45" i="7"/>
  <c r="I45" i="7"/>
  <c r="H45" i="7"/>
  <c r="G45" i="7"/>
  <c r="F45" i="7"/>
  <c r="Q44" i="7"/>
  <c r="R43" i="2" s="1"/>
  <c r="P44" i="7"/>
  <c r="O44" i="7"/>
  <c r="N44" i="7"/>
  <c r="M44" i="7"/>
  <c r="J44" i="7"/>
  <c r="I44" i="7"/>
  <c r="H44" i="7"/>
  <c r="G44" i="7"/>
  <c r="H43" i="2" s="1"/>
  <c r="F44" i="7"/>
  <c r="Q43" i="7"/>
  <c r="P43" i="7"/>
  <c r="O43" i="7"/>
  <c r="N43" i="7"/>
  <c r="O41" i="2" s="1"/>
  <c r="M43" i="7"/>
  <c r="J43" i="7"/>
  <c r="I43" i="7"/>
  <c r="J41" i="2" s="1"/>
  <c r="H43" i="7"/>
  <c r="G43" i="7"/>
  <c r="F43" i="7"/>
  <c r="Q42" i="7"/>
  <c r="P42" i="7"/>
  <c r="Q39" i="2" s="1"/>
  <c r="O42" i="7"/>
  <c r="N42" i="7"/>
  <c r="M42" i="7"/>
  <c r="N39" i="2" s="1"/>
  <c r="J42" i="7"/>
  <c r="I42" i="7"/>
  <c r="H42" i="7"/>
  <c r="G42" i="7"/>
  <c r="F42" i="7"/>
  <c r="Q41" i="7"/>
  <c r="P41" i="7"/>
  <c r="O41" i="7"/>
  <c r="P111" i="2" s="1"/>
  <c r="N41" i="7"/>
  <c r="M41" i="7"/>
  <c r="J41" i="7"/>
  <c r="I41" i="7"/>
  <c r="H41" i="7"/>
  <c r="I111" i="2" s="1"/>
  <c r="G41" i="7"/>
  <c r="F41" i="7"/>
  <c r="Q40" i="7"/>
  <c r="R109" i="2" s="1"/>
  <c r="P40" i="7"/>
  <c r="O40" i="7"/>
  <c r="N40" i="7"/>
  <c r="M40" i="7"/>
  <c r="J40" i="7"/>
  <c r="K109" i="2" s="1"/>
  <c r="I40" i="7"/>
  <c r="H40" i="7"/>
  <c r="G40" i="7"/>
  <c r="H109" i="2" s="1"/>
  <c r="F40" i="7"/>
  <c r="Q39" i="7"/>
  <c r="P39" i="7"/>
  <c r="O39" i="7"/>
  <c r="N39" i="7"/>
  <c r="O105" i="2" s="1"/>
  <c r="M39" i="7"/>
  <c r="J39" i="7"/>
  <c r="I39" i="7"/>
  <c r="J105" i="2" s="1"/>
  <c r="H39" i="7"/>
  <c r="G39" i="7"/>
  <c r="F39" i="7"/>
  <c r="Q38" i="7"/>
  <c r="P38" i="7"/>
  <c r="Q103" i="2" s="1"/>
  <c r="O38" i="7"/>
  <c r="N38" i="7"/>
  <c r="M38" i="7"/>
  <c r="N103" i="2" s="1"/>
  <c r="J38" i="7"/>
  <c r="I38" i="7"/>
  <c r="H38" i="7"/>
  <c r="G38" i="7"/>
  <c r="F38" i="7"/>
  <c r="Q37" i="7"/>
  <c r="P37" i="7"/>
  <c r="O37" i="7"/>
  <c r="P101" i="2" s="1"/>
  <c r="N37" i="7"/>
  <c r="M37" i="7"/>
  <c r="J37" i="7"/>
  <c r="I37" i="7"/>
  <c r="H37" i="7"/>
  <c r="I101" i="2" s="1"/>
  <c r="G37" i="7"/>
  <c r="F37" i="7"/>
  <c r="Q36" i="7"/>
  <c r="P36" i="7"/>
  <c r="O36" i="7"/>
  <c r="N36" i="7"/>
  <c r="M36" i="7"/>
  <c r="J36" i="7"/>
  <c r="I36" i="7"/>
  <c r="H36" i="7"/>
  <c r="G36" i="7"/>
  <c r="F36" i="7"/>
  <c r="Q35" i="7"/>
  <c r="P35" i="7"/>
  <c r="O35" i="7"/>
  <c r="N35" i="7"/>
  <c r="M35" i="7"/>
  <c r="J35" i="7"/>
  <c r="I35" i="7"/>
  <c r="H35" i="7"/>
  <c r="G35" i="7"/>
  <c r="F35" i="7"/>
  <c r="Q34" i="7"/>
  <c r="P34" i="7"/>
  <c r="O34" i="7"/>
  <c r="N34" i="7"/>
  <c r="M34" i="7"/>
  <c r="J34" i="7"/>
  <c r="I34" i="7"/>
  <c r="H34" i="7"/>
  <c r="G34" i="7"/>
  <c r="F34" i="7"/>
  <c r="E34" i="7" s="1"/>
  <c r="Q33" i="7"/>
  <c r="P33" i="7"/>
  <c r="O33" i="7"/>
  <c r="N33" i="7"/>
  <c r="M33" i="7"/>
  <c r="J33" i="7"/>
  <c r="I33" i="7"/>
  <c r="H33" i="7"/>
  <c r="G33" i="7"/>
  <c r="F33" i="7"/>
  <c r="E33" i="7" s="1"/>
  <c r="Q32" i="7"/>
  <c r="P32" i="7"/>
  <c r="O32" i="7"/>
  <c r="N32" i="7"/>
  <c r="M32" i="7"/>
  <c r="J32" i="7"/>
  <c r="I32" i="7"/>
  <c r="H32" i="7"/>
  <c r="G32" i="7"/>
  <c r="F32" i="7"/>
  <c r="E32" i="7" s="1"/>
  <c r="Q31" i="7"/>
  <c r="P31" i="7"/>
  <c r="O31" i="7"/>
  <c r="N31" i="7"/>
  <c r="M31" i="7"/>
  <c r="J31" i="7"/>
  <c r="I31" i="7"/>
  <c r="H31" i="7"/>
  <c r="G31" i="7"/>
  <c r="F31" i="7"/>
  <c r="E31" i="7" s="1"/>
  <c r="Q30" i="7"/>
  <c r="P30" i="7"/>
  <c r="Q118" i="2" s="1"/>
  <c r="O30" i="7"/>
  <c r="N30" i="7"/>
  <c r="M30" i="7"/>
  <c r="N118" i="2" s="1"/>
  <c r="J30" i="7"/>
  <c r="I30" i="7"/>
  <c r="H30" i="7"/>
  <c r="G30" i="7"/>
  <c r="F30" i="7"/>
  <c r="Q29" i="7"/>
  <c r="P29" i="7"/>
  <c r="O29" i="7"/>
  <c r="N29" i="7"/>
  <c r="M29" i="7"/>
  <c r="J29" i="7"/>
  <c r="I29" i="7"/>
  <c r="H29" i="7"/>
  <c r="G29" i="7"/>
  <c r="F29" i="7"/>
  <c r="Q28" i="7"/>
  <c r="P28" i="7"/>
  <c r="O28" i="7"/>
  <c r="N28" i="7"/>
  <c r="M28" i="7"/>
  <c r="J28" i="7"/>
  <c r="I28" i="7"/>
  <c r="H28" i="7"/>
  <c r="G28" i="7"/>
  <c r="F28" i="7"/>
  <c r="Q27" i="7"/>
  <c r="P27" i="7"/>
  <c r="O27" i="7"/>
  <c r="N27" i="7"/>
  <c r="M27" i="7"/>
  <c r="J27" i="7"/>
  <c r="I27" i="7"/>
  <c r="H27" i="7"/>
  <c r="G27" i="7"/>
  <c r="F27" i="7"/>
  <c r="E27" i="7" s="1"/>
  <c r="Q26" i="7"/>
  <c r="P26" i="7"/>
  <c r="Q117" i="2" s="1"/>
  <c r="O26" i="7"/>
  <c r="N26" i="7"/>
  <c r="M26" i="7"/>
  <c r="N55" i="2" s="1"/>
  <c r="J26" i="7"/>
  <c r="I26" i="7"/>
  <c r="H26" i="7"/>
  <c r="G26" i="7"/>
  <c r="F26" i="7"/>
  <c r="Q25" i="7"/>
  <c r="P25" i="7"/>
  <c r="O25" i="7"/>
  <c r="P119" i="2" s="1"/>
  <c r="N25" i="7"/>
  <c r="M25" i="7"/>
  <c r="J25" i="7"/>
  <c r="I25" i="7"/>
  <c r="H25" i="7"/>
  <c r="I119" i="2" s="1"/>
  <c r="G25" i="7"/>
  <c r="F25" i="7"/>
  <c r="Q24" i="7"/>
  <c r="P24" i="7"/>
  <c r="O24" i="7"/>
  <c r="N24" i="7"/>
  <c r="M24" i="7"/>
  <c r="J24" i="7"/>
  <c r="I24" i="7"/>
  <c r="H24" i="7"/>
  <c r="G24" i="7"/>
  <c r="F24" i="7"/>
  <c r="Q23" i="7"/>
  <c r="P23" i="7"/>
  <c r="O23" i="7"/>
  <c r="P30" i="5" s="1"/>
  <c r="N23" i="7"/>
  <c r="O30" i="5" s="1"/>
  <c r="M23" i="7"/>
  <c r="N30" i="5" s="1"/>
  <c r="J23" i="7"/>
  <c r="K30" i="5" s="1"/>
  <c r="I23" i="7"/>
  <c r="J30" i="5" s="1"/>
  <c r="H23" i="7"/>
  <c r="I30" i="5" s="1"/>
  <c r="G23" i="7"/>
  <c r="H30" i="5" s="1"/>
  <c r="F23" i="7"/>
  <c r="G30" i="5" s="1"/>
  <c r="Q22" i="7"/>
  <c r="R29" i="5" s="1"/>
  <c r="P22" i="7"/>
  <c r="Q29" i="5" s="1"/>
  <c r="O22" i="7"/>
  <c r="N22" i="7"/>
  <c r="O29" i="5" s="1"/>
  <c r="M22" i="7"/>
  <c r="N29" i="5" s="1"/>
  <c r="J22" i="7"/>
  <c r="K29" i="5" s="1"/>
  <c r="I22" i="7"/>
  <c r="J29" i="5" s="1"/>
  <c r="H22" i="7"/>
  <c r="I29" i="5" s="1"/>
  <c r="G22" i="7"/>
  <c r="H29" i="5" s="1"/>
  <c r="F22" i="7"/>
  <c r="G29" i="5" s="1"/>
  <c r="Q21" i="7"/>
  <c r="P21" i="7"/>
  <c r="O21" i="7"/>
  <c r="P26" i="5" s="1"/>
  <c r="N21" i="7"/>
  <c r="O26" i="5" s="1"/>
  <c r="M21" i="7"/>
  <c r="N26" i="5" s="1"/>
  <c r="J21" i="7"/>
  <c r="K26" i="5" s="1"/>
  <c r="I21" i="7"/>
  <c r="J26" i="5" s="1"/>
  <c r="H21" i="7"/>
  <c r="I26" i="5" s="1"/>
  <c r="G21" i="7"/>
  <c r="H26" i="5" s="1"/>
  <c r="F21" i="7"/>
  <c r="G26" i="5" s="1"/>
  <c r="Q20" i="7"/>
  <c r="R24" i="5" s="1"/>
  <c r="P20" i="7"/>
  <c r="Q24" i="5" s="1"/>
  <c r="O20" i="7"/>
  <c r="N20" i="7"/>
  <c r="O24" i="5" s="1"/>
  <c r="M20" i="7"/>
  <c r="N24" i="5" s="1"/>
  <c r="J20" i="7"/>
  <c r="K24" i="5" s="1"/>
  <c r="I20" i="7"/>
  <c r="J24" i="5" s="1"/>
  <c r="H20" i="7"/>
  <c r="I24" i="5" s="1"/>
  <c r="G20" i="7"/>
  <c r="H24" i="5" s="1"/>
  <c r="F20" i="7"/>
  <c r="G24" i="5" s="1"/>
  <c r="Q19" i="7"/>
  <c r="P19" i="7"/>
  <c r="O19" i="7"/>
  <c r="P23" i="5" s="1"/>
  <c r="N19" i="7"/>
  <c r="O23" i="5" s="1"/>
  <c r="M19" i="7"/>
  <c r="N23" i="5" s="1"/>
  <c r="J19" i="7"/>
  <c r="K23" i="5" s="1"/>
  <c r="I19" i="7"/>
  <c r="J23" i="5" s="1"/>
  <c r="H19" i="7"/>
  <c r="I23" i="5" s="1"/>
  <c r="G19" i="7"/>
  <c r="H23" i="5" s="1"/>
  <c r="F19" i="7"/>
  <c r="G23" i="5" s="1"/>
  <c r="Q18" i="7"/>
  <c r="R45" i="5" s="1"/>
  <c r="P18" i="7"/>
  <c r="Q45" i="5" s="1"/>
  <c r="O18" i="7"/>
  <c r="N18" i="7"/>
  <c r="O45" i="5" s="1"/>
  <c r="M18" i="7"/>
  <c r="J18" i="7"/>
  <c r="K45" i="5" s="1"/>
  <c r="I18" i="7"/>
  <c r="J45" i="5" s="1"/>
  <c r="H18" i="7"/>
  <c r="I45" i="5" s="1"/>
  <c r="G18" i="7"/>
  <c r="H45" i="5" s="1"/>
  <c r="F18" i="7"/>
  <c r="G45" i="5" s="1"/>
  <c r="Q17" i="7"/>
  <c r="P17" i="7"/>
  <c r="O17" i="7"/>
  <c r="N17" i="7"/>
  <c r="M17" i="7"/>
  <c r="J17" i="7"/>
  <c r="I17" i="7"/>
  <c r="H17" i="7"/>
  <c r="G17" i="7"/>
  <c r="F17" i="7"/>
  <c r="Q16" i="7"/>
  <c r="R31" i="5" s="1"/>
  <c r="P16" i="7"/>
  <c r="Q31" i="5" s="1"/>
  <c r="O16" i="7"/>
  <c r="N16" i="7"/>
  <c r="O31" i="5" s="1"/>
  <c r="M16" i="7"/>
  <c r="N31" i="5" s="1"/>
  <c r="J16" i="7"/>
  <c r="K31" i="5" s="1"/>
  <c r="I16" i="7"/>
  <c r="J31" i="5" s="1"/>
  <c r="H16" i="7"/>
  <c r="I31" i="5" s="1"/>
  <c r="G16" i="7"/>
  <c r="H31" i="5" s="1"/>
  <c r="F16" i="7"/>
  <c r="G31" i="5" s="1"/>
  <c r="Q15" i="7"/>
  <c r="P15" i="7"/>
  <c r="O15" i="7"/>
  <c r="N15" i="7"/>
  <c r="M15" i="7"/>
  <c r="J15" i="7"/>
  <c r="I15" i="7"/>
  <c r="H15" i="7"/>
  <c r="G15" i="7"/>
  <c r="F15" i="7"/>
  <c r="Q14" i="7"/>
  <c r="R14" i="5" s="1"/>
  <c r="P14" i="7"/>
  <c r="Q14" i="5" s="1"/>
  <c r="O14" i="7"/>
  <c r="N14" i="7"/>
  <c r="O14" i="5" s="1"/>
  <c r="M14" i="7"/>
  <c r="N14" i="5" s="1"/>
  <c r="J14" i="7"/>
  <c r="K14" i="5" s="1"/>
  <c r="I14" i="7"/>
  <c r="J14" i="5" s="1"/>
  <c r="H14" i="7"/>
  <c r="I14" i="5" s="1"/>
  <c r="G14" i="7"/>
  <c r="H14" i="5" s="1"/>
  <c r="F14" i="7"/>
  <c r="G14" i="5" s="1"/>
  <c r="Q13" i="7"/>
  <c r="P13" i="7"/>
  <c r="O13" i="7"/>
  <c r="N13" i="7"/>
  <c r="M13" i="7"/>
  <c r="J13" i="7"/>
  <c r="I13" i="7"/>
  <c r="H13" i="7"/>
  <c r="G13" i="7"/>
  <c r="F13" i="7"/>
  <c r="Q12" i="7"/>
  <c r="P12" i="7"/>
  <c r="O12" i="7"/>
  <c r="N12" i="7"/>
  <c r="M12" i="7"/>
  <c r="J12" i="7"/>
  <c r="I12" i="7"/>
  <c r="H12" i="7"/>
  <c r="G12" i="7"/>
  <c r="F12" i="7"/>
  <c r="Q11" i="7"/>
  <c r="P11" i="7"/>
  <c r="O11" i="7"/>
  <c r="N11" i="7"/>
  <c r="M11" i="7"/>
  <c r="J11" i="7"/>
  <c r="I11" i="7"/>
  <c r="H11" i="7"/>
  <c r="G11" i="7"/>
  <c r="F11" i="7"/>
  <c r="Q10" i="7"/>
  <c r="P10" i="7"/>
  <c r="O10" i="7"/>
  <c r="N10" i="7"/>
  <c r="M10" i="7"/>
  <c r="J10" i="7"/>
  <c r="I10" i="7"/>
  <c r="H10" i="7"/>
  <c r="G10" i="7"/>
  <c r="F10" i="7"/>
  <c r="Q9" i="7"/>
  <c r="P9" i="7"/>
  <c r="O9" i="7"/>
  <c r="N9" i="7"/>
  <c r="M9" i="7"/>
  <c r="J9" i="7"/>
  <c r="I9" i="7"/>
  <c r="H9" i="7"/>
  <c r="G9" i="7"/>
  <c r="F9" i="7"/>
  <c r="Q8" i="7"/>
  <c r="P8" i="7"/>
  <c r="O8" i="7"/>
  <c r="N8" i="7"/>
  <c r="M8" i="7"/>
  <c r="J8" i="7"/>
  <c r="I8" i="7"/>
  <c r="H8" i="7"/>
  <c r="G8" i="7"/>
  <c r="F8" i="7"/>
  <c r="Q7" i="7"/>
  <c r="P7" i="7"/>
  <c r="O7" i="7"/>
  <c r="N7" i="7"/>
  <c r="M7" i="7"/>
  <c r="J7" i="7"/>
  <c r="K28" i="4" s="1"/>
  <c r="K29" i="4" s="1"/>
  <c r="I7" i="7"/>
  <c r="H7" i="7"/>
  <c r="G7" i="7"/>
  <c r="F7" i="7"/>
  <c r="D111" i="7"/>
  <c r="C111" i="7"/>
  <c r="B111" i="7"/>
  <c r="D110" i="7"/>
  <c r="C110" i="7"/>
  <c r="B110" i="7"/>
  <c r="D109" i="7"/>
  <c r="C109" i="7"/>
  <c r="B109" i="7"/>
  <c r="D108" i="7"/>
  <c r="C108" i="7"/>
  <c r="B108" i="7"/>
  <c r="D107" i="7"/>
  <c r="C107" i="7"/>
  <c r="B107" i="7"/>
  <c r="D106" i="7"/>
  <c r="C106" i="7"/>
  <c r="B106" i="7"/>
  <c r="D105" i="7"/>
  <c r="C105" i="7"/>
  <c r="B105" i="7"/>
  <c r="D104" i="7"/>
  <c r="C104" i="7"/>
  <c r="B104" i="7"/>
  <c r="D103" i="7"/>
  <c r="C103" i="7"/>
  <c r="B103" i="7"/>
  <c r="D102" i="7"/>
  <c r="C102" i="7"/>
  <c r="B102" i="7"/>
  <c r="D101" i="7"/>
  <c r="C101" i="7"/>
  <c r="B101" i="7"/>
  <c r="D100" i="7"/>
  <c r="C100" i="7"/>
  <c r="B100" i="7"/>
  <c r="D99" i="7"/>
  <c r="C99" i="7"/>
  <c r="B99" i="7"/>
  <c r="D98" i="7"/>
  <c r="C98" i="7"/>
  <c r="B98" i="7"/>
  <c r="D97" i="7"/>
  <c r="C97" i="7"/>
  <c r="B97" i="7"/>
  <c r="D96" i="7"/>
  <c r="C96" i="7"/>
  <c r="B96" i="7"/>
  <c r="D95" i="7"/>
  <c r="C95" i="7"/>
  <c r="B95" i="7"/>
  <c r="D94" i="7"/>
  <c r="C94" i="7"/>
  <c r="B94" i="7"/>
  <c r="D93" i="7"/>
  <c r="C93" i="7"/>
  <c r="B93" i="7"/>
  <c r="D92" i="7"/>
  <c r="C92" i="7"/>
  <c r="B92" i="7"/>
  <c r="D91" i="7"/>
  <c r="C91" i="7"/>
  <c r="B91" i="7"/>
  <c r="D90" i="7"/>
  <c r="C90" i="7"/>
  <c r="B90" i="7"/>
  <c r="D89" i="7"/>
  <c r="C89" i="7"/>
  <c r="B89" i="7"/>
  <c r="D88" i="7"/>
  <c r="C88" i="7"/>
  <c r="B88" i="7"/>
  <c r="D87" i="7"/>
  <c r="C87" i="7"/>
  <c r="B87" i="7"/>
  <c r="D86" i="7"/>
  <c r="C86" i="7"/>
  <c r="B86" i="7"/>
  <c r="D85" i="7"/>
  <c r="C85" i="7"/>
  <c r="B85" i="7"/>
  <c r="D84" i="7"/>
  <c r="C84" i="7"/>
  <c r="B84" i="7"/>
  <c r="D83" i="7"/>
  <c r="C83" i="7"/>
  <c r="B83" i="7"/>
  <c r="D82" i="7"/>
  <c r="C82" i="7"/>
  <c r="B82" i="7"/>
  <c r="D81" i="7"/>
  <c r="C81" i="7"/>
  <c r="B81" i="7"/>
  <c r="D80" i="7"/>
  <c r="C80" i="7"/>
  <c r="B80" i="7"/>
  <c r="D79" i="7"/>
  <c r="C79" i="7"/>
  <c r="B79" i="7"/>
  <c r="D78" i="7"/>
  <c r="C78" i="7"/>
  <c r="B78" i="7"/>
  <c r="D77" i="7"/>
  <c r="C77" i="7"/>
  <c r="B77" i="7"/>
  <c r="D76" i="7"/>
  <c r="C76" i="7"/>
  <c r="B76" i="7"/>
  <c r="D75" i="7"/>
  <c r="C75" i="7"/>
  <c r="B75" i="7"/>
  <c r="D74" i="7"/>
  <c r="C74" i="7"/>
  <c r="B74" i="7"/>
  <c r="D73" i="7"/>
  <c r="C73" i="7"/>
  <c r="B73" i="7"/>
  <c r="D72" i="7"/>
  <c r="C72" i="7"/>
  <c r="B72" i="7"/>
  <c r="D71" i="7"/>
  <c r="C71" i="7"/>
  <c r="B71" i="7"/>
  <c r="D70" i="7"/>
  <c r="C70" i="7"/>
  <c r="B70" i="7"/>
  <c r="D69" i="7"/>
  <c r="C69" i="7"/>
  <c r="B69" i="7"/>
  <c r="D68" i="7"/>
  <c r="C68" i="7"/>
  <c r="B68" i="7"/>
  <c r="D67" i="7"/>
  <c r="C67" i="7"/>
  <c r="B67" i="7"/>
  <c r="D66" i="7"/>
  <c r="C66" i="7"/>
  <c r="B66" i="7"/>
  <c r="D65" i="7"/>
  <c r="C65" i="7"/>
  <c r="B65" i="7"/>
  <c r="D64" i="7"/>
  <c r="C64" i="7"/>
  <c r="B64" i="7"/>
  <c r="D63" i="7"/>
  <c r="C63" i="7"/>
  <c r="B63" i="7"/>
  <c r="D62" i="7"/>
  <c r="C62" i="7"/>
  <c r="B62" i="7"/>
  <c r="D61" i="7"/>
  <c r="C61" i="7"/>
  <c r="B61" i="7"/>
  <c r="D60" i="7"/>
  <c r="C60" i="7"/>
  <c r="B60" i="7"/>
  <c r="D59" i="7"/>
  <c r="C59" i="7"/>
  <c r="D58" i="7"/>
  <c r="C58" i="7"/>
  <c r="B58" i="7"/>
  <c r="D57" i="7"/>
  <c r="C57" i="7"/>
  <c r="B57" i="7"/>
  <c r="D56" i="7"/>
  <c r="C56" i="7"/>
  <c r="B56" i="7"/>
  <c r="D55" i="7"/>
  <c r="C55" i="7"/>
  <c r="B55" i="7"/>
  <c r="D54" i="7"/>
  <c r="C54" i="7"/>
  <c r="B54" i="7"/>
  <c r="D53" i="7"/>
  <c r="C53" i="7"/>
  <c r="B53" i="7"/>
  <c r="D52" i="7"/>
  <c r="C52" i="7"/>
  <c r="B52" i="7"/>
  <c r="D51" i="7"/>
  <c r="C51" i="7"/>
  <c r="B51" i="7"/>
  <c r="D50" i="7"/>
  <c r="C50" i="7"/>
  <c r="B50" i="7"/>
  <c r="D49" i="7"/>
  <c r="C49" i="7"/>
  <c r="B49" i="7"/>
  <c r="D48" i="7"/>
  <c r="C48" i="7"/>
  <c r="B48" i="7"/>
  <c r="D47" i="7"/>
  <c r="C47" i="7"/>
  <c r="B47" i="7"/>
  <c r="D46" i="7"/>
  <c r="C46" i="7"/>
  <c r="B46" i="7"/>
  <c r="D45" i="7"/>
  <c r="C45" i="7"/>
  <c r="B45" i="7"/>
  <c r="D44" i="7"/>
  <c r="C44" i="7"/>
  <c r="B44" i="7"/>
  <c r="D43" i="7"/>
  <c r="C43" i="7"/>
  <c r="B43" i="7"/>
  <c r="D42" i="7"/>
  <c r="C42" i="7"/>
  <c r="B42" i="7"/>
  <c r="D41" i="7"/>
  <c r="C41" i="7"/>
  <c r="B41" i="7"/>
  <c r="D40" i="7"/>
  <c r="C40" i="7"/>
  <c r="B40" i="7"/>
  <c r="D39" i="7"/>
  <c r="C39" i="7"/>
  <c r="B39" i="7"/>
  <c r="D38" i="7"/>
  <c r="C38" i="7"/>
  <c r="B38" i="7"/>
  <c r="D37" i="7"/>
  <c r="C37" i="7"/>
  <c r="B37" i="7"/>
  <c r="D36" i="7"/>
  <c r="C36" i="7"/>
  <c r="B36" i="7"/>
  <c r="D35" i="7"/>
  <c r="C35" i="7"/>
  <c r="B35" i="7"/>
  <c r="D34" i="7"/>
  <c r="C34" i="7"/>
  <c r="B34" i="7"/>
  <c r="D33" i="7"/>
  <c r="C33" i="7"/>
  <c r="B33" i="7"/>
  <c r="D32" i="7"/>
  <c r="C32" i="7"/>
  <c r="B32" i="7"/>
  <c r="D31" i="7"/>
  <c r="C31" i="7"/>
  <c r="B31" i="7"/>
  <c r="D30" i="7"/>
  <c r="C30" i="7"/>
  <c r="B30" i="7"/>
  <c r="D29" i="7"/>
  <c r="C29" i="7"/>
  <c r="B29" i="7"/>
  <c r="D28" i="7"/>
  <c r="C28" i="7"/>
  <c r="B28" i="7"/>
  <c r="D27" i="7"/>
  <c r="C27" i="7"/>
  <c r="B27" i="7"/>
  <c r="D26" i="7"/>
  <c r="C26" i="7"/>
  <c r="B26" i="7"/>
  <c r="D25" i="7"/>
  <c r="C25" i="7"/>
  <c r="B25" i="7"/>
  <c r="D24" i="7"/>
  <c r="C24" i="7"/>
  <c r="B24" i="7"/>
  <c r="D23" i="7"/>
  <c r="C23" i="7"/>
  <c r="B23" i="7"/>
  <c r="D22" i="7"/>
  <c r="C22" i="7"/>
  <c r="B22" i="7"/>
  <c r="D21" i="7"/>
  <c r="C21" i="7"/>
  <c r="B21" i="7"/>
  <c r="D20" i="7"/>
  <c r="C20" i="7"/>
  <c r="B20" i="7"/>
  <c r="D19" i="7"/>
  <c r="C19" i="7"/>
  <c r="B19" i="7"/>
  <c r="D18" i="7"/>
  <c r="C18" i="7"/>
  <c r="B18" i="7"/>
  <c r="D17" i="7"/>
  <c r="C17" i="7"/>
  <c r="B17" i="7"/>
  <c r="D16" i="7"/>
  <c r="C16" i="7"/>
  <c r="B16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C8" i="7"/>
  <c r="B8" i="7"/>
  <c r="D7" i="7"/>
  <c r="C7" i="7"/>
  <c r="B7" i="7"/>
  <c r="D10" i="6"/>
  <c r="D11" i="6" s="1"/>
  <c r="D12" i="6" s="1"/>
  <c r="D13" i="6" s="1"/>
  <c r="D14" i="6" s="1"/>
  <c r="D15" i="6" s="1"/>
  <c r="D16" i="6" s="1"/>
  <c r="D17" i="6" s="1"/>
  <c r="D18" i="6" s="1"/>
  <c r="D19" i="6" s="1"/>
  <c r="D20" i="6" s="1"/>
  <c r="D21" i="6" s="1"/>
  <c r="D22" i="6" s="1"/>
  <c r="D23" i="6" s="1"/>
  <c r="D24" i="6" s="1"/>
  <c r="D25" i="6" s="1"/>
  <c r="D26" i="6" s="1"/>
  <c r="D27" i="6" s="1"/>
  <c r="D28" i="6" s="1"/>
  <c r="D29" i="6" s="1"/>
  <c r="D30" i="6" s="1"/>
  <c r="D31" i="6" s="1"/>
  <c r="D32" i="6" s="1"/>
  <c r="D33" i="6" s="1"/>
  <c r="D34" i="6" s="1"/>
  <c r="D35" i="6" s="1"/>
  <c r="D36" i="6" s="1"/>
  <c r="D37" i="6" s="1"/>
  <c r="D38" i="6" s="1"/>
  <c r="D39" i="6" s="1"/>
  <c r="D40" i="6" s="1"/>
  <c r="D41" i="6" s="1"/>
  <c r="D42" i="6" s="1"/>
  <c r="D43" i="6" s="1"/>
  <c r="D44" i="6" s="1"/>
  <c r="D45" i="6" s="1"/>
  <c r="D46" i="6" s="1"/>
  <c r="D47" i="6" s="1"/>
  <c r="D48" i="6" s="1"/>
  <c r="D49" i="6" s="1"/>
  <c r="D50" i="6" s="1"/>
  <c r="D51" i="6" s="1"/>
  <c r="D52" i="6" s="1"/>
  <c r="D53" i="6" s="1"/>
  <c r="D54" i="6" s="1"/>
  <c r="D55" i="6" s="1"/>
  <c r="D56" i="6" s="1"/>
  <c r="D57" i="6" s="1"/>
  <c r="D58" i="6" s="1"/>
  <c r="D59" i="6" s="1"/>
  <c r="D60" i="6" s="1"/>
  <c r="D61" i="6" s="1"/>
  <c r="D62" i="6" s="1"/>
  <c r="D63" i="6" s="1"/>
  <c r="D64" i="6" s="1"/>
  <c r="D65" i="6" s="1"/>
  <c r="D66" i="6" s="1"/>
  <c r="D67" i="6" s="1"/>
  <c r="D68" i="6" s="1"/>
  <c r="D69" i="6" s="1"/>
  <c r="D70" i="6" s="1"/>
  <c r="D71" i="6" s="1"/>
  <c r="D72" i="6" s="1"/>
  <c r="D73" i="6" s="1"/>
  <c r="D74" i="6" s="1"/>
  <c r="D75" i="6" s="1"/>
  <c r="D76" i="6" s="1"/>
  <c r="D77" i="6" s="1"/>
  <c r="D78" i="6" s="1"/>
  <c r="D79" i="6" s="1"/>
  <c r="D80" i="6" s="1"/>
  <c r="D81" i="6" s="1"/>
  <c r="D82" i="6" s="1"/>
  <c r="D83" i="6" s="1"/>
  <c r="D84" i="6" s="1"/>
  <c r="D85" i="6" s="1"/>
  <c r="D86" i="6" s="1"/>
  <c r="D87" i="6" s="1"/>
  <c r="D88" i="6" s="1"/>
  <c r="D89" i="6" s="1"/>
  <c r="D9" i="6"/>
  <c r="D8" i="6"/>
  <c r="Y58" i="6"/>
  <c r="Y57" i="6"/>
  <c r="Y56" i="6"/>
  <c r="Y55" i="6"/>
  <c r="Y54" i="6"/>
  <c r="Y53" i="6"/>
  <c r="Y52" i="6"/>
  <c r="Y51" i="6"/>
  <c r="Y50" i="6"/>
  <c r="Y49" i="6"/>
  <c r="Y48" i="6"/>
  <c r="Y47" i="6"/>
  <c r="Y46" i="6"/>
  <c r="Y45" i="6"/>
  <c r="Y44" i="6"/>
  <c r="Y43" i="6"/>
  <c r="Y42" i="6"/>
  <c r="Y41" i="6"/>
  <c r="Y40" i="6"/>
  <c r="Y39" i="6"/>
  <c r="Y38" i="6"/>
  <c r="Y37" i="6"/>
  <c r="Y36" i="6"/>
  <c r="Y35" i="6"/>
  <c r="Y34" i="6"/>
  <c r="Y33" i="6"/>
  <c r="Y32" i="6"/>
  <c r="Y31" i="6"/>
  <c r="Y30" i="6"/>
  <c r="Y29" i="6"/>
  <c r="Y28" i="6"/>
  <c r="Y27" i="6"/>
  <c r="Y26" i="6"/>
  <c r="Y25" i="6"/>
  <c r="Y24" i="6"/>
  <c r="Y23" i="6"/>
  <c r="Y22" i="6"/>
  <c r="Y21" i="6"/>
  <c r="Y20" i="6"/>
  <c r="Y19" i="6"/>
  <c r="Y18" i="6"/>
  <c r="Y17" i="6"/>
  <c r="Y16" i="6"/>
  <c r="Y15" i="6"/>
  <c r="Y14" i="6"/>
  <c r="Y13" i="6"/>
  <c r="Y12" i="6"/>
  <c r="Y11" i="6"/>
  <c r="Y10" i="6"/>
  <c r="Y9" i="6"/>
  <c r="Y8" i="6"/>
  <c r="Y7" i="6"/>
  <c r="Q26" i="5" l="1"/>
  <c r="P14" i="5"/>
  <c r="T14" i="5" s="1"/>
  <c r="P45" i="5"/>
  <c r="R26" i="5"/>
  <c r="P29" i="5"/>
  <c r="T29" i="5" s="1"/>
  <c r="Q23" i="5"/>
  <c r="Q30" i="5"/>
  <c r="Q37" i="5"/>
  <c r="R144" i="2"/>
  <c r="R28" i="4"/>
  <c r="R29" i="4" s="1"/>
  <c r="P31" i="5"/>
  <c r="T31" i="5" s="1"/>
  <c r="R23" i="5"/>
  <c r="P24" i="5"/>
  <c r="T24" i="5" s="1"/>
  <c r="R30" i="5"/>
  <c r="R37" i="5"/>
  <c r="J27" i="5"/>
  <c r="J25" i="5"/>
  <c r="J28" i="5"/>
  <c r="J32" i="5"/>
  <c r="N53" i="5"/>
  <c r="N13" i="5"/>
  <c r="K32" i="5"/>
  <c r="K25" i="5"/>
  <c r="K27" i="5"/>
  <c r="K28" i="5"/>
  <c r="O13" i="5"/>
  <c r="O53" i="5"/>
  <c r="I25" i="5"/>
  <c r="I32" i="5"/>
  <c r="I28" i="5"/>
  <c r="I27" i="5"/>
  <c r="I12" i="5"/>
  <c r="I52" i="5"/>
  <c r="J12" i="5"/>
  <c r="J52" i="5"/>
  <c r="K96" i="2"/>
  <c r="K12" i="5"/>
  <c r="K52" i="5"/>
  <c r="N25" i="5"/>
  <c r="N32" i="5"/>
  <c r="N27" i="5"/>
  <c r="N28" i="5"/>
  <c r="P13" i="5"/>
  <c r="P53" i="5"/>
  <c r="N12" i="5"/>
  <c r="N52" i="5"/>
  <c r="O52" i="5"/>
  <c r="O12" i="5"/>
  <c r="P28" i="5"/>
  <c r="P25" i="5"/>
  <c r="P32" i="5"/>
  <c r="P27" i="5"/>
  <c r="R13" i="5"/>
  <c r="R53" i="5"/>
  <c r="P12" i="5"/>
  <c r="P52" i="5"/>
  <c r="K13" i="5"/>
  <c r="K53" i="5"/>
  <c r="O28" i="5"/>
  <c r="O32" i="5"/>
  <c r="O25" i="5"/>
  <c r="O27" i="5"/>
  <c r="G13" i="5"/>
  <c r="G53" i="5"/>
  <c r="H53" i="5"/>
  <c r="H13" i="5"/>
  <c r="G25" i="5"/>
  <c r="G27" i="5"/>
  <c r="G32" i="5"/>
  <c r="G28" i="5"/>
  <c r="Q25" i="5"/>
  <c r="Q27" i="5"/>
  <c r="Q28" i="5"/>
  <c r="Q32" i="5"/>
  <c r="I53" i="5"/>
  <c r="I13" i="5"/>
  <c r="G12" i="5"/>
  <c r="G52" i="5"/>
  <c r="Q12" i="5"/>
  <c r="Q52" i="5"/>
  <c r="G58" i="2"/>
  <c r="Q13" i="5"/>
  <c r="Q53" i="5"/>
  <c r="H25" i="5"/>
  <c r="H32" i="5"/>
  <c r="H27" i="5"/>
  <c r="H28" i="5"/>
  <c r="R32" i="5"/>
  <c r="R25" i="5"/>
  <c r="R28" i="5"/>
  <c r="R27" i="5"/>
  <c r="J13" i="5"/>
  <c r="J53" i="5"/>
  <c r="H96" i="2"/>
  <c r="H12" i="5"/>
  <c r="H52" i="5"/>
  <c r="R96" i="2"/>
  <c r="R52" i="5"/>
  <c r="R12" i="5"/>
  <c r="N120" i="2"/>
  <c r="N45" i="5"/>
  <c r="F37" i="3"/>
  <c r="F170" i="3"/>
  <c r="F26" i="3"/>
  <c r="F32" i="3"/>
  <c r="F116" i="3"/>
  <c r="G161" i="3"/>
  <c r="F52" i="3"/>
  <c r="G137" i="3"/>
  <c r="G126" i="3"/>
  <c r="G50" i="3"/>
  <c r="G145" i="3"/>
  <c r="G162" i="3"/>
  <c r="G157" i="3"/>
  <c r="G158" i="3"/>
  <c r="G78" i="3"/>
  <c r="G177" i="3"/>
  <c r="G47" i="3"/>
  <c r="I96" i="2"/>
  <c r="O120" i="2"/>
  <c r="G57" i="2"/>
  <c r="Q119" i="2"/>
  <c r="O117" i="2"/>
  <c r="O118" i="2"/>
  <c r="K25" i="2"/>
  <c r="I28" i="2"/>
  <c r="G101" i="2"/>
  <c r="Q101" i="2"/>
  <c r="O103" i="2"/>
  <c r="K105" i="2"/>
  <c r="I109" i="2"/>
  <c r="G111" i="2"/>
  <c r="Q111" i="2"/>
  <c r="O39" i="2"/>
  <c r="K41" i="2"/>
  <c r="I43" i="2"/>
  <c r="O49" i="2"/>
  <c r="K114" i="2"/>
  <c r="G104" i="2"/>
  <c r="Q42" i="2"/>
  <c r="O45" i="2"/>
  <c r="K46" i="2"/>
  <c r="I52" i="2"/>
  <c r="G113" i="2"/>
  <c r="Q51" i="2"/>
  <c r="O53" i="2"/>
  <c r="Q26" i="2"/>
  <c r="I118" i="2"/>
  <c r="N96" i="2"/>
  <c r="H120" i="2"/>
  <c r="R120" i="2"/>
  <c r="J119" i="2"/>
  <c r="H117" i="2"/>
  <c r="R117" i="2"/>
  <c r="H118" i="2"/>
  <c r="R118" i="2"/>
  <c r="J111" i="2"/>
  <c r="H39" i="2"/>
  <c r="R39" i="2"/>
  <c r="P41" i="2"/>
  <c r="N43" i="2"/>
  <c r="H49" i="2"/>
  <c r="R49" i="2"/>
  <c r="P54" i="2"/>
  <c r="J42" i="2"/>
  <c r="I61" i="6" s="1"/>
  <c r="H44" i="2"/>
  <c r="G62" i="6" s="1"/>
  <c r="R44" i="2"/>
  <c r="Q62" i="6" s="1"/>
  <c r="P110" i="2"/>
  <c r="N52" i="2"/>
  <c r="J51" i="2"/>
  <c r="H53" i="2"/>
  <c r="R53" i="2"/>
  <c r="J26" i="2"/>
  <c r="H29" i="2"/>
  <c r="R29" i="2"/>
  <c r="O96" i="2"/>
  <c r="K119" i="2"/>
  <c r="I117" i="2"/>
  <c r="I56" i="2"/>
  <c r="K101" i="2"/>
  <c r="I103" i="2"/>
  <c r="Q105" i="2"/>
  <c r="O109" i="2"/>
  <c r="K111" i="2"/>
  <c r="I39" i="2"/>
  <c r="O43" i="2"/>
  <c r="Q114" i="2"/>
  <c r="O102" i="2"/>
  <c r="K42" i="2"/>
  <c r="I107" i="2"/>
  <c r="G46" i="2"/>
  <c r="Q110" i="2"/>
  <c r="O52" i="2"/>
  <c r="K51" i="2"/>
  <c r="I116" i="2"/>
  <c r="I20" i="2"/>
  <c r="P96" i="2"/>
  <c r="J120" i="2"/>
  <c r="N119" i="2"/>
  <c r="J55" i="2"/>
  <c r="J56" i="2"/>
  <c r="N101" i="2"/>
  <c r="J103" i="2"/>
  <c r="H105" i="2"/>
  <c r="R105" i="2"/>
  <c r="P109" i="2"/>
  <c r="N111" i="2"/>
  <c r="J39" i="2"/>
  <c r="H41" i="2"/>
  <c r="R41" i="2"/>
  <c r="P43" i="2"/>
  <c r="J49" i="2"/>
  <c r="H114" i="2"/>
  <c r="R114" i="2"/>
  <c r="P102" i="2"/>
  <c r="N42" i="2"/>
  <c r="J107" i="2"/>
  <c r="H110" i="2"/>
  <c r="R110" i="2"/>
  <c r="P52" i="2"/>
  <c r="N51" i="2"/>
  <c r="J116" i="2"/>
  <c r="K39" i="2"/>
  <c r="G96" i="2"/>
  <c r="Q96" i="2"/>
  <c r="K120" i="2"/>
  <c r="O119" i="2"/>
  <c r="K55" i="2"/>
  <c r="K118" i="2"/>
  <c r="G34" i="2"/>
  <c r="O101" i="2"/>
  <c r="K103" i="2"/>
  <c r="I105" i="2"/>
  <c r="G109" i="2"/>
  <c r="Q109" i="2"/>
  <c r="O111" i="2"/>
  <c r="I41" i="2"/>
  <c r="H61" i="6" s="1"/>
  <c r="G43" i="2"/>
  <c r="Q43" i="2"/>
  <c r="P62" i="6" s="1"/>
  <c r="K49" i="2"/>
  <c r="I114" i="2"/>
  <c r="G40" i="2"/>
  <c r="Q102" i="2"/>
  <c r="O104" i="2"/>
  <c r="K107" i="2"/>
  <c r="I108" i="2"/>
  <c r="G52" i="2"/>
  <c r="Q52" i="2"/>
  <c r="O113" i="2"/>
  <c r="K53" i="2"/>
  <c r="G41" i="2"/>
  <c r="H28" i="2"/>
  <c r="R28" i="2"/>
  <c r="R102" i="2"/>
  <c r="P104" i="2"/>
  <c r="N106" i="2"/>
  <c r="J108" i="2"/>
  <c r="H52" i="2"/>
  <c r="R52" i="2"/>
  <c r="P112" i="2"/>
  <c r="N53" i="2"/>
  <c r="Q45" i="2"/>
  <c r="H57" i="2"/>
  <c r="G67" i="6" s="1"/>
  <c r="R57" i="2"/>
  <c r="Q67" i="6" s="1"/>
  <c r="J28" i="2"/>
  <c r="H101" i="2"/>
  <c r="R101" i="2"/>
  <c r="P103" i="2"/>
  <c r="N105" i="2"/>
  <c r="J109" i="2"/>
  <c r="H111" i="2"/>
  <c r="R111" i="2"/>
  <c r="P39" i="2"/>
  <c r="N41" i="2"/>
  <c r="J43" i="2"/>
  <c r="P49" i="2"/>
  <c r="H26" i="2"/>
  <c r="G107" i="2"/>
  <c r="Q104" i="2"/>
  <c r="K48" i="2"/>
  <c r="O106" i="2"/>
  <c r="N26" i="2"/>
  <c r="O51" i="2"/>
  <c r="K108" i="2"/>
  <c r="O26" i="2"/>
  <c r="N19" i="2"/>
  <c r="G28" i="2"/>
  <c r="I53" i="2"/>
  <c r="O114" i="2"/>
  <c r="P26" i="2"/>
  <c r="F36" i="2"/>
  <c r="R34" i="2"/>
  <c r="Q54" i="2"/>
  <c r="K116" i="2"/>
  <c r="G93" i="2"/>
  <c r="P93" i="2"/>
  <c r="O94" i="2"/>
  <c r="J146" i="2"/>
  <c r="K19" i="2"/>
  <c r="I26" i="2"/>
  <c r="I44" i="2"/>
  <c r="J101" i="2"/>
  <c r="I144" i="2"/>
  <c r="N25" i="2"/>
  <c r="R26" i="2"/>
  <c r="Q41" i="2"/>
  <c r="I49" i="2"/>
  <c r="O55" i="2"/>
  <c r="I102" i="2"/>
  <c r="I110" i="2"/>
  <c r="Q120" i="2"/>
  <c r="G94" i="2"/>
  <c r="Q93" i="2"/>
  <c r="P94" i="2"/>
  <c r="K146" i="2"/>
  <c r="J144" i="2"/>
  <c r="O25" i="2"/>
  <c r="I29" i="2"/>
  <c r="O42" i="2"/>
  <c r="N61" i="6" s="1"/>
  <c r="G50" i="2"/>
  <c r="K56" i="2"/>
  <c r="H103" i="2"/>
  <c r="Q112" i="2"/>
  <c r="H93" i="2"/>
  <c r="R93" i="2"/>
  <c r="Q94" i="2"/>
  <c r="N146" i="2"/>
  <c r="K144" i="2"/>
  <c r="P25" i="2"/>
  <c r="F21" i="2"/>
  <c r="F76" i="2" s="1"/>
  <c r="H34" i="2"/>
  <c r="K43" i="2"/>
  <c r="Q50" i="2"/>
  <c r="I57" i="2"/>
  <c r="H67" i="6" s="1"/>
  <c r="R103" i="2"/>
  <c r="P113" i="2"/>
  <c r="I93" i="2"/>
  <c r="H94" i="2"/>
  <c r="R94" i="2"/>
  <c r="O146" i="2"/>
  <c r="N144" i="2"/>
  <c r="Q25" i="2"/>
  <c r="J93" i="2"/>
  <c r="I94" i="2"/>
  <c r="P146" i="2"/>
  <c r="O144" i="2"/>
  <c r="H25" i="2"/>
  <c r="R25" i="2"/>
  <c r="J20" i="2"/>
  <c r="Q35" i="2"/>
  <c r="G45" i="2"/>
  <c r="K52" i="2"/>
  <c r="Q58" i="2"/>
  <c r="P105" i="2"/>
  <c r="N115" i="2"/>
  <c r="K93" i="2"/>
  <c r="J94" i="2"/>
  <c r="Q146" i="2"/>
  <c r="P144" i="2"/>
  <c r="I25" i="2"/>
  <c r="N93" i="2"/>
  <c r="K94" i="2"/>
  <c r="H146" i="2"/>
  <c r="R146" i="2"/>
  <c r="Q144" i="2"/>
  <c r="J25" i="2"/>
  <c r="K20" i="2"/>
  <c r="I40" i="2"/>
  <c r="O46" i="2"/>
  <c r="G54" i="2"/>
  <c r="G115" i="2"/>
  <c r="N107" i="2"/>
  <c r="J117" i="2"/>
  <c r="O93" i="2"/>
  <c r="N94" i="2"/>
  <c r="I146" i="2"/>
  <c r="H144" i="2"/>
  <c r="F158" i="2"/>
  <c r="F160" i="2" s="1"/>
  <c r="F98" i="2"/>
  <c r="F129" i="2" s="1"/>
  <c r="G42" i="3"/>
  <c r="G107" i="3"/>
  <c r="G79" i="3"/>
  <c r="G138" i="3"/>
  <c r="G108" i="3"/>
  <c r="G80" i="3"/>
  <c r="G139" i="3"/>
  <c r="G132" i="3"/>
  <c r="G59" i="3"/>
  <c r="G81" i="3"/>
  <c r="G140" i="3"/>
  <c r="G133" i="3"/>
  <c r="G71" i="3"/>
  <c r="G60" i="3"/>
  <c r="G141" i="3"/>
  <c r="G128" i="3"/>
  <c r="G44" i="3"/>
  <c r="G61" i="3"/>
  <c r="G129" i="3"/>
  <c r="G125" i="3"/>
  <c r="F17" i="3"/>
  <c r="G41" i="3"/>
  <c r="G45" i="3"/>
  <c r="G51" i="3"/>
  <c r="G76" i="3"/>
  <c r="G144" i="3"/>
  <c r="G130" i="3"/>
  <c r="O28" i="4"/>
  <c r="O29" i="4" s="1"/>
  <c r="P28" i="4"/>
  <c r="P29" i="4" s="1"/>
  <c r="E8" i="7"/>
  <c r="E7" i="7"/>
  <c r="G28" i="4"/>
  <c r="G29" i="4" s="1"/>
  <c r="G72" i="3"/>
  <c r="Q28" i="4"/>
  <c r="Q29" i="4" s="1"/>
  <c r="E11" i="7"/>
  <c r="E15" i="7"/>
  <c r="G144" i="2"/>
  <c r="I120" i="2"/>
  <c r="I58" i="2"/>
  <c r="E19" i="7"/>
  <c r="O31" i="2"/>
  <c r="H28" i="4"/>
  <c r="H29" i="4" s="1"/>
  <c r="H119" i="2"/>
  <c r="R119" i="2"/>
  <c r="E9" i="7"/>
  <c r="G146" i="2"/>
  <c r="G70" i="3"/>
  <c r="N28" i="4"/>
  <c r="N29" i="4" s="1"/>
  <c r="J96" i="2"/>
  <c r="J31" i="2"/>
  <c r="P120" i="2"/>
  <c r="P58" i="2"/>
  <c r="P117" i="2"/>
  <c r="P55" i="2"/>
  <c r="P118" i="2"/>
  <c r="P56" i="2"/>
  <c r="J19" i="2"/>
  <c r="J34" i="2"/>
  <c r="N114" i="2"/>
  <c r="N54" i="2"/>
  <c r="J102" i="2"/>
  <c r="J40" i="2"/>
  <c r="H42" i="2"/>
  <c r="H104" i="2"/>
  <c r="R42" i="2"/>
  <c r="R104" i="2"/>
  <c r="P45" i="2"/>
  <c r="P44" i="2"/>
  <c r="P107" i="2"/>
  <c r="P106" i="2"/>
  <c r="N46" i="2"/>
  <c r="N110" i="2"/>
  <c r="N108" i="2"/>
  <c r="N48" i="2"/>
  <c r="J52" i="2"/>
  <c r="J115" i="2"/>
  <c r="H51" i="2"/>
  <c r="H113" i="2"/>
  <c r="H112" i="2"/>
  <c r="H50" i="2"/>
  <c r="R51" i="2"/>
  <c r="R113" i="2"/>
  <c r="R112" i="2"/>
  <c r="R50" i="2"/>
  <c r="P53" i="2"/>
  <c r="P116" i="2"/>
  <c r="P35" i="2"/>
  <c r="P29" i="2"/>
  <c r="P20" i="2"/>
  <c r="E10" i="7"/>
  <c r="E14" i="7"/>
  <c r="E18" i="7"/>
  <c r="E22" i="7"/>
  <c r="E26" i="7"/>
  <c r="E30" i="7"/>
  <c r="E38" i="7"/>
  <c r="E42" i="7"/>
  <c r="E46" i="7"/>
  <c r="E50" i="7"/>
  <c r="E54" i="7"/>
  <c r="E58" i="7"/>
  <c r="O19" i="2"/>
  <c r="N20" i="2"/>
  <c r="G29" i="2"/>
  <c r="J29" i="2"/>
  <c r="I34" i="2"/>
  <c r="H35" i="2"/>
  <c r="R35" i="2"/>
  <c r="P31" i="2"/>
  <c r="P42" i="2"/>
  <c r="J44" i="2"/>
  <c r="H45" i="2"/>
  <c r="R45" i="2"/>
  <c r="P46" i="2"/>
  <c r="P51" i="2"/>
  <c r="J53" i="2"/>
  <c r="H54" i="2"/>
  <c r="R54" i="2"/>
  <c r="N56" i="2"/>
  <c r="M66" i="6" s="1"/>
  <c r="J57" i="2"/>
  <c r="I67" i="6" s="1"/>
  <c r="H58" i="2"/>
  <c r="R58" i="2"/>
  <c r="I28" i="4"/>
  <c r="I29" i="4" s="1"/>
  <c r="G108" i="2"/>
  <c r="G116" i="2"/>
  <c r="O107" i="2"/>
  <c r="J110" i="2"/>
  <c r="Q113" i="2"/>
  <c r="P114" i="2"/>
  <c r="O115" i="2"/>
  <c r="N116" i="2"/>
  <c r="K117" i="2"/>
  <c r="J118" i="2"/>
  <c r="E16" i="7"/>
  <c r="E24" i="7"/>
  <c r="E40" i="7"/>
  <c r="E48" i="7"/>
  <c r="E56" i="7"/>
  <c r="G19" i="2"/>
  <c r="P19" i="2"/>
  <c r="O20" i="2"/>
  <c r="G35" i="2"/>
  <c r="N28" i="2"/>
  <c r="I35" i="2"/>
  <c r="G31" i="2"/>
  <c r="Q31" i="2"/>
  <c r="K40" i="2"/>
  <c r="G42" i="2"/>
  <c r="K44" i="2"/>
  <c r="I45" i="2"/>
  <c r="Q46" i="2"/>
  <c r="O48" i="2"/>
  <c r="I50" i="2"/>
  <c r="G51" i="2"/>
  <c r="I54" i="2"/>
  <c r="G55" i="2"/>
  <c r="Q55" i="2"/>
  <c r="O56" i="2"/>
  <c r="K57" i="2"/>
  <c r="J67" i="6" s="1"/>
  <c r="J28" i="4"/>
  <c r="J29" i="4" s="1"/>
  <c r="G117" i="2"/>
  <c r="I104" i="2"/>
  <c r="Q106" i="2"/>
  <c r="O108" i="2"/>
  <c r="N109" i="2"/>
  <c r="K110" i="2"/>
  <c r="I112" i="2"/>
  <c r="P115" i="2"/>
  <c r="O116" i="2"/>
  <c r="N117" i="2"/>
  <c r="E23" i="7"/>
  <c r="E35" i="7"/>
  <c r="E39" i="7"/>
  <c r="E43" i="7"/>
  <c r="E47" i="7"/>
  <c r="E51" i="7"/>
  <c r="E55" i="7"/>
  <c r="G20" i="2"/>
  <c r="Q19" i="2"/>
  <c r="O28" i="2"/>
  <c r="N29" i="2"/>
  <c r="J35" i="2"/>
  <c r="H31" i="2"/>
  <c r="R31" i="2"/>
  <c r="N40" i="2"/>
  <c r="M60" i="6" s="1"/>
  <c r="N44" i="2"/>
  <c r="J45" i="2"/>
  <c r="H46" i="2"/>
  <c r="R46" i="2"/>
  <c r="P48" i="2"/>
  <c r="J50" i="2"/>
  <c r="J54" i="2"/>
  <c r="H55" i="2"/>
  <c r="R55" i="2"/>
  <c r="N57" i="2"/>
  <c r="M67" i="6" s="1"/>
  <c r="J58" i="2"/>
  <c r="G102" i="2"/>
  <c r="G110" i="2"/>
  <c r="G118" i="2"/>
  <c r="N102" i="2"/>
  <c r="J104" i="2"/>
  <c r="H106" i="2"/>
  <c r="R106" i="2"/>
  <c r="Q107" i="2"/>
  <c r="P108" i="2"/>
  <c r="J112" i="2"/>
  <c r="I113" i="2"/>
  <c r="Q115" i="2"/>
  <c r="H19" i="2"/>
  <c r="R19" i="2"/>
  <c r="Q20" i="2"/>
  <c r="P28" i="2"/>
  <c r="O29" i="2"/>
  <c r="N34" i="2"/>
  <c r="I31" i="2"/>
  <c r="G39" i="2"/>
  <c r="O40" i="2"/>
  <c r="O44" i="2"/>
  <c r="K45" i="2"/>
  <c r="I46" i="2"/>
  <c r="G48" i="2"/>
  <c r="Q48" i="2"/>
  <c r="K50" i="2"/>
  <c r="K54" i="2"/>
  <c r="I55" i="2"/>
  <c r="G56" i="2"/>
  <c r="Q56" i="2"/>
  <c r="O57" i="2"/>
  <c r="N67" i="6" s="1"/>
  <c r="K58" i="2"/>
  <c r="G103" i="2"/>
  <c r="G119" i="2"/>
  <c r="K104" i="2"/>
  <c r="I106" i="2"/>
  <c r="H107" i="2"/>
  <c r="R107" i="2"/>
  <c r="Q108" i="2"/>
  <c r="K112" i="2"/>
  <c r="J113" i="2"/>
  <c r="H115" i="2"/>
  <c r="R115" i="2"/>
  <c r="Q116" i="2"/>
  <c r="E12" i="7"/>
  <c r="E20" i="7"/>
  <c r="E28" i="7"/>
  <c r="E36" i="7"/>
  <c r="E44" i="7"/>
  <c r="E52" i="7"/>
  <c r="I19" i="2"/>
  <c r="H20" i="2"/>
  <c r="R20" i="2"/>
  <c r="Q28" i="2"/>
  <c r="O34" i="2"/>
  <c r="N35" i="2"/>
  <c r="P40" i="2"/>
  <c r="N45" i="2"/>
  <c r="J46" i="2"/>
  <c r="H48" i="2"/>
  <c r="R48" i="2"/>
  <c r="N50" i="2"/>
  <c r="H56" i="2"/>
  <c r="R56" i="2"/>
  <c r="P57" i="2"/>
  <c r="O67" i="6" s="1"/>
  <c r="N58" i="2"/>
  <c r="G112" i="2"/>
  <c r="G120" i="2"/>
  <c r="N104" i="2"/>
  <c r="J106" i="2"/>
  <c r="H108" i="2"/>
  <c r="R108" i="2"/>
  <c r="N112" i="2"/>
  <c r="K113" i="2"/>
  <c r="I115" i="2"/>
  <c r="H116" i="2"/>
  <c r="R116" i="2"/>
  <c r="G25" i="2"/>
  <c r="P34" i="2"/>
  <c r="O35" i="2"/>
  <c r="K31" i="2"/>
  <c r="Q40" i="2"/>
  <c r="P60" i="6" s="1"/>
  <c r="G44" i="2"/>
  <c r="I48" i="2"/>
  <c r="G49" i="2"/>
  <c r="O50" i="2"/>
  <c r="G53" i="2"/>
  <c r="Q57" i="2"/>
  <c r="P67" i="6" s="1"/>
  <c r="O58" i="2"/>
  <c r="G35" i="3"/>
  <c r="G69" i="3"/>
  <c r="G105" i="2"/>
  <c r="K106" i="2"/>
  <c r="O112" i="2"/>
  <c r="N113" i="2"/>
  <c r="E13" i="7"/>
  <c r="E17" i="7"/>
  <c r="E21" i="7"/>
  <c r="E25" i="7"/>
  <c r="E29" i="7"/>
  <c r="E37" i="7"/>
  <c r="E41" i="7"/>
  <c r="E45" i="7"/>
  <c r="E49" i="7"/>
  <c r="E53" i="7"/>
  <c r="E57" i="7"/>
  <c r="G26" i="2"/>
  <c r="Q34" i="2"/>
  <c r="N31" i="2"/>
  <c r="H40" i="2"/>
  <c r="R40" i="2"/>
  <c r="J48" i="2"/>
  <c r="P50" i="2"/>
  <c r="G36" i="3"/>
  <c r="G106" i="2"/>
  <c r="G114" i="2"/>
  <c r="G16" i="3"/>
  <c r="G31" i="3"/>
  <c r="G30" i="3"/>
  <c r="G22" i="3"/>
  <c r="G21" i="3"/>
  <c r="G15" i="3"/>
  <c r="H1" i="3"/>
  <c r="I21" i="2" l="1"/>
  <c r="H79" i="6" s="1"/>
  <c r="G52" i="3"/>
  <c r="G37" i="3"/>
  <c r="G32" i="3"/>
  <c r="G26" i="3"/>
  <c r="G17" i="3"/>
  <c r="P21" i="2"/>
  <c r="O79" i="6" s="1"/>
  <c r="I36" i="2"/>
  <c r="H88" i="6" s="1"/>
  <c r="G36" i="2"/>
  <c r="F88" i="6" s="1"/>
  <c r="J36" i="2"/>
  <c r="I88" i="6" s="1"/>
  <c r="Q36" i="2"/>
  <c r="P88" i="6" s="1"/>
  <c r="O36" i="2"/>
  <c r="N88" i="6" s="1"/>
  <c r="K36" i="2"/>
  <c r="J88" i="6" s="1"/>
  <c r="R36" i="2"/>
  <c r="Q88" i="6" s="1"/>
  <c r="H36" i="2"/>
  <c r="G88" i="6" s="1"/>
  <c r="N36" i="2"/>
  <c r="M88" i="6" s="1"/>
  <c r="P36" i="2"/>
  <c r="O88" i="6" s="1"/>
  <c r="Q21" i="2"/>
  <c r="P79" i="6" s="1"/>
  <c r="G21" i="2"/>
  <c r="F79" i="6" s="1"/>
  <c r="N21" i="2"/>
  <c r="R21" i="2"/>
  <c r="Q79" i="6" s="1"/>
  <c r="H21" i="2"/>
  <c r="G79" i="6" s="1"/>
  <c r="J21" i="2"/>
  <c r="I79" i="6" s="1"/>
  <c r="K21" i="2"/>
  <c r="J79" i="6" s="1"/>
  <c r="O21" i="2"/>
  <c r="N79" i="6" s="1"/>
  <c r="T26" i="5"/>
  <c r="T45" i="5"/>
  <c r="T23" i="5"/>
  <c r="T37" i="5"/>
  <c r="T30" i="5"/>
  <c r="T13" i="5"/>
  <c r="T52" i="5"/>
  <c r="T12" i="5"/>
  <c r="T32" i="5"/>
  <c r="T27" i="5"/>
  <c r="T25" i="5"/>
  <c r="T28" i="5"/>
  <c r="T53" i="5"/>
  <c r="O60" i="6"/>
  <c r="P64" i="6"/>
  <c r="Q60" i="6"/>
  <c r="H60" i="6"/>
  <c r="H66" i="6"/>
  <c r="J60" i="6"/>
  <c r="F99" i="3"/>
  <c r="F118" i="3" s="1"/>
  <c r="F185" i="3" s="1"/>
  <c r="H62" i="6"/>
  <c r="P65" i="6"/>
  <c r="J61" i="6"/>
  <c r="M64" i="6"/>
  <c r="J62" i="6"/>
  <c r="G60" i="6"/>
  <c r="N60" i="6"/>
  <c r="M79" i="6"/>
  <c r="J63" i="6"/>
  <c r="P61" i="6"/>
  <c r="O65" i="6"/>
  <c r="J66" i="6"/>
  <c r="H64" i="6"/>
  <c r="J77" i="6"/>
  <c r="N65" i="6"/>
  <c r="I64" i="6"/>
  <c r="N63" i="6"/>
  <c r="Q61" i="6"/>
  <c r="N62" i="6"/>
  <c r="O62" i="6"/>
  <c r="T117" i="2"/>
  <c r="T103" i="2"/>
  <c r="T118" i="2"/>
  <c r="T58" i="2"/>
  <c r="M61" i="6"/>
  <c r="I66" i="6"/>
  <c r="I62" i="6"/>
  <c r="Q65" i="6"/>
  <c r="G65" i="6"/>
  <c r="T94" i="2"/>
  <c r="T45" i="2"/>
  <c r="F65" i="6"/>
  <c r="T53" i="2"/>
  <c r="T110" i="2"/>
  <c r="T93" i="2"/>
  <c r="T28" i="2"/>
  <c r="T52" i="2"/>
  <c r="T46" i="2"/>
  <c r="T101" i="2"/>
  <c r="T31" i="2"/>
  <c r="F67" i="6"/>
  <c r="E67" i="6" s="1"/>
  <c r="T57" i="2"/>
  <c r="H77" i="6"/>
  <c r="T113" i="2"/>
  <c r="N64" i="6"/>
  <c r="T25" i="2"/>
  <c r="T102" i="2"/>
  <c r="T29" i="2"/>
  <c r="T29" i="4"/>
  <c r="T28" i="4"/>
  <c r="T107" i="2"/>
  <c r="T43" i="2"/>
  <c r="T34" i="2"/>
  <c r="T96" i="2"/>
  <c r="T49" i="2"/>
  <c r="T56" i="2"/>
  <c r="T35" i="2"/>
  <c r="O61" i="6"/>
  <c r="G61" i="6"/>
  <c r="T55" i="2"/>
  <c r="I60" i="6"/>
  <c r="T146" i="2"/>
  <c r="T115" i="2"/>
  <c r="T111" i="2"/>
  <c r="T114" i="2"/>
  <c r="T120" i="2"/>
  <c r="F61" i="6"/>
  <c r="T42" i="2"/>
  <c r="T116" i="2"/>
  <c r="T106" i="2"/>
  <c r="T26" i="2"/>
  <c r="F62" i="6"/>
  <c r="T44" i="2"/>
  <c r="T112" i="2"/>
  <c r="J65" i="6"/>
  <c r="F60" i="6"/>
  <c r="T39" i="2"/>
  <c r="M62" i="6"/>
  <c r="H65" i="6"/>
  <c r="T108" i="2"/>
  <c r="T144" i="2"/>
  <c r="T54" i="2"/>
  <c r="T41" i="2"/>
  <c r="T104" i="2"/>
  <c r="T50" i="2"/>
  <c r="F63" i="6"/>
  <c r="T48" i="2"/>
  <c r="T105" i="2"/>
  <c r="T119" i="2"/>
  <c r="J64" i="6"/>
  <c r="T20" i="2"/>
  <c r="T51" i="2"/>
  <c r="T19" i="2"/>
  <c r="M65" i="6"/>
  <c r="T40" i="2"/>
  <c r="T109" i="2"/>
  <c r="H140" i="3"/>
  <c r="H139" i="3"/>
  <c r="H177" i="3"/>
  <c r="H138" i="3"/>
  <c r="H158" i="3"/>
  <c r="H137" i="3"/>
  <c r="H157" i="3"/>
  <c r="H162" i="3"/>
  <c r="H145" i="3"/>
  <c r="H161" i="3"/>
  <c r="H144" i="3"/>
  <c r="H141" i="3"/>
  <c r="N66" i="6"/>
  <c r="I77" i="6"/>
  <c r="M77" i="6"/>
  <c r="N77" i="6"/>
  <c r="Q77" i="6"/>
  <c r="F64" i="6"/>
  <c r="H129" i="3"/>
  <c r="H79" i="3"/>
  <c r="H60" i="3"/>
  <c r="H35" i="3"/>
  <c r="H128" i="3"/>
  <c r="H78" i="3"/>
  <c r="H59" i="3"/>
  <c r="H44" i="3"/>
  <c r="H133" i="3"/>
  <c r="H76" i="3"/>
  <c r="H132" i="3"/>
  <c r="H108" i="3"/>
  <c r="H107" i="3"/>
  <c r="H47" i="3"/>
  <c r="H42" i="3"/>
  <c r="H126" i="3"/>
  <c r="H81" i="3"/>
  <c r="H51" i="3"/>
  <c r="H125" i="3"/>
  <c r="H80" i="3"/>
  <c r="H61" i="3"/>
  <c r="H50" i="3"/>
  <c r="H45" i="3"/>
  <c r="H41" i="3"/>
  <c r="H36" i="3"/>
  <c r="H69" i="3"/>
  <c r="H70" i="3"/>
  <c r="H71" i="3"/>
  <c r="H130" i="3"/>
  <c r="H72" i="3"/>
  <c r="P77" i="6"/>
  <c r="F77" i="6"/>
  <c r="G77" i="6"/>
  <c r="F70" i="6"/>
  <c r="H63" i="6"/>
  <c r="G63" i="6"/>
  <c r="O77" i="6"/>
  <c r="M63" i="6"/>
  <c r="Q64" i="6"/>
  <c r="O64" i="6"/>
  <c r="P63" i="6"/>
  <c r="Q63" i="6"/>
  <c r="I65" i="6"/>
  <c r="G64" i="6"/>
  <c r="G66" i="6"/>
  <c r="O66" i="6"/>
  <c r="I63" i="6"/>
  <c r="O63" i="6"/>
  <c r="F66" i="6"/>
  <c r="P66" i="6"/>
  <c r="Q66" i="6"/>
  <c r="I1" i="3"/>
  <c r="H31" i="3"/>
  <c r="H30" i="3"/>
  <c r="H22" i="3"/>
  <c r="H21" i="3"/>
  <c r="H15" i="3"/>
  <c r="H16" i="3"/>
  <c r="F162" i="2"/>
  <c r="F20" i="1" s="1"/>
  <c r="H52" i="3" l="1"/>
  <c r="H37" i="3"/>
  <c r="H17" i="3"/>
  <c r="H32" i="3"/>
  <c r="H26" i="3"/>
  <c r="K67" i="7"/>
  <c r="L67" i="7"/>
  <c r="E65" i="6"/>
  <c r="E60" i="6"/>
  <c r="E62" i="6"/>
  <c r="Y67" i="6"/>
  <c r="Q67" i="7"/>
  <c r="H67" i="7"/>
  <c r="P67" i="7"/>
  <c r="E88" i="6"/>
  <c r="T36" i="2"/>
  <c r="E61" i="6"/>
  <c r="F78" i="6"/>
  <c r="T21" i="2"/>
  <c r="E79" i="6"/>
  <c r="E63" i="6"/>
  <c r="E64" i="6"/>
  <c r="E77" i="6"/>
  <c r="E66" i="6"/>
  <c r="G67" i="7"/>
  <c r="I67" i="7"/>
  <c r="O67" i="7"/>
  <c r="F67" i="7"/>
  <c r="J67" i="7"/>
  <c r="M67" i="7"/>
  <c r="N67" i="7"/>
  <c r="I139" i="3"/>
  <c r="I177" i="3"/>
  <c r="I138" i="3"/>
  <c r="I158" i="3"/>
  <c r="I137" i="3"/>
  <c r="I157" i="3"/>
  <c r="I162" i="3"/>
  <c r="I145" i="3"/>
  <c r="I161" i="3"/>
  <c r="I144" i="3"/>
  <c r="I141" i="3"/>
  <c r="I140" i="3"/>
  <c r="G70" i="6"/>
  <c r="I128" i="3"/>
  <c r="I78" i="3"/>
  <c r="I59" i="3"/>
  <c r="I44" i="3"/>
  <c r="I133" i="3"/>
  <c r="I76" i="3"/>
  <c r="I132" i="3"/>
  <c r="I108" i="3"/>
  <c r="I107" i="3"/>
  <c r="I47" i="3"/>
  <c r="I42" i="3"/>
  <c r="I126" i="3"/>
  <c r="I81" i="3"/>
  <c r="I51" i="3"/>
  <c r="I125" i="3"/>
  <c r="I80" i="3"/>
  <c r="I61" i="3"/>
  <c r="I50" i="3"/>
  <c r="I45" i="3"/>
  <c r="I41" i="3"/>
  <c r="I129" i="3"/>
  <c r="I79" i="3"/>
  <c r="I60" i="3"/>
  <c r="I130" i="3"/>
  <c r="I69" i="3"/>
  <c r="I71" i="3"/>
  <c r="I35" i="3"/>
  <c r="I70" i="3"/>
  <c r="I36" i="3"/>
  <c r="I72" i="3"/>
  <c r="J1" i="3"/>
  <c r="I30" i="3"/>
  <c r="I22" i="3"/>
  <c r="I21" i="3"/>
  <c r="I15" i="3"/>
  <c r="I16" i="3"/>
  <c r="I31" i="3"/>
  <c r="I52" i="3" l="1"/>
  <c r="I37" i="3"/>
  <c r="I26" i="3"/>
  <c r="I32" i="3"/>
  <c r="I17" i="3"/>
  <c r="Y63" i="6"/>
  <c r="K63" i="7"/>
  <c r="L63" i="7"/>
  <c r="Y79" i="6"/>
  <c r="K79" i="7"/>
  <c r="L79" i="7"/>
  <c r="Y62" i="6"/>
  <c r="L62" i="7"/>
  <c r="M136" i="3" s="1"/>
  <c r="K62" i="7"/>
  <c r="L136" i="3" s="1"/>
  <c r="F61" i="7"/>
  <c r="G102" i="3" s="1"/>
  <c r="K61" i="7"/>
  <c r="L61" i="7"/>
  <c r="P60" i="7"/>
  <c r="L60" i="7"/>
  <c r="M134" i="3" s="1"/>
  <c r="K60" i="7"/>
  <c r="L134" i="3" s="1"/>
  <c r="Y66" i="6"/>
  <c r="L66" i="7"/>
  <c r="M143" i="3" s="1"/>
  <c r="K66" i="7"/>
  <c r="L143" i="3" s="1"/>
  <c r="Y65" i="6"/>
  <c r="K65" i="7"/>
  <c r="L65" i="7"/>
  <c r="I77" i="7"/>
  <c r="J39" i="5" s="1"/>
  <c r="K77" i="7"/>
  <c r="L121" i="2" s="1"/>
  <c r="L122" i="2" s="1"/>
  <c r="L77" i="7"/>
  <c r="M121" i="2" s="1"/>
  <c r="M122" i="2" s="1"/>
  <c r="Y88" i="6"/>
  <c r="L88" i="7"/>
  <c r="K88" i="7"/>
  <c r="Y64" i="6"/>
  <c r="L64" i="7"/>
  <c r="K64" i="7"/>
  <c r="J62" i="7"/>
  <c r="M60" i="7"/>
  <c r="Y60" i="6"/>
  <c r="F88" i="7"/>
  <c r="G16" i="4" s="1"/>
  <c r="G17" i="4" s="1"/>
  <c r="O88" i="7"/>
  <c r="G62" i="7"/>
  <c r="H56" i="3" s="1"/>
  <c r="H62" i="7"/>
  <c r="I103" i="3" s="1"/>
  <c r="Q60" i="7"/>
  <c r="F60" i="7"/>
  <c r="G134" i="3" s="1"/>
  <c r="H60" i="7"/>
  <c r="I134" i="3" s="1"/>
  <c r="N60" i="7"/>
  <c r="I60" i="7"/>
  <c r="J134" i="3" s="1"/>
  <c r="G60" i="7"/>
  <c r="H134" i="3" s="1"/>
  <c r="O60" i="7"/>
  <c r="J60" i="7"/>
  <c r="I65" i="7"/>
  <c r="J142" i="3" s="1"/>
  <c r="P62" i="7"/>
  <c r="M62" i="7"/>
  <c r="F62" i="7"/>
  <c r="G56" i="3" s="1"/>
  <c r="G61" i="7"/>
  <c r="H102" i="3" s="1"/>
  <c r="N61" i="7"/>
  <c r="P61" i="7"/>
  <c r="J61" i="7"/>
  <c r="Y61" i="6"/>
  <c r="Q62" i="7"/>
  <c r="I61" i="7"/>
  <c r="J135" i="3" s="1"/>
  <c r="G78" i="6"/>
  <c r="I62" i="7"/>
  <c r="J136" i="3" s="1"/>
  <c r="N62" i="7"/>
  <c r="O62" i="7"/>
  <c r="M79" i="7"/>
  <c r="F79" i="7"/>
  <c r="G122" i="3" s="1"/>
  <c r="O66" i="7"/>
  <c r="M61" i="7"/>
  <c r="O61" i="7"/>
  <c r="Q61" i="7"/>
  <c r="H61" i="7"/>
  <c r="M63" i="7"/>
  <c r="H63" i="7"/>
  <c r="I35" i="5" s="1"/>
  <c r="P63" i="7"/>
  <c r="F64" i="7"/>
  <c r="G58" i="3" s="1"/>
  <c r="P77" i="7"/>
  <c r="F77" i="7"/>
  <c r="G121" i="2" s="1"/>
  <c r="G122" i="2" s="1"/>
  <c r="F66" i="7"/>
  <c r="G143" i="3" s="1"/>
  <c r="N77" i="7"/>
  <c r="O63" i="7"/>
  <c r="Q63" i="7"/>
  <c r="I63" i="7"/>
  <c r="J104" i="3" s="1"/>
  <c r="G63" i="7"/>
  <c r="O64" i="7"/>
  <c r="M77" i="7"/>
  <c r="Y77" i="6"/>
  <c r="O77" i="7"/>
  <c r="P64" i="7"/>
  <c r="N64" i="7"/>
  <c r="I64" i="7"/>
  <c r="J58" i="3" s="1"/>
  <c r="M64" i="7"/>
  <c r="H64" i="7"/>
  <c r="J64" i="7"/>
  <c r="H88" i="7"/>
  <c r="J79" i="7"/>
  <c r="K12" i="4" s="1"/>
  <c r="K13" i="4" s="1"/>
  <c r="I88" i="7"/>
  <c r="J16" i="4" s="1"/>
  <c r="J17" i="4" s="1"/>
  <c r="J66" i="7"/>
  <c r="H66" i="7"/>
  <c r="I143" i="3" s="1"/>
  <c r="I66" i="7"/>
  <c r="J143" i="3" s="1"/>
  <c r="M66" i="7"/>
  <c r="Q88" i="7"/>
  <c r="O79" i="7"/>
  <c r="P79" i="7"/>
  <c r="J88" i="7"/>
  <c r="K16" i="4" s="1"/>
  <c r="K17" i="4" s="1"/>
  <c r="P66" i="7"/>
  <c r="I79" i="7"/>
  <c r="J163" i="3" s="1"/>
  <c r="N79" i="7"/>
  <c r="M65" i="7"/>
  <c r="N65" i="7"/>
  <c r="J65" i="7"/>
  <c r="P65" i="7"/>
  <c r="F65" i="7"/>
  <c r="H65" i="7"/>
  <c r="Q65" i="7"/>
  <c r="O65" i="7"/>
  <c r="G65" i="7"/>
  <c r="H79" i="7"/>
  <c r="P88" i="7"/>
  <c r="G66" i="7"/>
  <c r="N66" i="7"/>
  <c r="N63" i="7"/>
  <c r="F63" i="7"/>
  <c r="J63" i="7"/>
  <c r="Q79" i="7"/>
  <c r="G64" i="7"/>
  <c r="N88" i="7"/>
  <c r="O16" i="4" s="1"/>
  <c r="O17" i="4" s="1"/>
  <c r="J77" i="7"/>
  <c r="H77" i="7"/>
  <c r="G77" i="7"/>
  <c r="Q77" i="7"/>
  <c r="G79" i="7"/>
  <c r="Q66" i="7"/>
  <c r="Q64" i="7"/>
  <c r="E67" i="7"/>
  <c r="M88" i="7"/>
  <c r="N16" i="4" s="1"/>
  <c r="N17" i="4" s="1"/>
  <c r="G88" i="7"/>
  <c r="J177" i="3"/>
  <c r="J138" i="3"/>
  <c r="J158" i="3"/>
  <c r="J137" i="3"/>
  <c r="J157" i="3"/>
  <c r="J162" i="3"/>
  <c r="J145" i="3"/>
  <c r="J161" i="3"/>
  <c r="J144" i="3"/>
  <c r="J141" i="3"/>
  <c r="J140" i="3"/>
  <c r="J139" i="3"/>
  <c r="J133" i="3"/>
  <c r="J76" i="3"/>
  <c r="J132" i="3"/>
  <c r="J108" i="3"/>
  <c r="J107" i="3"/>
  <c r="J47" i="3"/>
  <c r="J42" i="3"/>
  <c r="J126" i="3"/>
  <c r="J81" i="3"/>
  <c r="J51" i="3"/>
  <c r="J125" i="3"/>
  <c r="J80" i="3"/>
  <c r="J61" i="3"/>
  <c r="J50" i="3"/>
  <c r="J45" i="3"/>
  <c r="J41" i="3"/>
  <c r="J129" i="3"/>
  <c r="J79" i="3"/>
  <c r="J60" i="3"/>
  <c r="J128" i="3"/>
  <c r="J78" i="3"/>
  <c r="J59" i="3"/>
  <c r="J44" i="3"/>
  <c r="J35" i="3"/>
  <c r="J130" i="3"/>
  <c r="J69" i="3"/>
  <c r="J70" i="3"/>
  <c r="J71" i="3"/>
  <c r="J36" i="3"/>
  <c r="J72" i="3"/>
  <c r="H70" i="6"/>
  <c r="K1" i="3"/>
  <c r="J21" i="3"/>
  <c r="J15" i="3"/>
  <c r="J16" i="3"/>
  <c r="J31" i="3"/>
  <c r="J30" i="3"/>
  <c r="J22" i="3"/>
  <c r="J37" i="3" l="1"/>
  <c r="J52" i="3"/>
  <c r="J26" i="3"/>
  <c r="J32" i="3"/>
  <c r="J17" i="3"/>
  <c r="M137" i="2"/>
  <c r="M149" i="2"/>
  <c r="M145" i="2"/>
  <c r="M141" i="2"/>
  <c r="M152" i="2"/>
  <c r="M148" i="2"/>
  <c r="M155" i="2"/>
  <c r="M151" i="2"/>
  <c r="M154" i="2"/>
  <c r="M142" i="2"/>
  <c r="M138" i="2"/>
  <c r="L137" i="2"/>
  <c r="L149" i="2"/>
  <c r="L145" i="2"/>
  <c r="L141" i="2"/>
  <c r="L152" i="2"/>
  <c r="L148" i="2"/>
  <c r="L155" i="2"/>
  <c r="L151" i="2"/>
  <c r="L154" i="2"/>
  <c r="L142" i="2"/>
  <c r="L138" i="2"/>
  <c r="M95" i="2"/>
  <c r="M97" i="2"/>
  <c r="L95" i="2"/>
  <c r="L97" i="2"/>
  <c r="M80" i="2"/>
  <c r="M88" i="2"/>
  <c r="M87" i="2"/>
  <c r="M86" i="2"/>
  <c r="L80" i="2"/>
  <c r="L88" i="2"/>
  <c r="L87" i="2"/>
  <c r="L86" i="2"/>
  <c r="L39" i="5"/>
  <c r="L59" i="2"/>
  <c r="L60" i="2" s="1"/>
  <c r="M39" i="5"/>
  <c r="M59" i="2"/>
  <c r="M60" i="2" s="1"/>
  <c r="M46" i="5"/>
  <c r="M42" i="5"/>
  <c r="M38" i="5"/>
  <c r="M34" i="5"/>
  <c r="M18" i="5"/>
  <c r="M49" i="5"/>
  <c r="M33" i="5"/>
  <c r="M48" i="5"/>
  <c r="M44" i="5"/>
  <c r="M47" i="5"/>
  <c r="M43" i="5"/>
  <c r="L46" i="5"/>
  <c r="L42" i="5"/>
  <c r="L38" i="5"/>
  <c r="L34" i="5"/>
  <c r="L49" i="5"/>
  <c r="L33" i="5"/>
  <c r="L18" i="5"/>
  <c r="L48" i="5"/>
  <c r="L44" i="5"/>
  <c r="L47" i="5"/>
  <c r="L43" i="5"/>
  <c r="M41" i="5"/>
  <c r="M35" i="5"/>
  <c r="L41" i="5"/>
  <c r="L35" i="5"/>
  <c r="M77" i="3"/>
  <c r="M166" i="3"/>
  <c r="M123" i="3"/>
  <c r="M122" i="3"/>
  <c r="M164" i="3"/>
  <c r="M152" i="3"/>
  <c r="M121" i="3"/>
  <c r="M167" i="3"/>
  <c r="M163" i="3"/>
  <c r="M147" i="3"/>
  <c r="M106" i="3"/>
  <c r="M142" i="3"/>
  <c r="L77" i="3"/>
  <c r="L166" i="3"/>
  <c r="L123" i="3"/>
  <c r="L122" i="3"/>
  <c r="L163" i="3"/>
  <c r="L147" i="3"/>
  <c r="L164" i="3"/>
  <c r="L152" i="3"/>
  <c r="L121" i="3"/>
  <c r="L167" i="3"/>
  <c r="L106" i="3"/>
  <c r="L142" i="3"/>
  <c r="M102" i="3"/>
  <c r="M135" i="3"/>
  <c r="L16" i="4"/>
  <c r="L17" i="4" s="1"/>
  <c r="L148" i="3"/>
  <c r="L102" i="3"/>
  <c r="L135" i="3"/>
  <c r="M16" i="4"/>
  <c r="M17" i="4" s="1"/>
  <c r="M148" i="3"/>
  <c r="M56" i="3"/>
  <c r="M103" i="3"/>
  <c r="L58" i="3"/>
  <c r="L105" i="3"/>
  <c r="M58" i="3"/>
  <c r="M105" i="3"/>
  <c r="M57" i="3"/>
  <c r="M104" i="3"/>
  <c r="L57" i="3"/>
  <c r="L104" i="3"/>
  <c r="L56" i="3"/>
  <c r="L103" i="3"/>
  <c r="Q12" i="4"/>
  <c r="Q13" i="4" s="1"/>
  <c r="R12" i="4"/>
  <c r="R13" i="4" s="1"/>
  <c r="P12" i="4"/>
  <c r="P13" i="4" s="1"/>
  <c r="M12" i="4"/>
  <c r="M13" i="4" s="1"/>
  <c r="L13" i="2"/>
  <c r="N12" i="4"/>
  <c r="N13" i="4" s="1"/>
  <c r="O12" i="4"/>
  <c r="O13" i="4" s="1"/>
  <c r="L12" i="4"/>
  <c r="L13" i="4" s="1"/>
  <c r="M13" i="2"/>
  <c r="N44" i="5"/>
  <c r="R16" i="4"/>
  <c r="R17" i="4" s="1"/>
  <c r="J59" i="2"/>
  <c r="N41" i="5"/>
  <c r="G135" i="3"/>
  <c r="J121" i="2"/>
  <c r="J122" i="2" s="1"/>
  <c r="N39" i="5"/>
  <c r="O39" i="5"/>
  <c r="P16" i="4"/>
  <c r="P17" i="4" s="1"/>
  <c r="Q16" i="4"/>
  <c r="Q17" i="4" s="1"/>
  <c r="N43" i="5"/>
  <c r="H136" i="3"/>
  <c r="G148" i="3"/>
  <c r="G49" i="5"/>
  <c r="I136" i="3"/>
  <c r="N13" i="2"/>
  <c r="N18" i="5"/>
  <c r="N141" i="2"/>
  <c r="N88" i="2"/>
  <c r="H103" i="3"/>
  <c r="N48" i="5"/>
  <c r="N42" i="5"/>
  <c r="N145" i="2"/>
  <c r="N34" i="5"/>
  <c r="N97" i="2"/>
  <c r="N87" i="2"/>
  <c r="N137" i="2"/>
  <c r="N49" i="5"/>
  <c r="N86" i="2"/>
  <c r="N149" i="2"/>
  <c r="N38" i="5"/>
  <c r="N152" i="2"/>
  <c r="N138" i="2"/>
  <c r="G39" i="5"/>
  <c r="J106" i="3"/>
  <c r="G33" i="5"/>
  <c r="J102" i="3"/>
  <c r="G138" i="2"/>
  <c r="G147" i="3"/>
  <c r="G80" i="2"/>
  <c r="J103" i="3"/>
  <c r="G34" i="5"/>
  <c r="G163" i="3"/>
  <c r="G137" i="2"/>
  <c r="G38" i="5"/>
  <c r="G154" i="2"/>
  <c r="G151" i="2"/>
  <c r="J56" i="3"/>
  <c r="G42" i="5"/>
  <c r="G152" i="2"/>
  <c r="G88" i="2"/>
  <c r="G13" i="2"/>
  <c r="G44" i="5"/>
  <c r="G46" i="5"/>
  <c r="G145" i="2"/>
  <c r="G167" i="3"/>
  <c r="G103" i="3"/>
  <c r="G149" i="2"/>
  <c r="G48" i="5"/>
  <c r="G43" i="5"/>
  <c r="G136" i="3"/>
  <c r="G18" i="5"/>
  <c r="G47" i="5"/>
  <c r="G142" i="2"/>
  <c r="H135" i="3"/>
  <c r="G87" i="2"/>
  <c r="N151" i="2"/>
  <c r="N80" i="2"/>
  <c r="N95" i="2"/>
  <c r="N47" i="5"/>
  <c r="G59" i="2"/>
  <c r="N142" i="2"/>
  <c r="N46" i="5"/>
  <c r="N148" i="2"/>
  <c r="I56" i="3"/>
  <c r="J122" i="3"/>
  <c r="N154" i="2"/>
  <c r="N33" i="5"/>
  <c r="N155" i="2"/>
  <c r="O121" i="2"/>
  <c r="O122" i="2" s="1"/>
  <c r="O59" i="2"/>
  <c r="E60" i="7"/>
  <c r="G97" i="2"/>
  <c r="G141" i="2"/>
  <c r="G86" i="2"/>
  <c r="G121" i="3"/>
  <c r="G148" i="2"/>
  <c r="J57" i="3"/>
  <c r="G12" i="4"/>
  <c r="G13" i="4" s="1"/>
  <c r="G123" i="3"/>
  <c r="G152" i="3"/>
  <c r="E62" i="7"/>
  <c r="N121" i="2"/>
  <c r="N122" i="2" s="1"/>
  <c r="N59" i="2"/>
  <c r="J148" i="3"/>
  <c r="J147" i="3"/>
  <c r="J105" i="3"/>
  <c r="H78" i="6"/>
  <c r="J121" i="3"/>
  <c r="G155" i="2"/>
  <c r="G164" i="3"/>
  <c r="G95" i="2"/>
  <c r="G77" i="3"/>
  <c r="E61" i="7"/>
  <c r="J167" i="3"/>
  <c r="J123" i="3"/>
  <c r="G166" i="3"/>
  <c r="J152" i="3"/>
  <c r="N35" i="5"/>
  <c r="I135" i="3"/>
  <c r="I102" i="3"/>
  <c r="J77" i="3"/>
  <c r="J166" i="3"/>
  <c r="J164" i="3"/>
  <c r="G105" i="3"/>
  <c r="Q59" i="2"/>
  <c r="Q60" i="2" s="1"/>
  <c r="Q121" i="2"/>
  <c r="Q122" i="2" s="1"/>
  <c r="Q39" i="5"/>
  <c r="Q35" i="5"/>
  <c r="Q41" i="5"/>
  <c r="I41" i="5"/>
  <c r="I104" i="3"/>
  <c r="I57" i="3"/>
  <c r="R35" i="5"/>
  <c r="R41" i="5"/>
  <c r="P35" i="5"/>
  <c r="P41" i="5"/>
  <c r="H57" i="3"/>
  <c r="H104" i="3"/>
  <c r="H35" i="5"/>
  <c r="H41" i="5"/>
  <c r="J41" i="5"/>
  <c r="J35" i="5"/>
  <c r="P39" i="5"/>
  <c r="P121" i="2"/>
  <c r="P122" i="2" s="1"/>
  <c r="P59" i="2"/>
  <c r="P60" i="2" s="1"/>
  <c r="H121" i="2"/>
  <c r="H122" i="2" s="1"/>
  <c r="H59" i="2"/>
  <c r="H60" i="2" s="1"/>
  <c r="E77" i="7"/>
  <c r="H39" i="5"/>
  <c r="I33" i="5"/>
  <c r="I155" i="2"/>
  <c r="I167" i="3"/>
  <c r="I148" i="2"/>
  <c r="I80" i="2"/>
  <c r="I18" i="5"/>
  <c r="I152" i="2"/>
  <c r="I166" i="3"/>
  <c r="I138" i="2"/>
  <c r="I87" i="2"/>
  <c r="I12" i="4"/>
  <c r="I13" i="4" s="1"/>
  <c r="I48" i="5"/>
  <c r="I137" i="2"/>
  <c r="I86" i="2"/>
  <c r="I46" i="5"/>
  <c r="I44" i="5"/>
  <c r="I142" i="2"/>
  <c r="I77" i="3"/>
  <c r="I154" i="2"/>
  <c r="I97" i="2"/>
  <c r="I13" i="2"/>
  <c r="I42" i="5"/>
  <c r="I47" i="5"/>
  <c r="I149" i="2"/>
  <c r="I164" i="3"/>
  <c r="I121" i="3"/>
  <c r="I141" i="2"/>
  <c r="I95" i="2"/>
  <c r="I98" i="2" s="1"/>
  <c r="I38" i="5"/>
  <c r="I43" i="5"/>
  <c r="I151" i="2"/>
  <c r="I163" i="3"/>
  <c r="I122" i="3"/>
  <c r="I34" i="5"/>
  <c r="I145" i="2"/>
  <c r="I147" i="3"/>
  <c r="I123" i="3"/>
  <c r="I49" i="5"/>
  <c r="I152" i="3"/>
  <c r="I88" i="2"/>
  <c r="I39" i="5"/>
  <c r="I121" i="2"/>
  <c r="I122" i="2" s="1"/>
  <c r="I59" i="2"/>
  <c r="I60" i="2" s="1"/>
  <c r="H142" i="3"/>
  <c r="H106" i="3"/>
  <c r="I105" i="3"/>
  <c r="I58" i="3"/>
  <c r="K39" i="5"/>
  <c r="K59" i="2"/>
  <c r="K60" i="2" s="1"/>
  <c r="K121" i="2"/>
  <c r="K122" i="2" s="1"/>
  <c r="O47" i="5"/>
  <c r="O155" i="2"/>
  <c r="O142" i="2"/>
  <c r="O95" i="2"/>
  <c r="O43" i="5"/>
  <c r="O152" i="2"/>
  <c r="O149" i="2"/>
  <c r="O88" i="2"/>
  <c r="O46" i="5"/>
  <c r="O154" i="2"/>
  <c r="O80" i="2"/>
  <c r="O42" i="5"/>
  <c r="O151" i="2"/>
  <c r="O141" i="2"/>
  <c r="O87" i="2"/>
  <c r="O38" i="5"/>
  <c r="O145" i="2"/>
  <c r="O148" i="2"/>
  <c r="O86" i="2"/>
  <c r="O18" i="5"/>
  <c r="O34" i="5"/>
  <c r="O138" i="2"/>
  <c r="O48" i="5"/>
  <c r="O49" i="5"/>
  <c r="O137" i="2"/>
  <c r="O13" i="2"/>
  <c r="O44" i="5"/>
  <c r="O33" i="5"/>
  <c r="O97" i="2"/>
  <c r="K48" i="5"/>
  <c r="K141" i="2"/>
  <c r="K80" i="2"/>
  <c r="K44" i="5"/>
  <c r="K148" i="2"/>
  <c r="K47" i="5"/>
  <c r="K142" i="2"/>
  <c r="K43" i="5"/>
  <c r="K149" i="2"/>
  <c r="K87" i="2"/>
  <c r="K13" i="2"/>
  <c r="K46" i="5"/>
  <c r="K86" i="2"/>
  <c r="K49" i="5"/>
  <c r="K42" i="5"/>
  <c r="K151" i="2"/>
  <c r="K138" i="2"/>
  <c r="K97" i="2"/>
  <c r="K33" i="5"/>
  <c r="K38" i="5"/>
  <c r="K155" i="2"/>
  <c r="K145" i="2"/>
  <c r="K137" i="2"/>
  <c r="K95" i="2"/>
  <c r="K18" i="5"/>
  <c r="K34" i="5"/>
  <c r="K152" i="2"/>
  <c r="K154" i="2"/>
  <c r="K88" i="2"/>
  <c r="J18" i="5"/>
  <c r="J154" i="2"/>
  <c r="J48" i="5"/>
  <c r="J151" i="2"/>
  <c r="J141" i="2"/>
  <c r="J88" i="2"/>
  <c r="J46" i="5"/>
  <c r="J44" i="5"/>
  <c r="J145" i="2"/>
  <c r="J80" i="2"/>
  <c r="J42" i="5"/>
  <c r="J47" i="5"/>
  <c r="J87" i="2"/>
  <c r="J38" i="5"/>
  <c r="J43" i="5"/>
  <c r="J155" i="2"/>
  <c r="J86" i="2"/>
  <c r="J13" i="2"/>
  <c r="J34" i="5"/>
  <c r="J152" i="2"/>
  <c r="J148" i="2"/>
  <c r="J97" i="2"/>
  <c r="J49" i="5"/>
  <c r="J142" i="2"/>
  <c r="J138" i="2"/>
  <c r="J95" i="2"/>
  <c r="J33" i="5"/>
  <c r="J149" i="2"/>
  <c r="J137" i="2"/>
  <c r="J12" i="4"/>
  <c r="J13" i="4" s="1"/>
  <c r="H58" i="3"/>
  <c r="H105" i="3"/>
  <c r="E64" i="7"/>
  <c r="I142" i="3"/>
  <c r="I106" i="3"/>
  <c r="O35" i="5"/>
  <c r="O41" i="5"/>
  <c r="R43" i="5"/>
  <c r="R48" i="5"/>
  <c r="R46" i="5"/>
  <c r="R44" i="5"/>
  <c r="R142" i="2"/>
  <c r="R95" i="2"/>
  <c r="R42" i="5"/>
  <c r="R149" i="2"/>
  <c r="R88" i="2"/>
  <c r="R38" i="5"/>
  <c r="R151" i="2"/>
  <c r="R141" i="2"/>
  <c r="R80" i="2"/>
  <c r="R34" i="5"/>
  <c r="R145" i="2"/>
  <c r="R148" i="2"/>
  <c r="R87" i="2"/>
  <c r="R49" i="5"/>
  <c r="R138" i="2"/>
  <c r="R86" i="2"/>
  <c r="R13" i="2"/>
  <c r="R33" i="5"/>
  <c r="R155" i="2"/>
  <c r="R137" i="2"/>
  <c r="R97" i="2"/>
  <c r="R47" i="5"/>
  <c r="R18" i="5"/>
  <c r="R152" i="2"/>
  <c r="R154" i="2"/>
  <c r="G106" i="3"/>
  <c r="G142" i="3"/>
  <c r="E65" i="7"/>
  <c r="I16" i="4"/>
  <c r="I17" i="4" s="1"/>
  <c r="I148" i="3"/>
  <c r="H47" i="5"/>
  <c r="H18" i="5"/>
  <c r="H164" i="3"/>
  <c r="H123" i="3"/>
  <c r="H148" i="2"/>
  <c r="H95" i="2"/>
  <c r="H43" i="5"/>
  <c r="H48" i="5"/>
  <c r="H149" i="2"/>
  <c r="H163" i="3"/>
  <c r="H121" i="3"/>
  <c r="H138" i="2"/>
  <c r="H46" i="5"/>
  <c r="H44" i="5"/>
  <c r="H155" i="2"/>
  <c r="H147" i="3"/>
  <c r="H137" i="2"/>
  <c r="H88" i="2"/>
  <c r="E79" i="7"/>
  <c r="H42" i="5"/>
  <c r="H142" i="2"/>
  <c r="H151" i="2"/>
  <c r="H152" i="3"/>
  <c r="H154" i="2"/>
  <c r="H80" i="2"/>
  <c r="H38" i="5"/>
  <c r="H145" i="2"/>
  <c r="H167" i="3"/>
  <c r="H87" i="2"/>
  <c r="H34" i="5"/>
  <c r="H166" i="3"/>
  <c r="H86" i="2"/>
  <c r="H49" i="5"/>
  <c r="H77" i="3"/>
  <c r="H97" i="2"/>
  <c r="H152" i="2"/>
  <c r="H33" i="5"/>
  <c r="H122" i="3"/>
  <c r="H141" i="2"/>
  <c r="H12" i="4"/>
  <c r="H13" i="4" s="1"/>
  <c r="H13" i="2"/>
  <c r="K41" i="5"/>
  <c r="K35" i="5"/>
  <c r="H143" i="3"/>
  <c r="E66" i="7"/>
  <c r="Q46" i="5"/>
  <c r="Q44" i="5"/>
  <c r="Q149" i="2"/>
  <c r="Q138" i="2"/>
  <c r="Q42" i="5"/>
  <c r="Q151" i="2"/>
  <c r="Q137" i="2"/>
  <c r="Q38" i="5"/>
  <c r="Q145" i="2"/>
  <c r="Q154" i="2"/>
  <c r="Q88" i="2"/>
  <c r="Q34" i="5"/>
  <c r="Q80" i="2"/>
  <c r="Q95" i="2"/>
  <c r="Q49" i="5"/>
  <c r="Q155" i="2"/>
  <c r="Q87" i="2"/>
  <c r="Q13" i="2"/>
  <c r="Q33" i="5"/>
  <c r="Q152" i="2"/>
  <c r="Q86" i="2"/>
  <c r="Q47" i="5"/>
  <c r="Q18" i="5"/>
  <c r="Q141" i="2"/>
  <c r="Q97" i="2"/>
  <c r="Q43" i="5"/>
  <c r="Q48" i="5"/>
  <c r="Q142" i="2"/>
  <c r="Q148" i="2"/>
  <c r="H16" i="4"/>
  <c r="H17" i="4" s="1"/>
  <c r="H148" i="3"/>
  <c r="E88" i="7"/>
  <c r="R59" i="2"/>
  <c r="R60" i="2" s="1"/>
  <c r="R39" i="5"/>
  <c r="R121" i="2"/>
  <c r="R122" i="2" s="1"/>
  <c r="G57" i="3"/>
  <c r="G104" i="3"/>
  <c r="G41" i="5"/>
  <c r="E63" i="7"/>
  <c r="G35" i="5"/>
  <c r="P34" i="5"/>
  <c r="P145" i="2"/>
  <c r="P141" i="2"/>
  <c r="P86" i="2"/>
  <c r="P48" i="5"/>
  <c r="P49" i="5"/>
  <c r="P148" i="2"/>
  <c r="P44" i="5"/>
  <c r="P33" i="5"/>
  <c r="P155" i="2"/>
  <c r="P138" i="2"/>
  <c r="P47" i="5"/>
  <c r="P18" i="5"/>
  <c r="P152" i="2"/>
  <c r="P137" i="2"/>
  <c r="P97" i="2"/>
  <c r="P43" i="5"/>
  <c r="P142" i="2"/>
  <c r="P154" i="2"/>
  <c r="P95" i="2"/>
  <c r="P46" i="5"/>
  <c r="P149" i="2"/>
  <c r="P88" i="2"/>
  <c r="P13" i="2"/>
  <c r="P42" i="5"/>
  <c r="P80" i="2"/>
  <c r="P38" i="5"/>
  <c r="P151" i="2"/>
  <c r="P87" i="2"/>
  <c r="K137" i="3"/>
  <c r="K157" i="3"/>
  <c r="K162" i="3"/>
  <c r="K145" i="3"/>
  <c r="K161" i="3"/>
  <c r="K144" i="3"/>
  <c r="K141" i="3"/>
  <c r="K140" i="3"/>
  <c r="K139" i="3"/>
  <c r="K177" i="3"/>
  <c r="K138" i="3"/>
  <c r="K158" i="3"/>
  <c r="K135" i="3"/>
  <c r="K136" i="3"/>
  <c r="K143" i="3"/>
  <c r="K142" i="3"/>
  <c r="K163" i="3"/>
  <c r="K147" i="3"/>
  <c r="K152" i="3"/>
  <c r="K167" i="3"/>
  <c r="K148" i="3"/>
  <c r="K166" i="3"/>
  <c r="K164" i="3"/>
  <c r="K132" i="3"/>
  <c r="K108" i="3"/>
  <c r="K107" i="3"/>
  <c r="K47" i="3"/>
  <c r="K42" i="3"/>
  <c r="K126" i="3"/>
  <c r="K81" i="3"/>
  <c r="K51" i="3"/>
  <c r="K125" i="3"/>
  <c r="K80" i="3"/>
  <c r="K61" i="3"/>
  <c r="K50" i="3"/>
  <c r="K45" i="3"/>
  <c r="K41" i="3"/>
  <c r="K129" i="3"/>
  <c r="K79" i="3"/>
  <c r="K60" i="3"/>
  <c r="K128" i="3"/>
  <c r="K78" i="3"/>
  <c r="K59" i="3"/>
  <c r="K44" i="3"/>
  <c r="K133" i="3"/>
  <c r="K76" i="3"/>
  <c r="K70" i="3"/>
  <c r="K130" i="3"/>
  <c r="K36" i="3"/>
  <c r="K72" i="3"/>
  <c r="K35" i="3"/>
  <c r="K69" i="3"/>
  <c r="K71" i="3"/>
  <c r="K103" i="3"/>
  <c r="K102" i="3"/>
  <c r="K106" i="3"/>
  <c r="K58" i="3"/>
  <c r="K105" i="3"/>
  <c r="K134" i="3"/>
  <c r="K57" i="3"/>
  <c r="K56" i="3"/>
  <c r="K104" i="3"/>
  <c r="K77" i="3"/>
  <c r="K121" i="3"/>
  <c r="K122" i="3"/>
  <c r="K123" i="3"/>
  <c r="I70" i="6"/>
  <c r="K15" i="3"/>
  <c r="K16" i="3"/>
  <c r="K31" i="3"/>
  <c r="K30" i="3"/>
  <c r="K22" i="3"/>
  <c r="K21" i="3"/>
  <c r="G20" i="5" l="1"/>
  <c r="G9" i="1" s="1"/>
  <c r="K20" i="5"/>
  <c r="K9" i="1" s="1"/>
  <c r="Q20" i="5"/>
  <c r="Q9" i="1" s="1"/>
  <c r="O20" i="5"/>
  <c r="O9" i="1" s="1"/>
  <c r="I20" i="5"/>
  <c r="I9" i="1" s="1"/>
  <c r="P20" i="5"/>
  <c r="P9" i="1" s="1"/>
  <c r="H20" i="5"/>
  <c r="H9" i="1" s="1"/>
  <c r="J20" i="5"/>
  <c r="J9" i="1" s="1"/>
  <c r="N20" i="5"/>
  <c r="N9" i="1" s="1"/>
  <c r="R20" i="5"/>
  <c r="R9" i="1" s="1"/>
  <c r="K37" i="3"/>
  <c r="K52" i="3"/>
  <c r="K26" i="3"/>
  <c r="K32" i="3"/>
  <c r="K17" i="3"/>
  <c r="N98" i="2"/>
  <c r="M89" i="2"/>
  <c r="P98" i="2"/>
  <c r="K98" i="2"/>
  <c r="O98" i="2"/>
  <c r="M98" i="2"/>
  <c r="H89" i="2"/>
  <c r="H98" i="2"/>
  <c r="G98" i="2"/>
  <c r="R98" i="2"/>
  <c r="Q98" i="2"/>
  <c r="J98" i="2"/>
  <c r="L98" i="2"/>
  <c r="Q89" i="2"/>
  <c r="R89" i="2"/>
  <c r="J89" i="2"/>
  <c r="I89" i="2"/>
  <c r="P89" i="2"/>
  <c r="K89" i="2"/>
  <c r="O89" i="2"/>
  <c r="G89" i="2"/>
  <c r="N89" i="2"/>
  <c r="L89" i="2"/>
  <c r="O60" i="2"/>
  <c r="N81" i="6" s="1"/>
  <c r="G60" i="2"/>
  <c r="F81" i="6" s="1"/>
  <c r="N60" i="2"/>
  <c r="M74" i="6" s="1"/>
  <c r="J60" i="2"/>
  <c r="I86" i="6" s="1"/>
  <c r="L74" i="6"/>
  <c r="L81" i="6"/>
  <c r="L86" i="6"/>
  <c r="K74" i="6"/>
  <c r="K81" i="6"/>
  <c r="K86" i="6"/>
  <c r="K73" i="6"/>
  <c r="K72" i="6"/>
  <c r="L72" i="6"/>
  <c r="L73" i="6"/>
  <c r="I73" i="6"/>
  <c r="I72" i="6"/>
  <c r="G73" i="6"/>
  <c r="T148" i="2"/>
  <c r="T88" i="2"/>
  <c r="T87" i="2"/>
  <c r="T149" i="2"/>
  <c r="T86" i="2"/>
  <c r="T154" i="2"/>
  <c r="G72" i="6"/>
  <c r="T137" i="2"/>
  <c r="T141" i="2"/>
  <c r="T59" i="2"/>
  <c r="T80" i="2"/>
  <c r="I78" i="6"/>
  <c r="T142" i="2"/>
  <c r="T13" i="2"/>
  <c r="T151" i="2"/>
  <c r="T152" i="2"/>
  <c r="T138" i="2"/>
  <c r="T97" i="2"/>
  <c r="T145" i="2"/>
  <c r="H73" i="6"/>
  <c r="T13" i="4"/>
  <c r="F73" i="6"/>
  <c r="T121" i="2"/>
  <c r="T42" i="5"/>
  <c r="T122" i="2"/>
  <c r="T17" i="4"/>
  <c r="T16" i="4"/>
  <c r="T12" i="4"/>
  <c r="T155" i="2"/>
  <c r="T35" i="5"/>
  <c r="T95" i="2"/>
  <c r="P74" i="6"/>
  <c r="P81" i="6"/>
  <c r="P86" i="6"/>
  <c r="O86" i="6"/>
  <c r="O74" i="6"/>
  <c r="O81" i="6"/>
  <c r="T41" i="5"/>
  <c r="T48" i="5"/>
  <c r="T33" i="5"/>
  <c r="T34" i="5"/>
  <c r="T44" i="5"/>
  <c r="T46" i="5"/>
  <c r="T39" i="5"/>
  <c r="T18" i="5"/>
  <c r="F72" i="6"/>
  <c r="T38" i="5"/>
  <c r="T47" i="5"/>
  <c r="H72" i="6"/>
  <c r="G74" i="6"/>
  <c r="G86" i="6"/>
  <c r="G81" i="6"/>
  <c r="Q74" i="6"/>
  <c r="Q81" i="6"/>
  <c r="Q86" i="6"/>
  <c r="T49" i="5"/>
  <c r="J74" i="6"/>
  <c r="J81" i="6"/>
  <c r="J86" i="6"/>
  <c r="H74" i="6"/>
  <c r="H86" i="6"/>
  <c r="H81" i="6"/>
  <c r="T43" i="5"/>
  <c r="N162" i="3"/>
  <c r="N145" i="3"/>
  <c r="N161" i="3"/>
  <c r="N144" i="3"/>
  <c r="N141" i="3"/>
  <c r="N140" i="3"/>
  <c r="N139" i="3"/>
  <c r="N177" i="3"/>
  <c r="N138" i="3"/>
  <c r="N158" i="3"/>
  <c r="N137" i="3"/>
  <c r="N157" i="3"/>
  <c r="N135" i="3"/>
  <c r="N142" i="3"/>
  <c r="N136" i="3"/>
  <c r="N143" i="3"/>
  <c r="N152" i="3"/>
  <c r="N167" i="3"/>
  <c r="N166" i="3"/>
  <c r="N164" i="3"/>
  <c r="N148" i="3"/>
  <c r="N163" i="3"/>
  <c r="N147" i="3"/>
  <c r="J73" i="6"/>
  <c r="J70" i="6"/>
  <c r="N107" i="3"/>
  <c r="N47" i="3"/>
  <c r="N42" i="3"/>
  <c r="N71" i="3"/>
  <c r="N126" i="3"/>
  <c r="N81" i="3"/>
  <c r="N51" i="3"/>
  <c r="N125" i="3"/>
  <c r="N80" i="3"/>
  <c r="N61" i="3"/>
  <c r="N50" i="3"/>
  <c r="N45" i="3"/>
  <c r="N41" i="3"/>
  <c r="N129" i="3"/>
  <c r="N79" i="3"/>
  <c r="N60" i="3"/>
  <c r="N128" i="3"/>
  <c r="N78" i="3"/>
  <c r="N59" i="3"/>
  <c r="N44" i="3"/>
  <c r="N133" i="3"/>
  <c r="N76" i="3"/>
  <c r="N132" i="3"/>
  <c r="N108" i="3"/>
  <c r="N69" i="3"/>
  <c r="N70" i="3"/>
  <c r="N36" i="3"/>
  <c r="N35" i="3"/>
  <c r="N72" i="3"/>
  <c r="N130" i="3"/>
  <c r="N102" i="3"/>
  <c r="N106" i="3"/>
  <c r="N134" i="3"/>
  <c r="N58" i="3"/>
  <c r="N56" i="3"/>
  <c r="N105" i="3"/>
  <c r="N103" i="3"/>
  <c r="N77" i="3"/>
  <c r="N104" i="3"/>
  <c r="N121" i="3"/>
  <c r="N57" i="3"/>
  <c r="N123" i="3"/>
  <c r="N122" i="3"/>
  <c r="J72" i="6"/>
  <c r="N16" i="3"/>
  <c r="N31" i="3"/>
  <c r="N30" i="3"/>
  <c r="N22" i="3"/>
  <c r="N21" i="3"/>
  <c r="N15" i="3"/>
  <c r="N17" i="3" l="1"/>
  <c r="F74" i="6"/>
  <c r="N37" i="3"/>
  <c r="N32" i="3"/>
  <c r="N52" i="3"/>
  <c r="N26" i="3"/>
  <c r="F86" i="6"/>
  <c r="T60" i="2"/>
  <c r="N74" i="6"/>
  <c r="N86" i="6"/>
  <c r="I74" i="6"/>
  <c r="I81" i="6"/>
  <c r="M86" i="6"/>
  <c r="M81" i="6"/>
  <c r="J78" i="6"/>
  <c r="T89" i="2"/>
  <c r="O145" i="3"/>
  <c r="O161" i="3"/>
  <c r="O144" i="3"/>
  <c r="O141" i="3"/>
  <c r="O140" i="3"/>
  <c r="O139" i="3"/>
  <c r="O177" i="3"/>
  <c r="O138" i="3"/>
  <c r="O158" i="3"/>
  <c r="O137" i="3"/>
  <c r="O157" i="3"/>
  <c r="O162" i="3"/>
  <c r="O135" i="3"/>
  <c r="O142" i="3"/>
  <c r="O136" i="3"/>
  <c r="O163" i="3"/>
  <c r="O147" i="3"/>
  <c r="O143" i="3"/>
  <c r="O152" i="3"/>
  <c r="O167" i="3"/>
  <c r="O166" i="3"/>
  <c r="O164" i="3"/>
  <c r="O148" i="3"/>
  <c r="M70" i="6"/>
  <c r="M72" i="6"/>
  <c r="O42" i="3"/>
  <c r="O126" i="3"/>
  <c r="O81" i="3"/>
  <c r="O51" i="3"/>
  <c r="O125" i="3"/>
  <c r="O80" i="3"/>
  <c r="O61" i="3"/>
  <c r="O50" i="3"/>
  <c r="O45" i="3"/>
  <c r="O41" i="3"/>
  <c r="O70" i="3"/>
  <c r="O129" i="3"/>
  <c r="O79" i="3"/>
  <c r="O60" i="3"/>
  <c r="O128" i="3"/>
  <c r="O78" i="3"/>
  <c r="O59" i="3"/>
  <c r="O44" i="3"/>
  <c r="O133" i="3"/>
  <c r="O76" i="3"/>
  <c r="O132" i="3"/>
  <c r="O108" i="3"/>
  <c r="O107" i="3"/>
  <c r="O47" i="3"/>
  <c r="O72" i="3"/>
  <c r="O71" i="3"/>
  <c r="O69" i="3"/>
  <c r="O35" i="3"/>
  <c r="O36" i="3"/>
  <c r="O130" i="3"/>
  <c r="O56" i="3"/>
  <c r="O134" i="3"/>
  <c r="O103" i="3"/>
  <c r="O106" i="3"/>
  <c r="O102" i="3"/>
  <c r="O58" i="3"/>
  <c r="O57" i="3"/>
  <c r="O105" i="3"/>
  <c r="O104" i="3"/>
  <c r="O77" i="3"/>
  <c r="O123" i="3"/>
  <c r="O121" i="3"/>
  <c r="O122" i="3"/>
  <c r="M73" i="6"/>
  <c r="O16" i="3"/>
  <c r="O31" i="3"/>
  <c r="O30" i="3"/>
  <c r="O22" i="3"/>
  <c r="O21" i="3"/>
  <c r="O15" i="3"/>
  <c r="O26" i="3" l="1"/>
  <c r="O52" i="3"/>
  <c r="E86" i="6"/>
  <c r="M86" i="7" s="1"/>
  <c r="O37" i="3"/>
  <c r="E74" i="6"/>
  <c r="P74" i="7" s="1"/>
  <c r="O32" i="3"/>
  <c r="O17" i="3"/>
  <c r="E81" i="6"/>
  <c r="Y81" i="6" s="1"/>
  <c r="M78" i="6"/>
  <c r="P144" i="3"/>
  <c r="P141" i="3"/>
  <c r="P140" i="3"/>
  <c r="P139" i="3"/>
  <c r="P177" i="3"/>
  <c r="P138" i="3"/>
  <c r="P158" i="3"/>
  <c r="P137" i="3"/>
  <c r="P157" i="3"/>
  <c r="P162" i="3"/>
  <c r="P145" i="3"/>
  <c r="P161" i="3"/>
  <c r="P136" i="3"/>
  <c r="P135" i="3"/>
  <c r="P142" i="3"/>
  <c r="P167" i="3"/>
  <c r="P166" i="3"/>
  <c r="P164" i="3"/>
  <c r="P143" i="3"/>
  <c r="P163" i="3"/>
  <c r="P147" i="3"/>
  <c r="P152" i="3"/>
  <c r="P148" i="3"/>
  <c r="N72" i="6"/>
  <c r="N70" i="6"/>
  <c r="P126" i="3"/>
  <c r="P81" i="3"/>
  <c r="P51" i="3"/>
  <c r="P125" i="3"/>
  <c r="P80" i="3"/>
  <c r="P61" i="3"/>
  <c r="P50" i="3"/>
  <c r="P45" i="3"/>
  <c r="P41" i="3"/>
  <c r="P129" i="3"/>
  <c r="P79" i="3"/>
  <c r="P60" i="3"/>
  <c r="P128" i="3"/>
  <c r="P78" i="3"/>
  <c r="P59" i="3"/>
  <c r="P44" i="3"/>
  <c r="P133" i="3"/>
  <c r="P76" i="3"/>
  <c r="P132" i="3"/>
  <c r="P108" i="3"/>
  <c r="P107" i="3"/>
  <c r="P47" i="3"/>
  <c r="P42" i="3"/>
  <c r="P70" i="3"/>
  <c r="P130" i="3"/>
  <c r="P72" i="3"/>
  <c r="P71" i="3"/>
  <c r="P69" i="3"/>
  <c r="P35" i="3"/>
  <c r="P36" i="3"/>
  <c r="P58" i="3"/>
  <c r="P105" i="3"/>
  <c r="P56" i="3"/>
  <c r="P103" i="3"/>
  <c r="P102" i="3"/>
  <c r="P134" i="3"/>
  <c r="P106" i="3"/>
  <c r="P77" i="3"/>
  <c r="P122" i="3"/>
  <c r="P121" i="3"/>
  <c r="P123" i="3"/>
  <c r="P57" i="3"/>
  <c r="P104" i="3"/>
  <c r="N73" i="6"/>
  <c r="P16" i="3"/>
  <c r="P31" i="3"/>
  <c r="P30" i="3"/>
  <c r="P22" i="3"/>
  <c r="P21" i="3"/>
  <c r="P15" i="3"/>
  <c r="J74" i="7" l="1"/>
  <c r="K51" i="5" s="1"/>
  <c r="I86" i="7"/>
  <c r="J165" i="3" s="1"/>
  <c r="Q86" i="7"/>
  <c r="Y86" i="6"/>
  <c r="F86" i="7"/>
  <c r="G165" i="3" s="1"/>
  <c r="J86" i="7"/>
  <c r="K165" i="3" s="1"/>
  <c r="Q74" i="7"/>
  <c r="R51" i="5" s="1"/>
  <c r="F74" i="7"/>
  <c r="G81" i="2" s="1"/>
  <c r="M74" i="7"/>
  <c r="N81" i="2" s="1"/>
  <c r="H86" i="7"/>
  <c r="I165" i="3" s="1"/>
  <c r="I74" i="7"/>
  <c r="J81" i="2" s="1"/>
  <c r="O86" i="7"/>
  <c r="P165" i="3" s="1"/>
  <c r="P86" i="7"/>
  <c r="Q165" i="3" s="1"/>
  <c r="K74" i="7"/>
  <c r="L139" i="2" s="1"/>
  <c r="N86" i="7"/>
  <c r="K86" i="7"/>
  <c r="L165" i="3" s="1"/>
  <c r="N81" i="7"/>
  <c r="O143" i="2" s="1"/>
  <c r="N74" i="7"/>
  <c r="O81" i="2" s="1"/>
  <c r="G86" i="7"/>
  <c r="H165" i="3" s="1"/>
  <c r="L86" i="7"/>
  <c r="M165" i="3" s="1"/>
  <c r="P52" i="3"/>
  <c r="G81" i="7"/>
  <c r="H169" i="3" s="1"/>
  <c r="P81" i="7"/>
  <c r="Q67" i="2" s="1"/>
  <c r="H74" i="7"/>
  <c r="I51" i="5" s="1"/>
  <c r="J81" i="7"/>
  <c r="K143" i="2" s="1"/>
  <c r="P37" i="3"/>
  <c r="P17" i="3"/>
  <c r="P26" i="3"/>
  <c r="L74" i="7"/>
  <c r="M156" i="2" s="1"/>
  <c r="P32" i="3"/>
  <c r="Y74" i="6"/>
  <c r="G74" i="7"/>
  <c r="H150" i="2" s="1"/>
  <c r="O74" i="7"/>
  <c r="P149" i="3" s="1"/>
  <c r="H81" i="7"/>
  <c r="I155" i="3" s="1"/>
  <c r="O81" i="7"/>
  <c r="P35" i="4" s="1"/>
  <c r="Q81" i="7"/>
  <c r="R143" i="2" s="1"/>
  <c r="K81" i="7"/>
  <c r="L143" i="2" s="1"/>
  <c r="F81" i="7"/>
  <c r="G168" i="3" s="1"/>
  <c r="L81" i="7"/>
  <c r="M143" i="2" s="1"/>
  <c r="I81" i="7"/>
  <c r="J155" i="3" s="1"/>
  <c r="M81" i="7"/>
  <c r="N169" i="3" s="1"/>
  <c r="N165" i="3"/>
  <c r="O165" i="3"/>
  <c r="N78" i="6"/>
  <c r="O155" i="3"/>
  <c r="K14" i="2"/>
  <c r="N20" i="4"/>
  <c r="N14" i="2"/>
  <c r="J139" i="2"/>
  <c r="J51" i="5"/>
  <c r="Q150" i="2"/>
  <c r="Q153" i="2"/>
  <c r="Q156" i="2"/>
  <c r="Q14" i="2"/>
  <c r="Q20" i="4"/>
  <c r="Q81" i="2"/>
  <c r="Q139" i="2"/>
  <c r="Q51" i="5"/>
  <c r="Q50" i="5"/>
  <c r="R20" i="4"/>
  <c r="Q141" i="3"/>
  <c r="Q140" i="3"/>
  <c r="Q139" i="3"/>
  <c r="Q177" i="3"/>
  <c r="Q138" i="3"/>
  <c r="Q158" i="3"/>
  <c r="Q137" i="3"/>
  <c r="Q157" i="3"/>
  <c r="Q162" i="3"/>
  <c r="Q145" i="3"/>
  <c r="Q161" i="3"/>
  <c r="Q144" i="3"/>
  <c r="Q142" i="3"/>
  <c r="Q136" i="3"/>
  <c r="Q135" i="3"/>
  <c r="Q143" i="3"/>
  <c r="Q163" i="3"/>
  <c r="Q147" i="3"/>
  <c r="Q152" i="3"/>
  <c r="Q167" i="3"/>
  <c r="Q149" i="3"/>
  <c r="Q151" i="3"/>
  <c r="Q148" i="3"/>
  <c r="Q166" i="3"/>
  <c r="Q164" i="3"/>
  <c r="O73" i="6"/>
  <c r="O70" i="6"/>
  <c r="Q125" i="3"/>
  <c r="Q80" i="3"/>
  <c r="Q61" i="3"/>
  <c r="Q50" i="3"/>
  <c r="Q45" i="3"/>
  <c r="Q41" i="3"/>
  <c r="Q129" i="3"/>
  <c r="Q79" i="3"/>
  <c r="Q60" i="3"/>
  <c r="Q128" i="3"/>
  <c r="Q78" i="3"/>
  <c r="Q59" i="3"/>
  <c r="Q44" i="3"/>
  <c r="Q133" i="3"/>
  <c r="Q76" i="3"/>
  <c r="Q132" i="3"/>
  <c r="Q108" i="3"/>
  <c r="Q107" i="3"/>
  <c r="Q47" i="3"/>
  <c r="Q42" i="3"/>
  <c r="Q36" i="3"/>
  <c r="Q126" i="3"/>
  <c r="Q81" i="3"/>
  <c r="Q51" i="3"/>
  <c r="Q71" i="3"/>
  <c r="Q35" i="3"/>
  <c r="Q72" i="3"/>
  <c r="Q70" i="3"/>
  <c r="Q130" i="3"/>
  <c r="Q69" i="3"/>
  <c r="Q102" i="3"/>
  <c r="Q56" i="3"/>
  <c r="Q103" i="3"/>
  <c r="Q106" i="3"/>
  <c r="Q104" i="3"/>
  <c r="Q134" i="3"/>
  <c r="Q58" i="3"/>
  <c r="Q105" i="3"/>
  <c r="Q77" i="3"/>
  <c r="Q57" i="3"/>
  <c r="Q121" i="3"/>
  <c r="Q123" i="3"/>
  <c r="Q122" i="3"/>
  <c r="O72" i="6"/>
  <c r="Q16" i="3"/>
  <c r="Q31" i="3"/>
  <c r="Q30" i="3"/>
  <c r="Q22" i="3"/>
  <c r="Q21" i="3"/>
  <c r="Q15" i="3"/>
  <c r="P37" i="4" l="1"/>
  <c r="P39" i="4" s="1"/>
  <c r="K149" i="3"/>
  <c r="K35" i="4"/>
  <c r="N139" i="2"/>
  <c r="K151" i="3"/>
  <c r="K150" i="2"/>
  <c r="N150" i="2"/>
  <c r="K153" i="2"/>
  <c r="P20" i="4"/>
  <c r="P21" i="4" s="1"/>
  <c r="N156" i="2"/>
  <c r="K20" i="4"/>
  <c r="K81" i="2"/>
  <c r="K139" i="2"/>
  <c r="K36" i="5"/>
  <c r="N153" i="2"/>
  <c r="K50" i="5"/>
  <c r="O67" i="2"/>
  <c r="N50" i="5"/>
  <c r="N149" i="3"/>
  <c r="N51" i="5"/>
  <c r="K156" i="2"/>
  <c r="O36" i="5"/>
  <c r="O35" i="4"/>
  <c r="O169" i="3"/>
  <c r="N151" i="3"/>
  <c r="O168" i="3"/>
  <c r="K21" i="4"/>
  <c r="I67" i="2"/>
  <c r="Q21" i="4"/>
  <c r="N21" i="4"/>
  <c r="R21" i="4"/>
  <c r="Q85" i="6" s="1"/>
  <c r="O50" i="5"/>
  <c r="I14" i="2"/>
  <c r="G156" i="2"/>
  <c r="L14" i="2"/>
  <c r="L150" i="2"/>
  <c r="R156" i="2"/>
  <c r="R153" i="2"/>
  <c r="R150" i="2"/>
  <c r="R139" i="2"/>
  <c r="L168" i="3"/>
  <c r="R14" i="2"/>
  <c r="R50" i="5"/>
  <c r="R81" i="2"/>
  <c r="Q143" i="2"/>
  <c r="G153" i="2"/>
  <c r="G14" i="2"/>
  <c r="H153" i="2"/>
  <c r="G159" i="3"/>
  <c r="T159" i="3" s="1"/>
  <c r="G20" i="4"/>
  <c r="G21" i="4" s="1"/>
  <c r="H156" i="2"/>
  <c r="G149" i="3"/>
  <c r="G50" i="5"/>
  <c r="H36" i="5"/>
  <c r="L51" i="5"/>
  <c r="G150" i="2"/>
  <c r="G51" i="5"/>
  <c r="G139" i="2"/>
  <c r="G151" i="3"/>
  <c r="L156" i="2"/>
  <c r="I50" i="5"/>
  <c r="O14" i="2"/>
  <c r="I168" i="3"/>
  <c r="O153" i="2"/>
  <c r="O51" i="5"/>
  <c r="J36" i="5"/>
  <c r="O150" i="2"/>
  <c r="J168" i="3"/>
  <c r="O149" i="3"/>
  <c r="O139" i="2"/>
  <c r="I35" i="4"/>
  <c r="O151" i="3"/>
  <c r="O156" i="2"/>
  <c r="I143" i="2"/>
  <c r="O20" i="4"/>
  <c r="J149" i="3"/>
  <c r="J20" i="4"/>
  <c r="J156" i="2"/>
  <c r="J153" i="2"/>
  <c r="Q32" i="3"/>
  <c r="J150" i="2"/>
  <c r="J151" i="3"/>
  <c r="J14" i="2"/>
  <c r="J50" i="5"/>
  <c r="K168" i="3"/>
  <c r="I169" i="3"/>
  <c r="I36" i="5"/>
  <c r="J67" i="2"/>
  <c r="L151" i="3"/>
  <c r="L153" i="2"/>
  <c r="H35" i="4"/>
  <c r="L149" i="3"/>
  <c r="L81" i="2"/>
  <c r="H51" i="5"/>
  <c r="G35" i="4"/>
  <c r="H155" i="3"/>
  <c r="L20" i="4"/>
  <c r="H20" i="4"/>
  <c r="H168" i="3"/>
  <c r="L50" i="5"/>
  <c r="I139" i="2"/>
  <c r="H151" i="3"/>
  <c r="E74" i="7"/>
  <c r="L169" i="3"/>
  <c r="K169" i="3"/>
  <c r="G169" i="3"/>
  <c r="H67" i="2"/>
  <c r="L155" i="3"/>
  <c r="M50" i="5"/>
  <c r="K155" i="3"/>
  <c r="G155" i="3"/>
  <c r="H143" i="2"/>
  <c r="L35" i="4"/>
  <c r="M151" i="3"/>
  <c r="M14" i="2"/>
  <c r="M149" i="3"/>
  <c r="M153" i="2"/>
  <c r="Q26" i="3"/>
  <c r="K67" i="2"/>
  <c r="M20" i="4"/>
  <c r="M81" i="2"/>
  <c r="Q35" i="4"/>
  <c r="Q169" i="3"/>
  <c r="Q155" i="3"/>
  <c r="L67" i="2"/>
  <c r="L36" i="5"/>
  <c r="Q168" i="3"/>
  <c r="M150" i="2"/>
  <c r="Q36" i="5"/>
  <c r="I153" i="2"/>
  <c r="H139" i="2"/>
  <c r="I150" i="2"/>
  <c r="H50" i="5"/>
  <c r="H14" i="2"/>
  <c r="E86" i="7"/>
  <c r="J169" i="3"/>
  <c r="I20" i="4"/>
  <c r="I81" i="2"/>
  <c r="H149" i="3"/>
  <c r="I156" i="2"/>
  <c r="I149" i="3"/>
  <c r="H81" i="2"/>
  <c r="J35" i="4"/>
  <c r="M139" i="2"/>
  <c r="I151" i="3"/>
  <c r="J143" i="2"/>
  <c r="M51" i="5"/>
  <c r="Q52" i="3"/>
  <c r="P150" i="2"/>
  <c r="P51" i="5"/>
  <c r="P81" i="2"/>
  <c r="P153" i="2"/>
  <c r="Q37" i="3"/>
  <c r="P14" i="2"/>
  <c r="P156" i="2"/>
  <c r="P151" i="3"/>
  <c r="P139" i="2"/>
  <c r="P50" i="5"/>
  <c r="P169" i="3"/>
  <c r="Q17" i="3"/>
  <c r="R36" i="5"/>
  <c r="P67" i="2"/>
  <c r="R67" i="2"/>
  <c r="P155" i="3"/>
  <c r="P143" i="2"/>
  <c r="R35" i="4"/>
  <c r="P168" i="3"/>
  <c r="P36" i="5"/>
  <c r="M155" i="3"/>
  <c r="M67" i="2"/>
  <c r="N168" i="3"/>
  <c r="M35" i="4"/>
  <c r="M168" i="3"/>
  <c r="G143" i="2"/>
  <c r="M169" i="3"/>
  <c r="M36" i="5"/>
  <c r="G36" i="5"/>
  <c r="G67" i="2"/>
  <c r="N155" i="3"/>
  <c r="N143" i="2"/>
  <c r="E81" i="7"/>
  <c r="N36" i="5"/>
  <c r="N67" i="2"/>
  <c r="N35" i="4"/>
  <c r="O78" i="6"/>
  <c r="R140" i="3"/>
  <c r="T140" i="3" s="1"/>
  <c r="R139" i="3"/>
  <c r="T139" i="3" s="1"/>
  <c r="R177" i="3"/>
  <c r="T177" i="3" s="1"/>
  <c r="R138" i="3"/>
  <c r="T138" i="3" s="1"/>
  <c r="R158" i="3"/>
  <c r="T158" i="3" s="1"/>
  <c r="R137" i="3"/>
  <c r="T137" i="3" s="1"/>
  <c r="R157" i="3"/>
  <c r="T157" i="3" s="1"/>
  <c r="R162" i="3"/>
  <c r="T162" i="3" s="1"/>
  <c r="R145" i="3"/>
  <c r="T145" i="3" s="1"/>
  <c r="R161" i="3"/>
  <c r="T161" i="3" s="1"/>
  <c r="R144" i="3"/>
  <c r="T144" i="3" s="1"/>
  <c r="R141" i="3"/>
  <c r="T141" i="3" s="1"/>
  <c r="R136" i="3"/>
  <c r="T136" i="3" s="1"/>
  <c r="R135" i="3"/>
  <c r="T135" i="3" s="1"/>
  <c r="R142" i="3"/>
  <c r="T142" i="3" s="1"/>
  <c r="R147" i="3"/>
  <c r="T147" i="3" s="1"/>
  <c r="R152" i="3"/>
  <c r="T152" i="3" s="1"/>
  <c r="R167" i="3"/>
  <c r="T167" i="3" s="1"/>
  <c r="R166" i="3"/>
  <c r="T166" i="3" s="1"/>
  <c r="R143" i="3"/>
  <c r="T143" i="3" s="1"/>
  <c r="R149" i="3"/>
  <c r="R151" i="3"/>
  <c r="R164" i="3"/>
  <c r="T164" i="3" s="1"/>
  <c r="R148" i="3"/>
  <c r="T148" i="3" s="1"/>
  <c r="R163" i="3"/>
  <c r="T163" i="3" s="1"/>
  <c r="R155" i="3"/>
  <c r="R165" i="3"/>
  <c r="T165" i="3" s="1"/>
  <c r="R169" i="3"/>
  <c r="R168" i="3"/>
  <c r="P70" i="6"/>
  <c r="R129" i="3"/>
  <c r="T129" i="3" s="1"/>
  <c r="R79" i="3"/>
  <c r="T79" i="3" s="1"/>
  <c r="R60" i="3"/>
  <c r="T60" i="3" s="1"/>
  <c r="R128" i="3"/>
  <c r="T128" i="3" s="1"/>
  <c r="R78" i="3"/>
  <c r="T78" i="3" s="1"/>
  <c r="R59" i="3"/>
  <c r="T59" i="3" s="1"/>
  <c r="R44" i="3"/>
  <c r="T44" i="3" s="1"/>
  <c r="R133" i="3"/>
  <c r="T133" i="3" s="1"/>
  <c r="R76" i="3"/>
  <c r="R132" i="3"/>
  <c r="T132" i="3" s="1"/>
  <c r="R108" i="3"/>
  <c r="T108" i="3" s="1"/>
  <c r="R107" i="3"/>
  <c r="T107" i="3" s="1"/>
  <c r="R47" i="3"/>
  <c r="T47" i="3" s="1"/>
  <c r="R42" i="3"/>
  <c r="T42" i="3" s="1"/>
  <c r="R126" i="3"/>
  <c r="T126" i="3" s="1"/>
  <c r="R81" i="3"/>
  <c r="T81" i="3" s="1"/>
  <c r="R51" i="3"/>
  <c r="T51" i="3" s="1"/>
  <c r="R125" i="3"/>
  <c r="T125" i="3" s="1"/>
  <c r="R80" i="3"/>
  <c r="T80" i="3" s="1"/>
  <c r="R61" i="3"/>
  <c r="T61" i="3" s="1"/>
  <c r="R50" i="3"/>
  <c r="T50" i="3" s="1"/>
  <c r="R45" i="3"/>
  <c r="T45" i="3" s="1"/>
  <c r="R41" i="3"/>
  <c r="R35" i="3"/>
  <c r="R72" i="3"/>
  <c r="T72" i="3" s="1"/>
  <c r="R130" i="3"/>
  <c r="T130" i="3" s="1"/>
  <c r="R71" i="3"/>
  <c r="T71" i="3" s="1"/>
  <c r="R70" i="3"/>
  <c r="T70" i="3" s="1"/>
  <c r="R69" i="3"/>
  <c r="T69" i="3" s="1"/>
  <c r="R36" i="3"/>
  <c r="T36" i="3" s="1"/>
  <c r="R58" i="3"/>
  <c r="T58" i="3" s="1"/>
  <c r="R56" i="3"/>
  <c r="T56" i="3" s="1"/>
  <c r="R106" i="3"/>
  <c r="T106" i="3" s="1"/>
  <c r="R105" i="3"/>
  <c r="T105" i="3" s="1"/>
  <c r="R103" i="3"/>
  <c r="T103" i="3" s="1"/>
  <c r="R134" i="3"/>
  <c r="T134" i="3" s="1"/>
  <c r="R102" i="3"/>
  <c r="R122" i="3"/>
  <c r="T122" i="3" s="1"/>
  <c r="R104" i="3"/>
  <c r="T104" i="3" s="1"/>
  <c r="R123" i="3"/>
  <c r="T123" i="3" s="1"/>
  <c r="R121" i="3"/>
  <c r="R77" i="3"/>
  <c r="T77" i="3" s="1"/>
  <c r="R57" i="3"/>
  <c r="T57" i="3" s="1"/>
  <c r="P73" i="6"/>
  <c r="P72" i="6"/>
  <c r="R31" i="3"/>
  <c r="T31" i="3" s="1"/>
  <c r="R30" i="3"/>
  <c r="R22" i="3"/>
  <c r="T22" i="3" s="1"/>
  <c r="R21" i="3"/>
  <c r="R15" i="3"/>
  <c r="R16" i="3"/>
  <c r="T16" i="3" s="1"/>
  <c r="M37" i="4" l="1"/>
  <c r="M39" i="4" s="1"/>
  <c r="R37" i="4"/>
  <c r="R39" i="4" s="1"/>
  <c r="O37" i="4"/>
  <c r="O39" i="4" s="1"/>
  <c r="H37" i="4"/>
  <c r="Q37" i="4"/>
  <c r="Q39" i="4" s="1"/>
  <c r="K37" i="4"/>
  <c r="K39" i="4" s="1"/>
  <c r="L37" i="4"/>
  <c r="L39" i="4" s="1"/>
  <c r="N37" i="4"/>
  <c r="N39" i="4" s="1"/>
  <c r="J37" i="4"/>
  <c r="J39" i="4" s="1"/>
  <c r="G37" i="4"/>
  <c r="G39" i="4" s="1"/>
  <c r="I37" i="4"/>
  <c r="I39" i="4" s="1"/>
  <c r="M85" i="6"/>
  <c r="P85" i="6"/>
  <c r="O85" i="6"/>
  <c r="J85" i="6"/>
  <c r="O21" i="4"/>
  <c r="H21" i="4"/>
  <c r="I21" i="4"/>
  <c r="L21" i="4"/>
  <c r="K85" i="6" s="1"/>
  <c r="M21" i="4"/>
  <c r="J21" i="4"/>
  <c r="T121" i="3"/>
  <c r="T102" i="3"/>
  <c r="T50" i="5"/>
  <c r="T150" i="2"/>
  <c r="T156" i="2"/>
  <c r="T51" i="5"/>
  <c r="T76" i="3"/>
  <c r="T149" i="3"/>
  <c r="T153" i="2"/>
  <c r="T81" i="2"/>
  <c r="T169" i="3"/>
  <c r="T139" i="2"/>
  <c r="T20" i="4"/>
  <c r="T14" i="2"/>
  <c r="T41" i="3"/>
  <c r="R52" i="3"/>
  <c r="T52" i="3" s="1"/>
  <c r="T35" i="3"/>
  <c r="R37" i="3"/>
  <c r="T37" i="3" s="1"/>
  <c r="T151" i="3"/>
  <c r="T30" i="3"/>
  <c r="R32" i="3"/>
  <c r="T32" i="3" s="1"/>
  <c r="T21" i="3"/>
  <c r="R26" i="3"/>
  <c r="T26" i="3" s="1"/>
  <c r="T15" i="3"/>
  <c r="R17" i="3"/>
  <c r="T168" i="3"/>
  <c r="T143" i="2"/>
  <c r="T36" i="5"/>
  <c r="T67" i="2"/>
  <c r="T155" i="3"/>
  <c r="T35" i="4"/>
  <c r="P78" i="6"/>
  <c r="F85" i="6"/>
  <c r="Q73" i="6"/>
  <c r="Q72" i="6"/>
  <c r="E72" i="6" s="1"/>
  <c r="Q70" i="6"/>
  <c r="E70" i="6" s="1"/>
  <c r="T37" i="4" l="1"/>
  <c r="H39" i="4"/>
  <c r="T39" i="4"/>
  <c r="L85" i="6"/>
  <c r="H85" i="6"/>
  <c r="G85" i="6"/>
  <c r="N85" i="6"/>
  <c r="I85" i="6"/>
  <c r="T21" i="4"/>
  <c r="Y72" i="6"/>
  <c r="L72" i="7"/>
  <c r="M109" i="3" s="1"/>
  <c r="M110" i="3" s="1"/>
  <c r="K72" i="7"/>
  <c r="L109" i="3" s="1"/>
  <c r="L110" i="3" s="1"/>
  <c r="Y70" i="6"/>
  <c r="L70" i="7"/>
  <c r="M68" i="3" s="1"/>
  <c r="K70" i="7"/>
  <c r="L68" i="3" s="1"/>
  <c r="T17" i="3"/>
  <c r="Q78" i="6"/>
  <c r="E78" i="6" s="1"/>
  <c r="E73" i="6"/>
  <c r="P72" i="7"/>
  <c r="F70" i="7"/>
  <c r="G68" i="3" s="1"/>
  <c r="G73" i="3" s="1"/>
  <c r="G70" i="7"/>
  <c r="H68" i="3" s="1"/>
  <c r="H70" i="7"/>
  <c r="I68" i="3" s="1"/>
  <c r="I70" i="7"/>
  <c r="J68" i="3" s="1"/>
  <c r="J70" i="7"/>
  <c r="K68" i="3" s="1"/>
  <c r="M70" i="7"/>
  <c r="N70" i="7"/>
  <c r="O70" i="7"/>
  <c r="G72" i="7"/>
  <c r="H109" i="3" s="1"/>
  <c r="H110" i="3" s="1"/>
  <c r="I72" i="7"/>
  <c r="J109" i="3" s="1"/>
  <c r="J110" i="3" s="1"/>
  <c r="F72" i="7"/>
  <c r="G109" i="3" s="1"/>
  <c r="G110" i="3" s="1"/>
  <c r="J72" i="7"/>
  <c r="K109" i="3" s="1"/>
  <c r="K110" i="3" s="1"/>
  <c r="H72" i="7"/>
  <c r="I109" i="3" s="1"/>
  <c r="I110" i="3" s="1"/>
  <c r="M72" i="7"/>
  <c r="N72" i="7"/>
  <c r="O72" i="7"/>
  <c r="P70" i="7"/>
  <c r="Q72" i="7"/>
  <c r="Q70" i="7"/>
  <c r="E85" i="6" l="1"/>
  <c r="N85" i="7"/>
  <c r="Y85" i="6"/>
  <c r="F85" i="7"/>
  <c r="I85" i="7"/>
  <c r="K85" i="7"/>
  <c r="L70" i="2" s="1"/>
  <c r="M85" i="7"/>
  <c r="J85" i="7"/>
  <c r="K70" i="2" s="1"/>
  <c r="O85" i="7"/>
  <c r="P69" i="2" s="1"/>
  <c r="G85" i="7"/>
  <c r="L85" i="7"/>
  <c r="Q85" i="7"/>
  <c r="P85" i="7"/>
  <c r="H85" i="7"/>
  <c r="H73" i="3"/>
  <c r="G69" i="6" s="1"/>
  <c r="M73" i="3"/>
  <c r="L69" i="6" s="1"/>
  <c r="K73" i="3"/>
  <c r="J69" i="6" s="1"/>
  <c r="J73" i="3"/>
  <c r="I69" i="6" s="1"/>
  <c r="I73" i="3"/>
  <c r="H69" i="6" s="1"/>
  <c r="L73" i="3"/>
  <c r="K69" i="6" s="1"/>
  <c r="M69" i="2"/>
  <c r="M68" i="2"/>
  <c r="M70" i="2"/>
  <c r="L69" i="2"/>
  <c r="O109" i="3"/>
  <c r="O110" i="3" s="1"/>
  <c r="Q68" i="3"/>
  <c r="N68" i="3"/>
  <c r="N109" i="3"/>
  <c r="N110" i="3" s="1"/>
  <c r="R68" i="3"/>
  <c r="O68" i="3"/>
  <c r="R109" i="3"/>
  <c r="R110" i="3" s="1"/>
  <c r="Y73" i="6"/>
  <c r="K73" i="7"/>
  <c r="L73" i="7"/>
  <c r="L78" i="7"/>
  <c r="K78" i="7"/>
  <c r="P68" i="3"/>
  <c r="P109" i="3"/>
  <c r="P110" i="3" s="1"/>
  <c r="Q109" i="3"/>
  <c r="Q110" i="3" s="1"/>
  <c r="G70" i="2"/>
  <c r="G68" i="2"/>
  <c r="G69" i="2"/>
  <c r="M73" i="7"/>
  <c r="I73" i="7"/>
  <c r="J62" i="3" s="1"/>
  <c r="Q73" i="7"/>
  <c r="F73" i="7"/>
  <c r="G62" i="3" s="1"/>
  <c r="O73" i="7"/>
  <c r="N73" i="7"/>
  <c r="J73" i="7"/>
  <c r="K55" i="3" s="1"/>
  <c r="H73" i="7"/>
  <c r="I55" i="3" s="1"/>
  <c r="Y78" i="6"/>
  <c r="G73" i="7"/>
  <c r="H62" i="3" s="1"/>
  <c r="P73" i="7"/>
  <c r="E70" i="7"/>
  <c r="E72" i="7"/>
  <c r="R68" i="2"/>
  <c r="R69" i="2"/>
  <c r="R70" i="2"/>
  <c r="O70" i="2"/>
  <c r="O68" i="2"/>
  <c r="O69" i="2"/>
  <c r="N70" i="2"/>
  <c r="N68" i="2"/>
  <c r="N69" i="2"/>
  <c r="J70" i="2"/>
  <c r="J68" i="2"/>
  <c r="J69" i="2"/>
  <c r="I68" i="2"/>
  <c r="I69" i="2"/>
  <c r="I70" i="2"/>
  <c r="H69" i="2"/>
  <c r="H70" i="2"/>
  <c r="H68" i="2"/>
  <c r="Q69" i="2"/>
  <c r="Q70" i="2"/>
  <c r="Q68" i="2"/>
  <c r="E85" i="7" l="1"/>
  <c r="K69" i="2"/>
  <c r="K68" i="2"/>
  <c r="L68" i="2"/>
  <c r="P70" i="2"/>
  <c r="T70" i="2" s="1"/>
  <c r="P68" i="2"/>
  <c r="P73" i="3"/>
  <c r="O69" i="6" s="1"/>
  <c r="R73" i="3"/>
  <c r="Q69" i="6" s="1"/>
  <c r="O73" i="3"/>
  <c r="N69" i="6" s="1"/>
  <c r="N73" i="3"/>
  <c r="Q73" i="3"/>
  <c r="P69" i="6" s="1"/>
  <c r="M62" i="3"/>
  <c r="M55" i="3"/>
  <c r="L55" i="3"/>
  <c r="L62" i="3"/>
  <c r="P62" i="3"/>
  <c r="N62" i="3"/>
  <c r="O55" i="3"/>
  <c r="T68" i="3"/>
  <c r="T110" i="3"/>
  <c r="T109" i="3"/>
  <c r="R55" i="3"/>
  <c r="R62" i="3"/>
  <c r="K62" i="3"/>
  <c r="J71" i="6" s="1"/>
  <c r="J55" i="3"/>
  <c r="N55" i="3"/>
  <c r="P55" i="3"/>
  <c r="G55" i="3"/>
  <c r="I62" i="3"/>
  <c r="H71" i="6" s="1"/>
  <c r="O62" i="3"/>
  <c r="H55" i="3"/>
  <c r="E73" i="7"/>
  <c r="F78" i="7"/>
  <c r="G78" i="7"/>
  <c r="H78" i="7"/>
  <c r="I78" i="7"/>
  <c r="J78" i="7"/>
  <c r="M78" i="7"/>
  <c r="N78" i="7"/>
  <c r="O78" i="7"/>
  <c r="P78" i="7"/>
  <c r="Q78" i="7"/>
  <c r="T69" i="2"/>
  <c r="F69" i="6"/>
  <c r="Q55" i="3"/>
  <c r="Q62" i="3"/>
  <c r="T68" i="2" l="1"/>
  <c r="T73" i="3"/>
  <c r="M69" i="6"/>
  <c r="E69" i="6" s="1"/>
  <c r="I71" i="6"/>
  <c r="G71" i="6"/>
  <c r="F71" i="6"/>
  <c r="K71" i="6"/>
  <c r="L71" i="6"/>
  <c r="O71" i="6"/>
  <c r="N71" i="6"/>
  <c r="M71" i="6"/>
  <c r="Q71" i="6"/>
  <c r="T62" i="3"/>
  <c r="T55" i="3"/>
  <c r="E78" i="7"/>
  <c r="P71" i="6"/>
  <c r="I69" i="7" l="1"/>
  <c r="J24" i="4" s="1"/>
  <c r="Q69" i="7"/>
  <c r="Y69" i="6"/>
  <c r="P69" i="7"/>
  <c r="Q24" i="4" s="1"/>
  <c r="F69" i="7"/>
  <c r="G24" i="4" s="1"/>
  <c r="G25" i="4" s="1"/>
  <c r="G31" i="4" s="1"/>
  <c r="G41" i="4" s="1"/>
  <c r="J69" i="7"/>
  <c r="K24" i="4" s="1"/>
  <c r="H69" i="7"/>
  <c r="I24" i="4" s="1"/>
  <c r="L69" i="7"/>
  <c r="M24" i="4" s="1"/>
  <c r="N69" i="7"/>
  <c r="O24" i="4" s="1"/>
  <c r="O69" i="7"/>
  <c r="G69" i="7"/>
  <c r="H24" i="4" s="1"/>
  <c r="K69" i="7"/>
  <c r="L24" i="4" s="1"/>
  <c r="M69" i="7"/>
  <c r="N24" i="4" s="1"/>
  <c r="E71" i="6"/>
  <c r="P24" i="4"/>
  <c r="R24" i="4"/>
  <c r="N25" i="4" l="1"/>
  <c r="K25" i="4"/>
  <c r="M25" i="4"/>
  <c r="L25" i="4"/>
  <c r="H25" i="4"/>
  <c r="R25" i="4"/>
  <c r="O25" i="4"/>
  <c r="O31" i="4" s="1"/>
  <c r="I25" i="4"/>
  <c r="I31" i="4" s="1"/>
  <c r="I41" i="4" s="1"/>
  <c r="Q25" i="4"/>
  <c r="P25" i="4"/>
  <c r="J25" i="4"/>
  <c r="J31" i="4" s="1"/>
  <c r="E69" i="7"/>
  <c r="Y71" i="6"/>
  <c r="L71" i="7"/>
  <c r="K71" i="7"/>
  <c r="T24" i="4"/>
  <c r="O41" i="4" l="1"/>
  <c r="N84" i="6" s="1"/>
  <c r="J41" i="4"/>
  <c r="I84" i="6" s="1"/>
  <c r="L31" i="4"/>
  <c r="M31" i="4"/>
  <c r="R31" i="4"/>
  <c r="H31" i="4"/>
  <c r="P31" i="4"/>
  <c r="Q31" i="4"/>
  <c r="K31" i="4"/>
  <c r="N31" i="4"/>
  <c r="T25" i="4"/>
  <c r="H84" i="6"/>
  <c r="L64" i="3"/>
  <c r="L63" i="3"/>
  <c r="M64" i="3"/>
  <c r="M63" i="3"/>
  <c r="R41" i="4" l="1"/>
  <c r="Q84" i="6" s="1"/>
  <c r="L41" i="4"/>
  <c r="K84" i="6" s="1"/>
  <c r="N41" i="4"/>
  <c r="M84" i="6" s="1"/>
  <c r="K41" i="4"/>
  <c r="H41" i="4"/>
  <c r="G84" i="6" s="1"/>
  <c r="Q41" i="4"/>
  <c r="P84" i="6" s="1"/>
  <c r="M41" i="4"/>
  <c r="L84" i="6" s="1"/>
  <c r="P41" i="4"/>
  <c r="O84" i="6" s="1"/>
  <c r="T31" i="4"/>
  <c r="L65" i="3"/>
  <c r="M65" i="3"/>
  <c r="L89" i="6" s="1"/>
  <c r="K89" i="6"/>
  <c r="F84" i="6"/>
  <c r="T41" i="4" l="1"/>
  <c r="J84" i="6"/>
  <c r="E84" i="6"/>
  <c r="T98" i="2"/>
  <c r="F71" i="7"/>
  <c r="G63" i="3" s="1"/>
  <c r="G71" i="7"/>
  <c r="H63" i="3" s="1"/>
  <c r="H71" i="7"/>
  <c r="I64" i="3" s="1"/>
  <c r="I71" i="7"/>
  <c r="J63" i="3" s="1"/>
  <c r="J71" i="7"/>
  <c r="K64" i="3" s="1"/>
  <c r="M71" i="7"/>
  <c r="N63" i="3" s="1"/>
  <c r="N71" i="7"/>
  <c r="O63" i="3" s="1"/>
  <c r="O71" i="7"/>
  <c r="P71" i="7"/>
  <c r="Q71" i="7"/>
  <c r="R64" i="3" s="1"/>
  <c r="Q63" i="3" l="1"/>
  <c r="L84" i="7"/>
  <c r="M147" i="2" s="1"/>
  <c r="K84" i="7"/>
  <c r="L147" i="2" s="1"/>
  <c r="P64" i="3"/>
  <c r="Y84" i="6"/>
  <c r="G84" i="7"/>
  <c r="Q84" i="7"/>
  <c r="J84" i="7"/>
  <c r="O84" i="7"/>
  <c r="H84" i="7"/>
  <c r="N84" i="7"/>
  <c r="P84" i="7"/>
  <c r="M84" i="7"/>
  <c r="I84" i="7"/>
  <c r="F84" i="7"/>
  <c r="I63" i="3"/>
  <c r="I65" i="3" s="1"/>
  <c r="O64" i="3"/>
  <c r="O65" i="3" s="1"/>
  <c r="H64" i="3"/>
  <c r="H65" i="3" s="1"/>
  <c r="N64" i="3"/>
  <c r="N65" i="3" s="1"/>
  <c r="G64" i="3"/>
  <c r="G65" i="3" s="1"/>
  <c r="R63" i="3"/>
  <c r="R65" i="3" s="1"/>
  <c r="P63" i="3"/>
  <c r="K63" i="3"/>
  <c r="K65" i="3" s="1"/>
  <c r="Q64" i="3"/>
  <c r="E71" i="7"/>
  <c r="J64" i="3"/>
  <c r="J65" i="3" s="1"/>
  <c r="P65" i="3" l="1"/>
  <c r="M89" i="6"/>
  <c r="Q65" i="3"/>
  <c r="L73" i="2"/>
  <c r="L65" i="2"/>
  <c r="L72" i="2"/>
  <c r="L64" i="2"/>
  <c r="L71" i="2"/>
  <c r="L66" i="2"/>
  <c r="M73" i="2"/>
  <c r="M65" i="2"/>
  <c r="M72" i="2"/>
  <c r="M64" i="2"/>
  <c r="M71" i="2"/>
  <c r="M66" i="2"/>
  <c r="L174" i="3"/>
  <c r="L63" i="2"/>
  <c r="M174" i="3"/>
  <c r="M63" i="2"/>
  <c r="L92" i="3"/>
  <c r="L93" i="3"/>
  <c r="M92" i="3"/>
  <c r="M93" i="3"/>
  <c r="O89" i="6"/>
  <c r="I66" i="2"/>
  <c r="I174" i="3"/>
  <c r="I92" i="3"/>
  <c r="I71" i="2"/>
  <c r="I65" i="2"/>
  <c r="I93" i="3"/>
  <c r="I64" i="2"/>
  <c r="I63" i="2"/>
  <c r="I72" i="2"/>
  <c r="I147" i="2"/>
  <c r="I73" i="2"/>
  <c r="P65" i="2"/>
  <c r="P174" i="3"/>
  <c r="P147" i="2"/>
  <c r="P71" i="2"/>
  <c r="P66" i="2"/>
  <c r="P64" i="2"/>
  <c r="P72" i="2"/>
  <c r="P63" i="2"/>
  <c r="P92" i="3"/>
  <c r="P73" i="2"/>
  <c r="P93" i="3"/>
  <c r="T64" i="3"/>
  <c r="K71" i="2"/>
  <c r="K66" i="2"/>
  <c r="K64" i="2"/>
  <c r="K174" i="3"/>
  <c r="K72" i="2"/>
  <c r="K147" i="2"/>
  <c r="K73" i="2"/>
  <c r="K65" i="2"/>
  <c r="K93" i="3"/>
  <c r="K63" i="2"/>
  <c r="K92" i="3"/>
  <c r="G73" i="2"/>
  <c r="G147" i="2"/>
  <c r="E84" i="7"/>
  <c r="G66" i="2"/>
  <c r="G93" i="3"/>
  <c r="G72" i="2"/>
  <c r="G71" i="2"/>
  <c r="G63" i="2"/>
  <c r="G174" i="3"/>
  <c r="G92" i="3"/>
  <c r="G65" i="2"/>
  <c r="G64" i="2"/>
  <c r="R92" i="3"/>
  <c r="R147" i="2"/>
  <c r="R174" i="3"/>
  <c r="R71" i="2"/>
  <c r="R66" i="2"/>
  <c r="R73" i="2"/>
  <c r="R63" i="2"/>
  <c r="R93" i="3"/>
  <c r="R64" i="2"/>
  <c r="R72" i="2"/>
  <c r="R65" i="2"/>
  <c r="J174" i="3"/>
  <c r="J66" i="2"/>
  <c r="J65" i="2"/>
  <c r="J71" i="2"/>
  <c r="J64" i="2"/>
  <c r="J93" i="3"/>
  <c r="J72" i="2"/>
  <c r="J73" i="2"/>
  <c r="J63" i="2"/>
  <c r="J92" i="3"/>
  <c r="J147" i="2"/>
  <c r="H64" i="2"/>
  <c r="H147" i="2"/>
  <c r="H66" i="2"/>
  <c r="H92" i="3"/>
  <c r="H63" i="2"/>
  <c r="H71" i="2"/>
  <c r="H174" i="3"/>
  <c r="H73" i="2"/>
  <c r="H65" i="2"/>
  <c r="H93" i="3"/>
  <c r="H72" i="2"/>
  <c r="O66" i="2"/>
  <c r="O65" i="2"/>
  <c r="O71" i="2"/>
  <c r="O147" i="2"/>
  <c r="O73" i="2"/>
  <c r="O63" i="2"/>
  <c r="O174" i="3"/>
  <c r="O93" i="3"/>
  <c r="O64" i="2"/>
  <c r="O72" i="2"/>
  <c r="O92" i="3"/>
  <c r="N93" i="3"/>
  <c r="N92" i="3"/>
  <c r="N64" i="2"/>
  <c r="N147" i="2"/>
  <c r="N72" i="2"/>
  <c r="N73" i="2"/>
  <c r="N71" i="2"/>
  <c r="N65" i="2"/>
  <c r="N66" i="2"/>
  <c r="N174" i="3"/>
  <c r="N63" i="2"/>
  <c r="Q66" i="2"/>
  <c r="Q63" i="2"/>
  <c r="Q93" i="3"/>
  <c r="Q64" i="2"/>
  <c r="Q174" i="3"/>
  <c r="Q71" i="2"/>
  <c r="Q92" i="3"/>
  <c r="Q65" i="2"/>
  <c r="Q147" i="2"/>
  <c r="Q73" i="2"/>
  <c r="Q72" i="2"/>
  <c r="T63" i="3"/>
  <c r="I89" i="6"/>
  <c r="G89" i="6"/>
  <c r="H89" i="6"/>
  <c r="Q89" i="6"/>
  <c r="N89" i="6"/>
  <c r="J89" i="6"/>
  <c r="P89" i="6" l="1"/>
  <c r="M74" i="2"/>
  <c r="L80" i="6" s="1"/>
  <c r="K74" i="2"/>
  <c r="L74" i="2"/>
  <c r="K80" i="6" s="1"/>
  <c r="H74" i="2"/>
  <c r="I74" i="2"/>
  <c r="H80" i="6" s="1"/>
  <c r="Q74" i="2"/>
  <c r="P80" i="6" s="1"/>
  <c r="N74" i="2"/>
  <c r="O74" i="2"/>
  <c r="N76" i="6" s="1"/>
  <c r="R74" i="2"/>
  <c r="J74" i="2"/>
  <c r="G74" i="2"/>
  <c r="P74" i="2"/>
  <c r="T65" i="3"/>
  <c r="K76" i="6"/>
  <c r="L76" i="6"/>
  <c r="F89" i="6"/>
  <c r="E89" i="6" s="1"/>
  <c r="T64" i="2"/>
  <c r="T66" i="2"/>
  <c r="T65" i="2"/>
  <c r="T92" i="3"/>
  <c r="T147" i="2"/>
  <c r="T174" i="3"/>
  <c r="T73" i="2"/>
  <c r="T93" i="3"/>
  <c r="T63" i="2"/>
  <c r="T71" i="2"/>
  <c r="T72" i="2"/>
  <c r="K89" i="7" l="1"/>
  <c r="L47" i="1" s="1"/>
  <c r="L89" i="7"/>
  <c r="M47" i="1" s="1"/>
  <c r="H76" i="6"/>
  <c r="P76" i="6"/>
  <c r="P89" i="7"/>
  <c r="H89" i="7"/>
  <c r="M89" i="7"/>
  <c r="N89" i="7"/>
  <c r="N80" i="6"/>
  <c r="O89" i="7"/>
  <c r="I89" i="7"/>
  <c r="Y89" i="6"/>
  <c r="I76" i="6"/>
  <c r="I80" i="6"/>
  <c r="Q80" i="6"/>
  <c r="Q76" i="6"/>
  <c r="J80" i="6"/>
  <c r="J76" i="6"/>
  <c r="M76" i="6"/>
  <c r="M80" i="6"/>
  <c r="G76" i="6"/>
  <c r="G80" i="6"/>
  <c r="O76" i="6"/>
  <c r="O80" i="6"/>
  <c r="T74" i="2"/>
  <c r="F80" i="6"/>
  <c r="F76" i="6"/>
  <c r="G89" i="7"/>
  <c r="Q89" i="7"/>
  <c r="F89" i="7"/>
  <c r="J89" i="7"/>
  <c r="E76" i="6" l="1"/>
  <c r="E80" i="6"/>
  <c r="E89" i="7"/>
  <c r="G80" i="7" l="1"/>
  <c r="H91" i="3" s="1"/>
  <c r="L80" i="7"/>
  <c r="M126" i="2" s="1"/>
  <c r="K80" i="7"/>
  <c r="L126" i="2" s="1"/>
  <c r="G76" i="7"/>
  <c r="H150" i="3" s="1"/>
  <c r="L76" i="7"/>
  <c r="K76" i="7"/>
  <c r="F76" i="7"/>
  <c r="G15" i="2" s="1"/>
  <c r="G16" i="2" s="1"/>
  <c r="G76" i="2" s="1"/>
  <c r="F80" i="7"/>
  <c r="G126" i="2" s="1"/>
  <c r="Q80" i="7"/>
  <c r="J76" i="7"/>
  <c r="K125" i="2" s="1"/>
  <c r="I76" i="7"/>
  <c r="J113" i="3" s="1"/>
  <c r="Q76" i="7"/>
  <c r="M76" i="7"/>
  <c r="O76" i="7"/>
  <c r="I80" i="7"/>
  <c r="J126" i="2" s="1"/>
  <c r="O80" i="7"/>
  <c r="Y80" i="6"/>
  <c r="P80" i="7"/>
  <c r="H80" i="7"/>
  <c r="N80" i="7"/>
  <c r="M80" i="7"/>
  <c r="Y76" i="6"/>
  <c r="P76" i="7"/>
  <c r="H76" i="7"/>
  <c r="N76" i="7"/>
  <c r="J80" i="7"/>
  <c r="J114" i="3" l="1"/>
  <c r="J116" i="3" s="1"/>
  <c r="L125" i="2"/>
  <c r="L127" i="2" s="1"/>
  <c r="L157" i="2"/>
  <c r="L140" i="2"/>
  <c r="M125" i="2"/>
  <c r="M127" i="2" s="1"/>
  <c r="M157" i="2"/>
  <c r="M140" i="2"/>
  <c r="M40" i="5"/>
  <c r="M82" i="2"/>
  <c r="L40" i="5"/>
  <c r="L82" i="2"/>
  <c r="H15" i="2"/>
  <c r="H113" i="3"/>
  <c r="L15" i="2"/>
  <c r="L150" i="3"/>
  <c r="L146" i="3"/>
  <c r="L113" i="3"/>
  <c r="L154" i="3"/>
  <c r="H146" i="3"/>
  <c r="M15" i="2"/>
  <c r="M150" i="3"/>
  <c r="M146" i="3"/>
  <c r="M154" i="3"/>
  <c r="M113" i="3"/>
  <c r="L91" i="3"/>
  <c r="L173" i="3"/>
  <c r="M91" i="3"/>
  <c r="M173" i="3"/>
  <c r="H173" i="3"/>
  <c r="H154" i="3"/>
  <c r="H82" i="2"/>
  <c r="H83" i="2" s="1"/>
  <c r="H140" i="2"/>
  <c r="H40" i="5"/>
  <c r="H125" i="2"/>
  <c r="N146" i="3"/>
  <c r="H126" i="2"/>
  <c r="H157" i="2"/>
  <c r="P40" i="5"/>
  <c r="R40" i="5"/>
  <c r="R173" i="3"/>
  <c r="P173" i="3"/>
  <c r="G125" i="2"/>
  <c r="G127" i="2" s="1"/>
  <c r="J154" i="3"/>
  <c r="J82" i="2"/>
  <c r="J83" i="2" s="1"/>
  <c r="G146" i="3"/>
  <c r="J140" i="2"/>
  <c r="J40" i="5"/>
  <c r="G154" i="3"/>
  <c r="J150" i="3"/>
  <c r="J146" i="3"/>
  <c r="J91" i="3"/>
  <c r="J157" i="2"/>
  <c r="J125" i="2"/>
  <c r="J127" i="2" s="1"/>
  <c r="N40" i="5"/>
  <c r="N154" i="3"/>
  <c r="G91" i="3"/>
  <c r="G173" i="3"/>
  <c r="K157" i="2"/>
  <c r="K146" i="3"/>
  <c r="K154" i="3"/>
  <c r="N140" i="2"/>
  <c r="N15" i="2"/>
  <c r="K140" i="2"/>
  <c r="K158" i="2" s="1"/>
  <c r="N113" i="3"/>
  <c r="N157" i="2"/>
  <c r="K150" i="3"/>
  <c r="N125" i="2"/>
  <c r="P157" i="2"/>
  <c r="N82" i="2"/>
  <c r="N83" i="2" s="1"/>
  <c r="K82" i="2"/>
  <c r="K83" i="2" s="1"/>
  <c r="N150" i="3"/>
  <c r="K40" i="5"/>
  <c r="K15" i="2"/>
  <c r="J15" i="2"/>
  <c r="K113" i="3"/>
  <c r="R113" i="3"/>
  <c r="R154" i="3"/>
  <c r="P82" i="2"/>
  <c r="P83" i="2" s="1"/>
  <c r="P154" i="3"/>
  <c r="P140" i="2"/>
  <c r="P158" i="2" s="1"/>
  <c r="R146" i="3"/>
  <c r="G82" i="2"/>
  <c r="G83" i="2" s="1"/>
  <c r="G129" i="2" s="1"/>
  <c r="P113" i="3"/>
  <c r="G150" i="3"/>
  <c r="P146" i="3"/>
  <c r="G40" i="5"/>
  <c r="G54" i="5" s="1"/>
  <c r="G157" i="2"/>
  <c r="P125" i="2"/>
  <c r="G113" i="3"/>
  <c r="G114" i="3" s="1"/>
  <c r="G116" i="3" s="1"/>
  <c r="G140" i="2"/>
  <c r="P15" i="2"/>
  <c r="R91" i="3"/>
  <c r="P150" i="3"/>
  <c r="R82" i="2"/>
  <c r="R83" i="2" s="1"/>
  <c r="R157" i="2"/>
  <c r="R150" i="3"/>
  <c r="R15" i="2"/>
  <c r="J173" i="3"/>
  <c r="R126" i="2"/>
  <c r="R125" i="2"/>
  <c r="R140" i="2"/>
  <c r="E76" i="7"/>
  <c r="E80" i="7"/>
  <c r="P126" i="2"/>
  <c r="P91" i="3"/>
  <c r="N126" i="2"/>
  <c r="N91" i="3"/>
  <c r="N173" i="3"/>
  <c r="Q173" i="3"/>
  <c r="Q126" i="2"/>
  <c r="Q91" i="3"/>
  <c r="K173" i="3"/>
  <c r="K91" i="3"/>
  <c r="K126" i="2"/>
  <c r="K127" i="2" s="1"/>
  <c r="O125" i="2"/>
  <c r="O157" i="2"/>
  <c r="O15" i="2"/>
  <c r="O40" i="5"/>
  <c r="O54" i="5" s="1"/>
  <c r="O146" i="3"/>
  <c r="O113" i="3"/>
  <c r="O82" i="2"/>
  <c r="O83" i="2" s="1"/>
  <c r="O154" i="3"/>
  <c r="O150" i="3"/>
  <c r="O140" i="2"/>
  <c r="O158" i="2" s="1"/>
  <c r="I40" i="5"/>
  <c r="I54" i="5" s="1"/>
  <c r="I154" i="3"/>
  <c r="I157" i="2"/>
  <c r="I150" i="3"/>
  <c r="I15" i="2"/>
  <c r="I140" i="2"/>
  <c r="I125" i="2"/>
  <c r="I146" i="3"/>
  <c r="I113" i="3"/>
  <c r="I82" i="2"/>
  <c r="I83" i="2" s="1"/>
  <c r="O91" i="3"/>
  <c r="O126" i="2"/>
  <c r="O173" i="3"/>
  <c r="Q140" i="2"/>
  <c r="Q15" i="2"/>
  <c r="Q82" i="2"/>
  <c r="Q83" i="2" s="1"/>
  <c r="Q113" i="3"/>
  <c r="Q125" i="2"/>
  <c r="Q127" i="2" s="1"/>
  <c r="Q150" i="3"/>
  <c r="Q146" i="3"/>
  <c r="Q170" i="3" s="1"/>
  <c r="Q157" i="2"/>
  <c r="Q40" i="5"/>
  <c r="Q54" i="5" s="1"/>
  <c r="Q154" i="3"/>
  <c r="I173" i="3"/>
  <c r="I91" i="3"/>
  <c r="I126" i="2"/>
  <c r="K54" i="5" l="1"/>
  <c r="K10" i="1" s="1"/>
  <c r="K54" i="1" s="1"/>
  <c r="L170" i="3"/>
  <c r="M54" i="5"/>
  <c r="M10" i="1" s="1"/>
  <c r="J54" i="5"/>
  <c r="J10" i="1" s="1"/>
  <c r="J54" i="1" s="1"/>
  <c r="R54" i="5"/>
  <c r="R10" i="1" s="1"/>
  <c r="R54" i="1" s="1"/>
  <c r="N54" i="5"/>
  <c r="N10" i="1" s="1"/>
  <c r="N54" i="1" s="1"/>
  <c r="P54" i="5"/>
  <c r="P10" i="1" s="1"/>
  <c r="P54" i="1" s="1"/>
  <c r="L54" i="5"/>
  <c r="L10" i="1" s="1"/>
  <c r="H54" i="5"/>
  <c r="H10" i="1" s="1"/>
  <c r="H54" i="1" s="1"/>
  <c r="J158" i="2"/>
  <c r="J170" i="3"/>
  <c r="M170" i="3"/>
  <c r="O170" i="3"/>
  <c r="P170" i="3"/>
  <c r="P14" i="1" s="1"/>
  <c r="G170" i="3"/>
  <c r="I170" i="3"/>
  <c r="I14" i="1" s="1"/>
  <c r="K170" i="3"/>
  <c r="K14" i="1" s="1"/>
  <c r="N170" i="3"/>
  <c r="N14" i="1" s="1"/>
  <c r="H170" i="3"/>
  <c r="R170" i="3"/>
  <c r="R14" i="1" s="1"/>
  <c r="M158" i="2"/>
  <c r="Q114" i="3"/>
  <c r="Q116" i="3" s="1"/>
  <c r="I114" i="3"/>
  <c r="I116" i="3" s="1"/>
  <c r="H114" i="3"/>
  <c r="H116" i="3" s="1"/>
  <c r="R114" i="3"/>
  <c r="R116" i="3" s="1"/>
  <c r="P114" i="3"/>
  <c r="P116" i="3" s="1"/>
  <c r="K114" i="3"/>
  <c r="K116" i="3" s="1"/>
  <c r="L114" i="3"/>
  <c r="L116" i="3" s="1"/>
  <c r="O114" i="3"/>
  <c r="O116" i="3" s="1"/>
  <c r="N114" i="3"/>
  <c r="N116" i="3" s="1"/>
  <c r="M114" i="3"/>
  <c r="M116" i="3" s="1"/>
  <c r="H158" i="2"/>
  <c r="H32" i="1" s="1"/>
  <c r="R127" i="2"/>
  <c r="R129" i="2" s="1"/>
  <c r="R28" i="1" s="1"/>
  <c r="R158" i="2"/>
  <c r="R32" i="1" s="1"/>
  <c r="N158" i="2"/>
  <c r="N32" i="1" s="1"/>
  <c r="J129" i="2"/>
  <c r="J28" i="1" s="1"/>
  <c r="L158" i="2"/>
  <c r="L32" i="1" s="1"/>
  <c r="Q158" i="2"/>
  <c r="Q32" i="1" s="1"/>
  <c r="I158" i="2"/>
  <c r="I32" i="1" s="1"/>
  <c r="G158" i="2"/>
  <c r="G32" i="1" s="1"/>
  <c r="K129" i="2"/>
  <c r="K28" i="1" s="1"/>
  <c r="Q129" i="2"/>
  <c r="Q28" i="1" s="1"/>
  <c r="I127" i="2"/>
  <c r="I129" i="2" s="1"/>
  <c r="I28" i="1" s="1"/>
  <c r="O127" i="2"/>
  <c r="O129" i="2" s="1"/>
  <c r="O28" i="1" s="1"/>
  <c r="N127" i="2"/>
  <c r="N129" i="2" s="1"/>
  <c r="N28" i="1" s="1"/>
  <c r="P127" i="2"/>
  <c r="P129" i="2" s="1"/>
  <c r="P28" i="1" s="1"/>
  <c r="H127" i="2"/>
  <c r="H129" i="2" s="1"/>
  <c r="H28" i="1" s="1"/>
  <c r="M83" i="2"/>
  <c r="L83" i="2"/>
  <c r="K16" i="2"/>
  <c r="K76" i="2" s="1"/>
  <c r="O16" i="2"/>
  <c r="O76" i="2" s="1"/>
  <c r="R16" i="2"/>
  <c r="R76" i="2" s="1"/>
  <c r="N16" i="2"/>
  <c r="N76" i="2" s="1"/>
  <c r="L16" i="2"/>
  <c r="L76" i="2" s="1"/>
  <c r="Q16" i="2"/>
  <c r="Q76" i="2" s="1"/>
  <c r="M16" i="2"/>
  <c r="M76" i="2" s="1"/>
  <c r="H16" i="2"/>
  <c r="P16" i="2"/>
  <c r="P76" i="2" s="1"/>
  <c r="I16" i="2"/>
  <c r="I76" i="2" s="1"/>
  <c r="J16" i="2"/>
  <c r="J76" i="2" s="1"/>
  <c r="M32" i="1"/>
  <c r="O32" i="1"/>
  <c r="H14" i="1"/>
  <c r="L14" i="1"/>
  <c r="M14" i="1"/>
  <c r="P32" i="1"/>
  <c r="J14" i="1"/>
  <c r="G14" i="1"/>
  <c r="J32" i="1"/>
  <c r="K32" i="1"/>
  <c r="T154" i="3"/>
  <c r="T173" i="3"/>
  <c r="T125" i="2"/>
  <c r="Q14" i="1"/>
  <c r="O14" i="1"/>
  <c r="T126" i="2"/>
  <c r="T15" i="2"/>
  <c r="T150" i="3"/>
  <c r="T157" i="2"/>
  <c r="O10" i="1"/>
  <c r="G10" i="1"/>
  <c r="T82" i="2"/>
  <c r="T40" i="5"/>
  <c r="T146" i="3"/>
  <c r="I10" i="1"/>
  <c r="T140" i="2"/>
  <c r="Q10" i="1"/>
  <c r="T113" i="3"/>
  <c r="T91" i="3"/>
  <c r="T54" i="5" l="1"/>
  <c r="T114" i="3"/>
  <c r="T116" i="3"/>
  <c r="T83" i="2"/>
  <c r="L129" i="2"/>
  <c r="L28" i="1" s="1"/>
  <c r="M129" i="2"/>
  <c r="M28" i="1" s="1"/>
  <c r="T16" i="2"/>
  <c r="H76" i="2"/>
  <c r="T76" i="2" s="1"/>
  <c r="L27" i="1"/>
  <c r="K75" i="6"/>
  <c r="L75" i="6"/>
  <c r="M27" i="1"/>
  <c r="N27" i="1"/>
  <c r="N29" i="1" s="1"/>
  <c r="M75" i="6"/>
  <c r="R27" i="1"/>
  <c r="R29" i="1" s="1"/>
  <c r="Q75" i="6"/>
  <c r="H75" i="6"/>
  <c r="I27" i="1"/>
  <c r="I29" i="1" s="1"/>
  <c r="N75" i="6"/>
  <c r="O27" i="1"/>
  <c r="O29" i="1" s="1"/>
  <c r="P75" i="6"/>
  <c r="Q27" i="1"/>
  <c r="Q29" i="1" s="1"/>
  <c r="I75" i="6"/>
  <c r="J27" i="1"/>
  <c r="J29" i="1" s="1"/>
  <c r="P27" i="1"/>
  <c r="P29" i="1" s="1"/>
  <c r="O75" i="6"/>
  <c r="K27" i="1"/>
  <c r="K29" i="1" s="1"/>
  <c r="J75" i="6"/>
  <c r="F32" i="1"/>
  <c r="T32" i="1" s="1"/>
  <c r="T158" i="2"/>
  <c r="F10" i="1"/>
  <c r="G54" i="1"/>
  <c r="Q54" i="1"/>
  <c r="F14" i="1"/>
  <c r="T14" i="1" s="1"/>
  <c r="I54" i="1"/>
  <c r="O54" i="1"/>
  <c r="T170" i="3"/>
  <c r="T127" i="2"/>
  <c r="G28" i="1"/>
  <c r="T129" i="2"/>
  <c r="F75" i="6"/>
  <c r="G27" i="1"/>
  <c r="L29" i="1" l="1"/>
  <c r="F28" i="1"/>
  <c r="T28" i="1" s="1"/>
  <c r="M29" i="1"/>
  <c r="G75" i="6"/>
  <c r="H27" i="1"/>
  <c r="H29" i="1" s="1"/>
  <c r="T10" i="1"/>
  <c r="G29" i="1"/>
  <c r="E75" i="6"/>
  <c r="F27" i="1" l="1"/>
  <c r="F75" i="7"/>
  <c r="G133" i="2" s="1"/>
  <c r="G134" i="2" s="1"/>
  <c r="G160" i="2" s="1"/>
  <c r="G162" i="2" s="1"/>
  <c r="K75" i="7"/>
  <c r="L133" i="2" s="1"/>
  <c r="L134" i="2" s="1"/>
  <c r="L160" i="2" s="1"/>
  <c r="L162" i="2" s="1"/>
  <c r="L75" i="7"/>
  <c r="M133" i="2" s="1"/>
  <c r="M134" i="2" s="1"/>
  <c r="M160" i="2" s="1"/>
  <c r="M162" i="2" s="1"/>
  <c r="Y75" i="6"/>
  <c r="I75" i="7"/>
  <c r="J133" i="2" s="1"/>
  <c r="J134" i="2" s="1"/>
  <c r="J160" i="2" s="1"/>
  <c r="J162" i="2" s="1"/>
  <c r="M75" i="7"/>
  <c r="N133" i="2" s="1"/>
  <c r="N134" i="2" s="1"/>
  <c r="N160" i="2" s="1"/>
  <c r="N162" i="2" s="1"/>
  <c r="Q75" i="7"/>
  <c r="J75" i="7"/>
  <c r="K133" i="2" s="1"/>
  <c r="K134" i="2" s="1"/>
  <c r="K160" i="2" s="1"/>
  <c r="K162" i="2" s="1"/>
  <c r="G75" i="7"/>
  <c r="H133" i="2" s="1"/>
  <c r="H134" i="2" s="1"/>
  <c r="H160" i="2" s="1"/>
  <c r="H162" i="2" s="1"/>
  <c r="O75" i="7"/>
  <c r="H75" i="7"/>
  <c r="I133" i="2" s="1"/>
  <c r="I134" i="2" s="1"/>
  <c r="I160" i="2" s="1"/>
  <c r="I162" i="2" s="1"/>
  <c r="P75" i="7"/>
  <c r="N75" i="7"/>
  <c r="O133" i="2" s="1"/>
  <c r="O134" i="2" s="1"/>
  <c r="O160" i="2" s="1"/>
  <c r="O162" i="2" s="1"/>
  <c r="T27" i="1" l="1"/>
  <c r="F29" i="1"/>
  <c r="T29" i="1" s="1"/>
  <c r="M20" i="1"/>
  <c r="M31" i="1"/>
  <c r="M34" i="1" s="1"/>
  <c r="M42" i="1" s="1"/>
  <c r="L20" i="1"/>
  <c r="L31" i="1"/>
  <c r="L34" i="1" s="1"/>
  <c r="L42" i="1" s="1"/>
  <c r="L82" i="6"/>
  <c r="R133" i="2"/>
  <c r="Q133" i="2"/>
  <c r="P133" i="2"/>
  <c r="K31" i="1"/>
  <c r="K34" i="1" s="1"/>
  <c r="K42" i="1" s="1"/>
  <c r="K20" i="1"/>
  <c r="H31" i="1"/>
  <c r="H34" i="1" s="1"/>
  <c r="H42" i="1" s="1"/>
  <c r="H20" i="1"/>
  <c r="N20" i="1"/>
  <c r="N31" i="1"/>
  <c r="N34" i="1" s="1"/>
  <c r="N42" i="1" s="1"/>
  <c r="J31" i="1"/>
  <c r="J34" i="1" s="1"/>
  <c r="J42" i="1" s="1"/>
  <c r="J20" i="1"/>
  <c r="O20" i="1"/>
  <c r="O31" i="1"/>
  <c r="O34" i="1" s="1"/>
  <c r="O42" i="1" s="1"/>
  <c r="I31" i="1"/>
  <c r="I34" i="1" s="1"/>
  <c r="I42" i="1" s="1"/>
  <c r="I20" i="1"/>
  <c r="E75" i="7"/>
  <c r="R134" i="2" l="1"/>
  <c r="P134" i="2"/>
  <c r="P160" i="2" s="1"/>
  <c r="P162" i="2" s="1"/>
  <c r="Q134" i="2"/>
  <c r="K82" i="6"/>
  <c r="T133" i="2"/>
  <c r="M82" i="6"/>
  <c r="G82" i="6"/>
  <c r="H165" i="2"/>
  <c r="H82" i="6"/>
  <c r="I165" i="2"/>
  <c r="G31" i="1"/>
  <c r="N82" i="6"/>
  <c r="I82" i="6"/>
  <c r="J82" i="6"/>
  <c r="Q31" i="1" l="1"/>
  <c r="Q34" i="1" s="1"/>
  <c r="Q42" i="1" s="1"/>
  <c r="Q160" i="2"/>
  <c r="Q162" i="2" s="1"/>
  <c r="R31" i="1"/>
  <c r="R34" i="1" s="1"/>
  <c r="R42" i="1" s="1"/>
  <c r="R160" i="2"/>
  <c r="T134" i="2"/>
  <c r="P31" i="1"/>
  <c r="P34" i="1" s="1"/>
  <c r="P42" i="1" s="1"/>
  <c r="G34" i="1"/>
  <c r="G42" i="1" s="1"/>
  <c r="G20" i="1"/>
  <c r="T165" i="2"/>
  <c r="R162" i="2" l="1"/>
  <c r="R20" i="1" s="1"/>
  <c r="F31" i="1"/>
  <c r="T31" i="1" s="1"/>
  <c r="T160" i="2"/>
  <c r="P20" i="1"/>
  <c r="O82" i="6"/>
  <c r="Q20" i="1"/>
  <c r="P82" i="6"/>
  <c r="F82" i="6"/>
  <c r="T162" i="2" l="1"/>
  <c r="Q82" i="6"/>
  <c r="F34" i="1"/>
  <c r="F42" i="1" s="1"/>
  <c r="T42" i="1" s="1"/>
  <c r="T20" i="1"/>
  <c r="E82" i="6"/>
  <c r="P82" i="7" s="1"/>
  <c r="T34" i="1" l="1"/>
  <c r="M82" i="7"/>
  <c r="G82" i="7"/>
  <c r="K82" i="7"/>
  <c r="I82" i="7"/>
  <c r="N82" i="7"/>
  <c r="Q82" i="7"/>
  <c r="F82" i="7"/>
  <c r="L82" i="7"/>
  <c r="O82" i="7"/>
  <c r="Y82" i="6"/>
  <c r="J82" i="7"/>
  <c r="H82" i="7"/>
  <c r="L82" i="3"/>
  <c r="L19" i="5"/>
  <c r="L20" i="5" s="1"/>
  <c r="L56" i="5" s="1"/>
  <c r="M82" i="3"/>
  <c r="M19" i="5"/>
  <c r="M20" i="5" s="1"/>
  <c r="M56" i="5" s="1"/>
  <c r="M84" i="3" l="1"/>
  <c r="L84" i="3"/>
  <c r="E82" i="7"/>
  <c r="M9" i="1"/>
  <c r="M11" i="1" s="1"/>
  <c r="T19" i="5"/>
  <c r="L9" i="1"/>
  <c r="T181" i="3"/>
  <c r="T182" i="3"/>
  <c r="K68" i="6" l="1"/>
  <c r="L68" i="6"/>
  <c r="L11" i="1"/>
  <c r="F9" i="1"/>
  <c r="T20" i="5"/>
  <c r="T183" i="3"/>
  <c r="T9" i="1" l="1"/>
  <c r="F54" i="1"/>
  <c r="T54" i="1" s="1"/>
  <c r="T185" i="3"/>
  <c r="H11" i="5" l="1"/>
  <c r="N11" i="5"/>
  <c r="O11" i="5"/>
  <c r="O15" i="5" s="1"/>
  <c r="O56" i="5" s="1"/>
  <c r="N15" i="5" l="1"/>
  <c r="N56" i="5" s="1"/>
  <c r="H15" i="5"/>
  <c r="H56" i="5" s="1"/>
  <c r="O8" i="1"/>
  <c r="N90" i="6"/>
  <c r="N8" i="1"/>
  <c r="G11" i="5"/>
  <c r="G15" i="5" s="1"/>
  <c r="G56" i="5" s="1"/>
  <c r="K11" i="5"/>
  <c r="K15" i="5" s="1"/>
  <c r="K56" i="5" s="1"/>
  <c r="Q11" i="5"/>
  <c r="Q15" i="5" s="1"/>
  <c r="Q56" i="5" s="1"/>
  <c r="I11" i="5"/>
  <c r="I15" i="5" s="1"/>
  <c r="I56" i="5" s="1"/>
  <c r="P11" i="5"/>
  <c r="P15" i="5" s="1"/>
  <c r="P56" i="5" s="1"/>
  <c r="J11" i="5"/>
  <c r="J15" i="5" s="1"/>
  <c r="J56" i="5" s="1"/>
  <c r="R11" i="5"/>
  <c r="R15" i="5" s="1"/>
  <c r="R56" i="5" s="1"/>
  <c r="H8" i="1" l="1"/>
  <c r="G90" i="6"/>
  <c r="M90" i="6"/>
  <c r="P90" i="6"/>
  <c r="Q8" i="1"/>
  <c r="I90" i="6"/>
  <c r="J8" i="1"/>
  <c r="O90" i="6"/>
  <c r="P8" i="1"/>
  <c r="I8" i="1"/>
  <c r="H90" i="6"/>
  <c r="H11" i="1"/>
  <c r="N11" i="1"/>
  <c r="Q90" i="6"/>
  <c r="R8" i="1"/>
  <c r="J90" i="6"/>
  <c r="K8" i="1"/>
  <c r="O11" i="1"/>
  <c r="T11" i="5"/>
  <c r="F90" i="6" l="1"/>
  <c r="G8" i="1"/>
  <c r="T15" i="5"/>
  <c r="T56" i="5"/>
  <c r="P11" i="1"/>
  <c r="K11" i="1"/>
  <c r="R11" i="1"/>
  <c r="I11" i="1"/>
  <c r="Q11" i="1"/>
  <c r="J11" i="1"/>
  <c r="G11" i="1" l="1"/>
  <c r="F8" i="1"/>
  <c r="E90" i="6"/>
  <c r="Y90" i="6" s="1"/>
  <c r="L90" i="7" l="1"/>
  <c r="K90" i="7"/>
  <c r="G90" i="7"/>
  <c r="M90" i="7"/>
  <c r="N90" i="7"/>
  <c r="J90" i="7"/>
  <c r="Q90" i="7"/>
  <c r="H90" i="7"/>
  <c r="O90" i="7"/>
  <c r="P90" i="7"/>
  <c r="I90" i="7"/>
  <c r="T8" i="1"/>
  <c r="F11" i="1"/>
  <c r="F90" i="7"/>
  <c r="M94" i="3" l="1"/>
  <c r="M175" i="3"/>
  <c r="L94" i="3"/>
  <c r="L175" i="3"/>
  <c r="G94" i="3"/>
  <c r="G175" i="3"/>
  <c r="G178" i="3" s="1"/>
  <c r="E90" i="7"/>
  <c r="T11" i="1"/>
  <c r="P175" i="3"/>
  <c r="P94" i="3"/>
  <c r="O94" i="3"/>
  <c r="O175" i="3"/>
  <c r="I94" i="3"/>
  <c r="I175" i="3"/>
  <c r="N94" i="3"/>
  <c r="N175" i="3"/>
  <c r="J175" i="3"/>
  <c r="J94" i="3"/>
  <c r="R94" i="3"/>
  <c r="R175" i="3"/>
  <c r="H94" i="3"/>
  <c r="H175" i="3"/>
  <c r="Q94" i="3"/>
  <c r="Q175" i="3"/>
  <c r="K175" i="3"/>
  <c r="K94" i="3"/>
  <c r="I178" i="3" l="1"/>
  <c r="I15" i="1" s="1"/>
  <c r="O178" i="3"/>
  <c r="O15" i="1" s="1"/>
  <c r="L178" i="3"/>
  <c r="L15" i="1" s="1"/>
  <c r="N178" i="3"/>
  <c r="N15" i="1" s="1"/>
  <c r="H178" i="3"/>
  <c r="H15" i="1" s="1"/>
  <c r="R178" i="3"/>
  <c r="R15" i="1" s="1"/>
  <c r="M178" i="3"/>
  <c r="M15" i="1" s="1"/>
  <c r="Q178" i="3"/>
  <c r="Q15" i="1" s="1"/>
  <c r="K178" i="3"/>
  <c r="K15" i="1" s="1"/>
  <c r="J178" i="3"/>
  <c r="J15" i="1" s="1"/>
  <c r="P178" i="3"/>
  <c r="P15" i="1" s="1"/>
  <c r="T94" i="3"/>
  <c r="T175" i="3"/>
  <c r="T178" i="3" l="1"/>
  <c r="G15" i="1"/>
  <c r="F15" i="1" s="1"/>
  <c r="T15" i="1" s="1"/>
  <c r="G82" i="3" l="1"/>
  <c r="G84" i="3" s="1"/>
  <c r="H82" i="3"/>
  <c r="H84" i="3" s="1"/>
  <c r="I82" i="3"/>
  <c r="I84" i="3" s="1"/>
  <c r="J82" i="3"/>
  <c r="J84" i="3" s="1"/>
  <c r="K82" i="3"/>
  <c r="K84" i="3" s="1"/>
  <c r="N82" i="3"/>
  <c r="N84" i="3" s="1"/>
  <c r="O82" i="3"/>
  <c r="O84" i="3" s="1"/>
  <c r="P82" i="3"/>
  <c r="P84" i="3" s="1"/>
  <c r="Q82" i="3"/>
  <c r="Q84" i="3" s="1"/>
  <c r="R82" i="3"/>
  <c r="R84" i="3" s="1"/>
  <c r="T82" i="3" l="1"/>
  <c r="T83" i="3" l="1"/>
  <c r="F68" i="6"/>
  <c r="G68" i="6"/>
  <c r="H68" i="6"/>
  <c r="I68" i="6"/>
  <c r="J68" i="6"/>
  <c r="M68" i="6"/>
  <c r="N68" i="6"/>
  <c r="O68" i="6"/>
  <c r="P68" i="6"/>
  <c r="Q68" i="6"/>
  <c r="E68" i="6" l="1"/>
  <c r="N68" i="7" s="1"/>
  <c r="O68" i="7" l="1"/>
  <c r="P90" i="3" s="1"/>
  <c r="M68" i="7"/>
  <c r="N87" i="3" s="1"/>
  <c r="I68" i="7"/>
  <c r="J96" i="3" s="1"/>
  <c r="J68" i="7"/>
  <c r="K90" i="3" s="1"/>
  <c r="K95" i="3"/>
  <c r="K89" i="3"/>
  <c r="K96" i="3"/>
  <c r="K87" i="3"/>
  <c r="O88" i="3"/>
  <c r="O95" i="3"/>
  <c r="O89" i="3"/>
  <c r="O96" i="3"/>
  <c r="O87" i="3"/>
  <c r="O90" i="3"/>
  <c r="Y68" i="6"/>
  <c r="K68" i="7"/>
  <c r="L68" i="7"/>
  <c r="Q68" i="7"/>
  <c r="F68" i="7"/>
  <c r="G68" i="7"/>
  <c r="H68" i="7"/>
  <c r="P68" i="7"/>
  <c r="K88" i="3" l="1"/>
  <c r="K97" i="3" s="1"/>
  <c r="K99" i="3" s="1"/>
  <c r="O97" i="3"/>
  <c r="O99" i="3" s="1"/>
  <c r="O118" i="3" s="1"/>
  <c r="N90" i="3"/>
  <c r="N89" i="3"/>
  <c r="J89" i="3"/>
  <c r="N95" i="3"/>
  <c r="N96" i="3"/>
  <c r="N88" i="3"/>
  <c r="J88" i="3"/>
  <c r="J90" i="3"/>
  <c r="J87" i="3"/>
  <c r="J95" i="3"/>
  <c r="P87" i="3"/>
  <c r="P89" i="3"/>
  <c r="P96" i="3"/>
  <c r="P95" i="3"/>
  <c r="P88" i="3"/>
  <c r="M96" i="3"/>
  <c r="M88" i="3"/>
  <c r="M95" i="3"/>
  <c r="M87" i="3"/>
  <c r="M90" i="3"/>
  <c r="M89" i="3"/>
  <c r="L96" i="3"/>
  <c r="L88" i="3"/>
  <c r="L95" i="3"/>
  <c r="L87" i="3"/>
  <c r="L90" i="3"/>
  <c r="L89" i="3"/>
  <c r="I89" i="3"/>
  <c r="I96" i="3"/>
  <c r="I87" i="3"/>
  <c r="I90" i="3"/>
  <c r="I88" i="3"/>
  <c r="I95" i="3"/>
  <c r="H96" i="3"/>
  <c r="H87" i="3"/>
  <c r="H90" i="3"/>
  <c r="H88" i="3"/>
  <c r="H95" i="3"/>
  <c r="H89" i="3"/>
  <c r="R96" i="3"/>
  <c r="R87" i="3"/>
  <c r="R90" i="3"/>
  <c r="R88" i="3"/>
  <c r="R95" i="3"/>
  <c r="R89" i="3"/>
  <c r="Q87" i="3"/>
  <c r="Q90" i="3"/>
  <c r="Q88" i="3"/>
  <c r="Q95" i="3"/>
  <c r="Q89" i="3"/>
  <c r="Q96" i="3"/>
  <c r="E68" i="7"/>
  <c r="G87" i="3"/>
  <c r="G90" i="3"/>
  <c r="G88" i="3"/>
  <c r="G95" i="3"/>
  <c r="G89" i="3"/>
  <c r="G96" i="3"/>
  <c r="K118" i="3" l="1"/>
  <c r="K13" i="1" s="1"/>
  <c r="K16" i="1" s="1"/>
  <c r="K18" i="1" s="1"/>
  <c r="K21" i="1" s="1"/>
  <c r="Q97" i="3"/>
  <c r="Q99" i="3" s="1"/>
  <c r="Q118" i="3" s="1"/>
  <c r="P87" i="6" s="1"/>
  <c r="P87" i="7" s="1"/>
  <c r="N97" i="3"/>
  <c r="N99" i="3" s="1"/>
  <c r="N118" i="3" s="1"/>
  <c r="N13" i="1" s="1"/>
  <c r="N16" i="1" s="1"/>
  <c r="N18" i="1" s="1"/>
  <c r="G97" i="3"/>
  <c r="G99" i="3" s="1"/>
  <c r="G118" i="3" s="1"/>
  <c r="M97" i="3"/>
  <c r="M99" i="3" s="1"/>
  <c r="R97" i="3"/>
  <c r="R99" i="3" s="1"/>
  <c r="R118" i="3" s="1"/>
  <c r="Q83" i="6" s="1"/>
  <c r="P97" i="3"/>
  <c r="P99" i="3" s="1"/>
  <c r="H97" i="3"/>
  <c r="H99" i="3" s="1"/>
  <c r="H118" i="3" s="1"/>
  <c r="L97" i="3"/>
  <c r="L99" i="3" s="1"/>
  <c r="J97" i="3"/>
  <c r="J99" i="3" s="1"/>
  <c r="I97" i="3"/>
  <c r="T88" i="3"/>
  <c r="T95" i="3"/>
  <c r="T90" i="3"/>
  <c r="T96" i="3"/>
  <c r="T89" i="3"/>
  <c r="T87" i="3"/>
  <c r="N83" i="6"/>
  <c r="O13" i="1"/>
  <c r="O16" i="1" s="1"/>
  <c r="O18" i="1" s="1"/>
  <c r="N87" i="6"/>
  <c r="N87" i="7" s="1"/>
  <c r="J87" i="6" l="1"/>
  <c r="J87" i="7" s="1"/>
  <c r="J83" i="6"/>
  <c r="J118" i="3"/>
  <c r="J13" i="1" s="1"/>
  <c r="J16" i="1" s="1"/>
  <c r="J18" i="1" s="1"/>
  <c r="J21" i="1" s="1"/>
  <c r="L118" i="3"/>
  <c r="K87" i="6" s="1"/>
  <c r="K87" i="7" s="1"/>
  <c r="P118" i="3"/>
  <c r="O83" i="6" s="1"/>
  <c r="M118" i="3"/>
  <c r="L87" i="6" s="1"/>
  <c r="L87" i="7" s="1"/>
  <c r="I99" i="3"/>
  <c r="I118" i="3" s="1"/>
  <c r="I83" i="6"/>
  <c r="M87" i="6"/>
  <c r="M87" i="7" s="1"/>
  <c r="M83" i="6"/>
  <c r="Q13" i="1"/>
  <c r="Q16" i="1" s="1"/>
  <c r="Q18" i="1" s="1"/>
  <c r="Q21" i="1" s="1"/>
  <c r="P83" i="6"/>
  <c r="R13" i="1"/>
  <c r="R16" i="1" s="1"/>
  <c r="R18" i="1" s="1"/>
  <c r="R21" i="1" s="1"/>
  <c r="Q87" i="6"/>
  <c r="Q87" i="7" s="1"/>
  <c r="N21" i="1"/>
  <c r="G83" i="6"/>
  <c r="H13" i="1"/>
  <c r="H16" i="1" s="1"/>
  <c r="H18" i="1" s="1"/>
  <c r="G87" i="6"/>
  <c r="G87" i="7" s="1"/>
  <c r="T97" i="3"/>
  <c r="O21" i="1"/>
  <c r="K83" i="6" l="1"/>
  <c r="I87" i="6"/>
  <c r="I87" i="7" s="1"/>
  <c r="O87" i="6"/>
  <c r="O87" i="7" s="1"/>
  <c r="M13" i="1"/>
  <c r="M16" i="1" s="1"/>
  <c r="M18" i="1" s="1"/>
  <c r="M21" i="1" s="1"/>
  <c r="P13" i="1"/>
  <c r="P16" i="1" s="1"/>
  <c r="P18" i="1" s="1"/>
  <c r="P21" i="1" s="1"/>
  <c r="L13" i="1"/>
  <c r="L16" i="1" s="1"/>
  <c r="L18" i="1" s="1"/>
  <c r="L21" i="1" s="1"/>
  <c r="L83" i="6"/>
  <c r="H83" i="6"/>
  <c r="I13" i="1"/>
  <c r="I16" i="1" s="1"/>
  <c r="I18" i="1" s="1"/>
  <c r="I21" i="1" s="1"/>
  <c r="H87" i="6"/>
  <c r="H87" i="7" s="1"/>
  <c r="H21" i="1"/>
  <c r="T99" i="3"/>
  <c r="F83" i="6" l="1"/>
  <c r="T118" i="3"/>
  <c r="G13" i="1"/>
  <c r="F87" i="6"/>
  <c r="F87" i="7" l="1"/>
  <c r="E87" i="7" s="1"/>
  <c r="Y87" i="6"/>
  <c r="G16" i="1"/>
  <c r="G18" i="1" s="1"/>
  <c r="F13" i="1"/>
  <c r="E83" i="6"/>
  <c r="F83" i="7" s="1"/>
  <c r="G21" i="1" l="1"/>
  <c r="K83" i="7"/>
  <c r="L48" i="1" s="1"/>
  <c r="Y83" i="6"/>
  <c r="L83" i="7"/>
  <c r="M48" i="1" s="1"/>
  <c r="J83" i="7"/>
  <c r="I83" i="7"/>
  <c r="O83" i="7"/>
  <c r="M83" i="7"/>
  <c r="Q83" i="7"/>
  <c r="P83" i="7"/>
  <c r="N83" i="7"/>
  <c r="G83" i="7"/>
  <c r="H83" i="7"/>
  <c r="T13" i="1"/>
  <c r="F16" i="1"/>
  <c r="E83" i="7" l="1"/>
  <c r="T16" i="1"/>
  <c r="F18" i="1"/>
  <c r="T18" i="1" l="1"/>
  <c r="F24" i="1"/>
  <c r="F21" i="1"/>
  <c r="L22" i="1" l="1"/>
  <c r="L24" i="1" s="1"/>
  <c r="M22" i="1"/>
  <c r="M24" i="1" s="1"/>
  <c r="N22" i="1"/>
  <c r="N24" i="1" s="1"/>
  <c r="O22" i="1"/>
  <c r="O24" i="1" s="1"/>
  <c r="T21" i="1"/>
  <c r="P22" i="1"/>
  <c r="P24" i="1" s="1"/>
  <c r="G22" i="1"/>
  <c r="Q22" i="1"/>
  <c r="Q24" i="1" s="1"/>
  <c r="H22" i="1"/>
  <c r="H24" i="1" s="1"/>
  <c r="R22" i="1"/>
  <c r="R24" i="1" s="1"/>
  <c r="I22" i="1"/>
  <c r="I24" i="1" s="1"/>
  <c r="J22" i="1"/>
  <c r="J24" i="1" s="1"/>
  <c r="K22" i="1"/>
  <c r="K24" i="1" s="1"/>
  <c r="F36" i="1"/>
  <c r="F43" i="1"/>
  <c r="M36" i="1" l="1"/>
  <c r="M37" i="1" s="1"/>
  <c r="M43" i="1"/>
  <c r="M51" i="1" s="1"/>
  <c r="M53" i="1" s="1"/>
  <c r="M55" i="1" s="1"/>
  <c r="L36" i="1"/>
  <c r="L37" i="1" s="1"/>
  <c r="L43" i="1"/>
  <c r="L51" i="1" s="1"/>
  <c r="L53" i="1" s="1"/>
  <c r="L55" i="1" s="1"/>
  <c r="C49" i="1"/>
  <c r="Q36" i="1"/>
  <c r="Q37" i="1" s="1"/>
  <c r="Q43" i="1"/>
  <c r="R36" i="1"/>
  <c r="R37" i="1" s="1"/>
  <c r="R43" i="1"/>
  <c r="F37" i="1"/>
  <c r="P36" i="1"/>
  <c r="P37" i="1" s="1"/>
  <c r="P43" i="1"/>
  <c r="K36" i="1"/>
  <c r="K37" i="1" s="1"/>
  <c r="K43" i="1"/>
  <c r="O36" i="1"/>
  <c r="O37" i="1" s="1"/>
  <c r="O43" i="1"/>
  <c r="H36" i="1"/>
  <c r="H37" i="1" s="1"/>
  <c r="H43" i="1"/>
  <c r="T22" i="1"/>
  <c r="G24" i="1"/>
  <c r="J36" i="1"/>
  <c r="J37" i="1" s="1"/>
  <c r="J43" i="1"/>
  <c r="I36" i="1"/>
  <c r="I37" i="1" s="1"/>
  <c r="I43" i="1"/>
  <c r="N36" i="1"/>
  <c r="N37" i="1" s="1"/>
  <c r="N43" i="1"/>
  <c r="G36" i="1" l="1"/>
  <c r="G43" i="1"/>
  <c r="T24" i="1"/>
  <c r="G49" i="1" l="1"/>
  <c r="T49" i="1" s="1"/>
  <c r="T43" i="1"/>
  <c r="G37" i="1"/>
  <c r="T37" i="1" s="1"/>
  <c r="T36" i="1"/>
  <c r="G46" i="1"/>
  <c r="H46" i="1"/>
  <c r="I46" i="1"/>
  <c r="J46" i="1"/>
  <c r="K46" i="1"/>
  <c r="N46" i="1"/>
  <c r="O46" i="1"/>
  <c r="P46" i="1"/>
  <c r="Q46" i="1"/>
  <c r="R46" i="1"/>
  <c r="G47" i="1"/>
  <c r="H47" i="1"/>
  <c r="I47" i="1"/>
  <c r="J47" i="1"/>
  <c r="K47" i="1"/>
  <c r="N47" i="1"/>
  <c r="O47" i="1"/>
  <c r="P47" i="1"/>
  <c r="Q47" i="1"/>
  <c r="R47" i="1"/>
  <c r="G48" i="1"/>
  <c r="H48" i="1"/>
  <c r="I48" i="1"/>
  <c r="J48" i="1"/>
  <c r="K48" i="1"/>
  <c r="N48" i="1"/>
  <c r="N51" i="1" s="1"/>
  <c r="N53" i="1" s="1"/>
  <c r="N55" i="1" s="1"/>
  <c r="O48" i="1"/>
  <c r="P48" i="1"/>
  <c r="Q48" i="1"/>
  <c r="R48" i="1"/>
  <c r="F51" i="1"/>
  <c r="F53" i="1" s="1"/>
  <c r="F55" i="1" s="1"/>
  <c r="R51" i="1" l="1"/>
  <c r="R53" i="1" s="1"/>
  <c r="R55" i="1" s="1"/>
  <c r="R56" i="1" s="1"/>
  <c r="J51" i="1"/>
  <c r="J53" i="1" s="1"/>
  <c r="J55" i="1" s="1"/>
  <c r="J56" i="1" s="1"/>
  <c r="K51" i="1"/>
  <c r="K53" i="1" s="1"/>
  <c r="K55" i="1" s="1"/>
  <c r="K56" i="1" s="1"/>
  <c r="I51" i="1"/>
  <c r="I53" i="1" s="1"/>
  <c r="I55" i="1" s="1"/>
  <c r="I56" i="1" s="1"/>
  <c r="H51" i="1"/>
  <c r="H53" i="1" s="1"/>
  <c r="H55" i="1" s="1"/>
  <c r="H56" i="1" s="1"/>
  <c r="T47" i="1"/>
  <c r="N59" i="1"/>
  <c r="N56" i="1"/>
  <c r="P51" i="1"/>
  <c r="P53" i="1" s="1"/>
  <c r="P55" i="1" s="1"/>
  <c r="P56" i="1" s="1"/>
  <c r="O51" i="1"/>
  <c r="O53" i="1" s="1"/>
  <c r="O55" i="1" s="1"/>
  <c r="O56" i="1" s="1"/>
  <c r="F56" i="1"/>
  <c r="F59" i="1"/>
  <c r="T46" i="1"/>
  <c r="R59" i="1"/>
  <c r="Q51" i="1"/>
  <c r="Q53" i="1" s="1"/>
  <c r="Q55" i="1" s="1"/>
  <c r="Q59" i="1" s="1"/>
  <c r="Q60" i="1" s="1"/>
  <c r="T48" i="1"/>
  <c r="G51" i="1"/>
  <c r="K59" i="1" l="1"/>
  <c r="K60" i="1" s="1"/>
  <c r="J59" i="1"/>
  <c r="J60" i="1" s="1"/>
  <c r="H59" i="1"/>
  <c r="H60" i="1" s="1"/>
  <c r="I59" i="1"/>
  <c r="I60" i="1" s="1"/>
  <c r="P59" i="1"/>
  <c r="P60" i="1" s="1"/>
  <c r="O59" i="1"/>
  <c r="O60" i="1" s="1"/>
  <c r="Q56" i="1"/>
  <c r="F60" i="1"/>
  <c r="N60" i="1"/>
  <c r="R60" i="1"/>
  <c r="G53" i="1"/>
  <c r="T51" i="1"/>
  <c r="T53" i="1" l="1"/>
  <c r="G55" i="1"/>
  <c r="G59" i="1" l="1"/>
  <c r="G56" i="1"/>
  <c r="T56" i="1" s="1"/>
  <c r="T55" i="1"/>
  <c r="G60" i="1" l="1"/>
  <c r="T60" i="1" s="1"/>
  <c r="T59" i="1"/>
</calcChain>
</file>

<file path=xl/sharedStrings.xml><?xml version="1.0" encoding="utf-8"?>
<sst xmlns="http://schemas.openxmlformats.org/spreadsheetml/2006/main" count="780" uniqueCount="586">
  <si>
    <t>Description</t>
  </si>
  <si>
    <t>Total</t>
  </si>
  <si>
    <t>Res Svc</t>
  </si>
  <si>
    <t>Sec Svc 24</t>
  </si>
  <si>
    <t>Sec Svc 25 / 29 / 7A</t>
  </si>
  <si>
    <t>Sec Svc 26 /26P</t>
  </si>
  <si>
    <t>Pri Svc 31</t>
  </si>
  <si>
    <t>Pri Svc 35</t>
  </si>
  <si>
    <t>Pri Svc 43</t>
  </si>
  <si>
    <t>Special Contract</t>
  </si>
  <si>
    <t>High Volt 46/49</t>
  </si>
  <si>
    <t>Choice/Retail Wheeling</t>
  </si>
  <si>
    <t>Lighting 50-59</t>
  </si>
  <si>
    <t>Firm Resale</t>
  </si>
  <si>
    <t>~</t>
  </si>
  <si>
    <t>CUSTOMER EXTERNAL ALLOCATORS</t>
  </si>
  <si>
    <t>CUST_1</t>
  </si>
  <si>
    <t>Ave. No. Cust.</t>
  </si>
  <si>
    <t/>
  </si>
  <si>
    <t>CUST_2</t>
  </si>
  <si>
    <t>Ave. No. Cust Incl. RES &amp; SEC Only, No Sch 40</t>
  </si>
  <si>
    <t>CUST_3</t>
  </si>
  <si>
    <t>Wtd. Ave. No. Cust. A/C 903 Customer Records Direct Assignment [NEEDS PROFORMA ADJUSTMENT]</t>
  </si>
  <si>
    <t>CUST_4</t>
  </si>
  <si>
    <t>Meter Counts. A/C 902</t>
  </si>
  <si>
    <t>DIR_SC</t>
  </si>
  <si>
    <t>Direct Assignment Special Contract</t>
  </si>
  <si>
    <t>DIR_449</t>
  </si>
  <si>
    <t>Schedule 449 / 459 Retail Revenue</t>
  </si>
  <si>
    <t>DIR_449_OATT</t>
  </si>
  <si>
    <t>Transportation OATT Revenue</t>
  </si>
  <si>
    <t>DIR_RESALE_SMALL</t>
  </si>
  <si>
    <t>Small Firm Resale Allocation Only</t>
  </si>
  <si>
    <t>DIR235.00</t>
  </si>
  <si>
    <t>Customer Deposits</t>
  </si>
  <si>
    <t>DIR252.00</t>
  </si>
  <si>
    <t>Customer Advances</t>
  </si>
  <si>
    <t>DIR368.03C</t>
  </si>
  <si>
    <t>Line Transformers - Customer Related</t>
  </si>
  <si>
    <t>DIR373.00</t>
  </si>
  <si>
    <t>Str. &amp; Signal Systems</t>
  </si>
  <si>
    <t>DIR450.01</t>
  </si>
  <si>
    <t>Late Payment Interest Rev</t>
  </si>
  <si>
    <t>DIR450.02</t>
  </si>
  <si>
    <t>Direct Assign  Disconnect Call - A/C 450.02</t>
  </si>
  <si>
    <t>DIR451.02</t>
  </si>
  <si>
    <t>Connect/Reconnect Revenue</t>
  </si>
  <si>
    <t>DIR451.05</t>
  </si>
  <si>
    <t>Billing Initiation Charge</t>
  </si>
  <si>
    <t>DIR451.06</t>
  </si>
  <si>
    <t>NSF Check Charge Revenue</t>
  </si>
  <si>
    <t>DIR904.00</t>
  </si>
  <si>
    <t>Direct Assign 904 Uncollectibles</t>
  </si>
  <si>
    <t>METER</t>
  </si>
  <si>
    <t>Meter Investment</t>
  </si>
  <si>
    <t>OH_SVC</t>
  </si>
  <si>
    <t>Dist OH Services (Sec Voltage Only)</t>
  </si>
  <si>
    <t>OH_TFMRC</t>
  </si>
  <si>
    <t>Allocate Overhead Transformers</t>
  </si>
  <si>
    <t>PROFORMA</t>
  </si>
  <si>
    <t>Proforma Revenue</t>
  </si>
  <si>
    <t>PROFORMA_RETAIL</t>
  </si>
  <si>
    <t>Proforma Retail Revenue - No Transportation &amp; Special Contract</t>
  </si>
  <si>
    <t>RESID</t>
  </si>
  <si>
    <t>Residential Allocation Only</t>
  </si>
  <si>
    <t>UG_TFMRC</t>
  </si>
  <si>
    <t>Allocate Underground Transformers</t>
  </si>
  <si>
    <t>DEM_1</t>
  </si>
  <si>
    <t>Top 75 CP Hours (not used)</t>
  </si>
  <si>
    <t>DEM_1A</t>
  </si>
  <si>
    <t>Top 75  CP Hours Excl. Interruptible (Not Used)</t>
  </si>
  <si>
    <t>DEM_1B</t>
  </si>
  <si>
    <t>Top 75 CP - No Interruptibles or Transportation (Not Used)</t>
  </si>
  <si>
    <t>DEM_2A</t>
  </si>
  <si>
    <t>4 CP Winter Peak - No Interruptibles</t>
  </si>
  <si>
    <t>DEM_2B</t>
  </si>
  <si>
    <t>4 CP Winter Peak - No Interruptibles or Transportation</t>
  </si>
  <si>
    <t>DIR108.360</t>
  </si>
  <si>
    <t>Direct Assign Substation Ease - Accum Depr</t>
  </si>
  <si>
    <t>DIR108.361</t>
  </si>
  <si>
    <t>Direct Assign Substation Structures - Accum Depr</t>
  </si>
  <si>
    <t>DIR108.362</t>
  </si>
  <si>
    <t>Direct Assign Substation Equipment - Accum Depr</t>
  </si>
  <si>
    <t>DIR108.364</t>
  </si>
  <si>
    <t>Direct Assign OH Dist Lines - Accum Depr</t>
  </si>
  <si>
    <t>DIR108.366</t>
  </si>
  <si>
    <t>Direct Assign UG Dist Lines</t>
  </si>
  <si>
    <t>DIR360.01</t>
  </si>
  <si>
    <t>Direct Assign Substation Land</t>
  </si>
  <si>
    <t>DIR361.01</t>
  </si>
  <si>
    <t>Direct Assign Substation Structures</t>
  </si>
  <si>
    <t>DIR362.01</t>
  </si>
  <si>
    <t>Direct Assign Substation Equipment</t>
  </si>
  <si>
    <t>DIR364.01</t>
  </si>
  <si>
    <t>Direct Assign OH Dist Lines</t>
  </si>
  <si>
    <t>DIR366.01</t>
  </si>
  <si>
    <t>DIR368.03</t>
  </si>
  <si>
    <t>Line Transformers</t>
  </si>
  <si>
    <t>NCP_360</t>
  </si>
  <si>
    <t>Allocate Substation Land - 12 NCP</t>
  </si>
  <si>
    <t>NCP_361</t>
  </si>
  <si>
    <t>Allocate Substation Structures - 12 NCP</t>
  </si>
  <si>
    <t>NCP_362</t>
  </si>
  <si>
    <t>Allocate Substation Equipment - 12 NCP</t>
  </si>
  <si>
    <t>OH_NCP</t>
  </si>
  <si>
    <t>Allocate Overhead Lines - 12 NCP</t>
  </si>
  <si>
    <t>OH_TFMR</t>
  </si>
  <si>
    <t>UG_NCP</t>
  </si>
  <si>
    <t>Allocate Underground Lines - 12 NCP</t>
  </si>
  <si>
    <t>UG_TFMR</t>
  </si>
  <si>
    <t>DIR454.05</t>
  </si>
  <si>
    <t>Equip. (Transformer &amp; Substation) Rentals</t>
  </si>
  <si>
    <t>BPAX</t>
  </si>
  <si>
    <t>BPA Residential Exchange kWh</t>
  </si>
  <si>
    <t>ENERGY_1</t>
  </si>
  <si>
    <t>Annual kWhs</t>
  </si>
  <si>
    <t>ENERGY_2</t>
  </si>
  <si>
    <t>Energy - NO RETAIL WHEELING</t>
  </si>
  <si>
    <t>Memo: Combined</t>
  </si>
  <si>
    <t>PSE Name</t>
  </si>
  <si>
    <t>TAI Number</t>
  </si>
  <si>
    <t>D360.T</t>
  </si>
  <si>
    <t>Total Struct and Improvements</t>
  </si>
  <si>
    <t>D361.T</t>
  </si>
  <si>
    <t>D362.T</t>
  </si>
  <si>
    <t>Total Station Equip</t>
  </si>
  <si>
    <t>D364.T</t>
  </si>
  <si>
    <t>Total OVHD Lines</t>
  </si>
  <si>
    <t>D366.T</t>
  </si>
  <si>
    <t>Total UNGD Lines</t>
  </si>
  <si>
    <t>D368.T</t>
  </si>
  <si>
    <t>Total Transformers</t>
  </si>
  <si>
    <t>D369.T</t>
  </si>
  <si>
    <t>Total Services</t>
  </si>
  <si>
    <t>D370.T</t>
  </si>
  <si>
    <t>Total Meters</t>
  </si>
  <si>
    <t>ADJPTDCE.T</t>
  </si>
  <si>
    <t>Adj Total Prod Trans Dist &amp; Cust Exp</t>
  </si>
  <si>
    <t>CAE.T</t>
  </si>
  <si>
    <t>Cust Accts Exp - Total</t>
  </si>
  <si>
    <t>CAES1.T</t>
  </si>
  <si>
    <t>Cust Accts Exp - Subtotal ID902.00 to ID905.00</t>
  </si>
  <si>
    <t>DES1.T</t>
  </si>
  <si>
    <t>Dist O&amp;M - ID581.00 to ID589.00 Subtotal</t>
  </si>
  <si>
    <t>DES2.T</t>
  </si>
  <si>
    <t>Dist O&amp;M - ID591.00 to ID597.00 Subtotal</t>
  </si>
  <si>
    <t>DES3.T</t>
  </si>
  <si>
    <t>Dist O&amp;M - ID582.00 to ID587.00 Subtotal</t>
  </si>
  <si>
    <t>DP.T</t>
  </si>
  <si>
    <t>Total Distribution Plant</t>
  </si>
  <si>
    <t>EPIS.T</t>
  </si>
  <si>
    <t>Total Elec Plant In Service</t>
  </si>
  <si>
    <t>GP.T</t>
  </si>
  <si>
    <t>Total General Plant</t>
  </si>
  <si>
    <t>LINE.T</t>
  </si>
  <si>
    <t>Total Distribution OH &amp; UG Lines</t>
  </si>
  <si>
    <t>POWER.T</t>
  </si>
  <si>
    <t>Sales of Electricity - Non Firm</t>
  </si>
  <si>
    <t>PP.T</t>
  </si>
  <si>
    <t>Total Production Plant</t>
  </si>
  <si>
    <t>PTDGP.T</t>
  </si>
  <si>
    <t>Total Prod, Trans, Dist &amp; Gen Plant</t>
  </si>
  <si>
    <t>PTDP.T</t>
  </si>
  <si>
    <t>Prod Trans Dist Allocation Factor</t>
  </si>
  <si>
    <t>RB.T</t>
  </si>
  <si>
    <t>Total Ratebase</t>
  </si>
  <si>
    <t>REVFAC1.T</t>
  </si>
  <si>
    <t>REVFAC1 = (OME.T+DAE.T+RRB.T)</t>
  </si>
  <si>
    <t>SW.T</t>
  </si>
  <si>
    <t>Salary &amp; Wages - Total</t>
  </si>
  <si>
    <t>SWPTD.T</t>
  </si>
  <si>
    <t>Salary &amp; Wages - PTD Subtotal</t>
  </si>
  <si>
    <t>TDP.T</t>
  </si>
  <si>
    <t>Total Transmission &amp; Distribution Plant</t>
  </si>
  <si>
    <t>EBFIT.T</t>
  </si>
  <si>
    <t>Total Expenses Before FIT</t>
  </si>
  <si>
    <t>TP.T</t>
  </si>
  <si>
    <t>Total Transmission Plant</t>
  </si>
  <si>
    <t>PTDE.T</t>
  </si>
  <si>
    <t>Prod Trans Dist Exp Allocation Factor</t>
  </si>
  <si>
    <t>Account Description</t>
  </si>
  <si>
    <t>Allocation Method</t>
  </si>
  <si>
    <t>RATE BASE</t>
  </si>
  <si>
    <t>Plant-in-Service</t>
  </si>
  <si>
    <t>Intangible Plant</t>
  </si>
  <si>
    <t>Generation/Transmission</t>
  </si>
  <si>
    <t>PC4</t>
  </si>
  <si>
    <t>Distribution</t>
  </si>
  <si>
    <t>Other</t>
  </si>
  <si>
    <t>Sub-total</t>
  </si>
  <si>
    <t>Production Plant</t>
  </si>
  <si>
    <t>Transmission Plant</t>
  </si>
  <si>
    <t>Washington Transmission Plant</t>
  </si>
  <si>
    <t>PC3</t>
  </si>
  <si>
    <t>Washington Integrated Generation (GIF) Transmission Plant</t>
  </si>
  <si>
    <t>Washington Integrated Lease Facilities (LIF) Transmission Plant</t>
  </si>
  <si>
    <t>Non-Washington Transmission Plant</t>
  </si>
  <si>
    <t>Distribution Plant</t>
  </si>
  <si>
    <t>Land &amp; Land Rights - Assigned</t>
  </si>
  <si>
    <t>Land &amp; Land Rights - Allocated</t>
  </si>
  <si>
    <t>Structures &amp; Improve - Assigned</t>
  </si>
  <si>
    <t>Structures &amp; Improve - Allocated</t>
  </si>
  <si>
    <t>Station Equipment - Assigned</t>
  </si>
  <si>
    <t>Station Equipment - Allocated</t>
  </si>
  <si>
    <t>Battery Storage</t>
  </si>
  <si>
    <t xml:space="preserve">Poles Towers &amp; Fixtures </t>
  </si>
  <si>
    <t>OH Lines Direct Assignment</t>
  </si>
  <si>
    <t xml:space="preserve">OVHD Cond &amp; Devices </t>
  </si>
  <si>
    <t>UG Conduit Direct Assignment</t>
  </si>
  <si>
    <t xml:space="preserve">UG Conduit </t>
  </si>
  <si>
    <t xml:space="preserve">UG Conductor &amp; Devices </t>
  </si>
  <si>
    <t>368.01</t>
  </si>
  <si>
    <t>Line Transf  OVHD</t>
  </si>
  <si>
    <t>368.02</t>
  </si>
  <si>
    <t>Line Transf  UNGD</t>
  </si>
  <si>
    <t>Line Transf  Assigned</t>
  </si>
  <si>
    <t>369.01</t>
  </si>
  <si>
    <t>Services - OVHD</t>
  </si>
  <si>
    <t>369.02</t>
  </si>
  <si>
    <t>Services - UNGD</t>
  </si>
  <si>
    <t>Meters</t>
  </si>
  <si>
    <t xml:space="preserve">Str &amp; Area Lighting Sys </t>
  </si>
  <si>
    <t>Asset Retirement Obligation</t>
  </si>
  <si>
    <t>General Plant</t>
  </si>
  <si>
    <t>Land &amp; Land Rights</t>
  </si>
  <si>
    <t>Structures &amp; Improvements</t>
  </si>
  <si>
    <t>Office Furniture &amp; Equip</t>
  </si>
  <si>
    <t>Transportation Equip</t>
  </si>
  <si>
    <t>Stores Equip</t>
  </si>
  <si>
    <t>Tools &amp; Shop &amp; Garage Equip</t>
  </si>
  <si>
    <t>Lab Equip</t>
  </si>
  <si>
    <t>Power Operated Equip</t>
  </si>
  <si>
    <t>Communication Equip</t>
  </si>
  <si>
    <t>Miscellaneous Equip</t>
  </si>
  <si>
    <t>Other Tangible Property</t>
  </si>
  <si>
    <t>TOTAL PLANT-IN-SERVICE</t>
  </si>
  <si>
    <t>Accumulated Reserve for Depreciation</t>
  </si>
  <si>
    <t>Accum Amortization - Generation/Transmission</t>
  </si>
  <si>
    <t>Accum Amortization - Distribution</t>
  </si>
  <si>
    <t>Accum Amortization - Other</t>
  </si>
  <si>
    <t>Accum Depreciation Thermal Baseload Generation</t>
  </si>
  <si>
    <t>Accum Depreciation Hydro Baseload Generation</t>
  </si>
  <si>
    <t>Accum Depreciation Other Production Generation</t>
  </si>
  <si>
    <t>Transmisson Plant</t>
  </si>
  <si>
    <t>108.04a</t>
  </si>
  <si>
    <t>Accum Depreciation Washington Transmisson Plant</t>
  </si>
  <si>
    <t>108.04b</t>
  </si>
  <si>
    <t>Accum Depreciation Washington GIF Transmisson Plant</t>
  </si>
  <si>
    <t>108.04c</t>
  </si>
  <si>
    <t>Accum Depreciation Washington LIF Transmisson Plant</t>
  </si>
  <si>
    <t>108.04d</t>
  </si>
  <si>
    <t>Accum Depreciation Non-Washington Transmisson Plant</t>
  </si>
  <si>
    <t>108.05_360a</t>
  </si>
  <si>
    <t>Land Rights - Assigned</t>
  </si>
  <si>
    <t>108.05_360b</t>
  </si>
  <si>
    <t>Land Rights</t>
  </si>
  <si>
    <t>108.05_361a</t>
  </si>
  <si>
    <t>108.05_361b</t>
  </si>
  <si>
    <t>108.05_362a</t>
  </si>
  <si>
    <t>108.05_362b</t>
  </si>
  <si>
    <t>108.10_363</t>
  </si>
  <si>
    <t>108.10_364a</t>
  </si>
  <si>
    <t>108.10_364b</t>
  </si>
  <si>
    <t>Poles &amp; OH Conductor - Assigned</t>
  </si>
  <si>
    <t>108.10_365a</t>
  </si>
  <si>
    <t>108.10_366a</t>
  </si>
  <si>
    <t>UG Conduit &amp; Conductor - Assigned</t>
  </si>
  <si>
    <t>108.10_366b</t>
  </si>
  <si>
    <t>UG Conduit &amp; Conductor</t>
  </si>
  <si>
    <t>108.10_367a</t>
  </si>
  <si>
    <t xml:space="preserve">UNGDCond &amp; Devices </t>
  </si>
  <si>
    <t>108.10_368a</t>
  </si>
  <si>
    <t>Line Transformers - Assigned</t>
  </si>
  <si>
    <t>108.10_368b</t>
  </si>
  <si>
    <t>Line Transformers - OH</t>
  </si>
  <si>
    <t>108.10_368c</t>
  </si>
  <si>
    <t>Line Transformers - UG</t>
  </si>
  <si>
    <t>108.10_369a</t>
  </si>
  <si>
    <t>Services - OH</t>
  </si>
  <si>
    <t>108.10_369b</t>
  </si>
  <si>
    <t>Services - UG</t>
  </si>
  <si>
    <t>108.10_370</t>
  </si>
  <si>
    <t>108.10_373</t>
  </si>
  <si>
    <t>108.10_374</t>
  </si>
  <si>
    <t>Accum Depreciation General Plant</t>
  </si>
  <si>
    <t>RWIP</t>
  </si>
  <si>
    <t>TOTAL ACCUMULATED RESERVE FOR DEPRECIATION</t>
  </si>
  <si>
    <t>Rate Base Adjustments and Working Capital</t>
  </si>
  <si>
    <t>Working Capital Assets</t>
  </si>
  <si>
    <t>WC</t>
  </si>
  <si>
    <t>Working Capital</t>
  </si>
  <si>
    <t>Other Items</t>
  </si>
  <si>
    <t>Misc Def Debits - Production</t>
  </si>
  <si>
    <t>Misc Def Debits - Transmission</t>
  </si>
  <si>
    <t>Misc Def Debits - Distribution</t>
  </si>
  <si>
    <t>Misc Def Debits - Other</t>
  </si>
  <si>
    <t xml:space="preserve">Accum Deferred Income Tax - Prod </t>
  </si>
  <si>
    <t>Accum Deferred Income Tax - Trans</t>
  </si>
  <si>
    <t>Accum Deferred Income Tax - General</t>
  </si>
  <si>
    <t>Customer Deposits - Transmission</t>
  </si>
  <si>
    <t>Landlord Incentive</t>
  </si>
  <si>
    <t>Acquisition Adjustment - Production</t>
  </si>
  <si>
    <t>Acquisition Adjustment - Transmission</t>
  </si>
  <si>
    <t>Acquisition Adjustment - Distribution</t>
  </si>
  <si>
    <t>Accum Amort Acquition Adj - Production</t>
  </si>
  <si>
    <t>Accum Amort Acquition Adj - Transmission</t>
  </si>
  <si>
    <t>Accum Amort Acquition Adj - Distribution</t>
  </si>
  <si>
    <t>ARO - Production</t>
  </si>
  <si>
    <t>ARO - Transmission</t>
  </si>
  <si>
    <t>ARO - Distribution</t>
  </si>
  <si>
    <t>ARO - General</t>
  </si>
  <si>
    <t>TOTAL OTHER RATE BASE</t>
  </si>
  <si>
    <t>TOTAL RATE BASE</t>
  </si>
  <si>
    <t>Residential
Sch 7</t>
  </si>
  <si>
    <t>Sec Volt
Sch 24
(kW&lt; 50)</t>
  </si>
  <si>
    <t>Sec Volt
Sch 25
(kW &gt; 50 &amp; &lt; 350)</t>
  </si>
  <si>
    <t>Sec Volt
Sch 26
(kW &gt; 350)</t>
  </si>
  <si>
    <t>High Volt
Sch 46/49</t>
  </si>
  <si>
    <t>Choice /
Retail Wheeling
Sch 448/449</t>
  </si>
  <si>
    <t>Lighting
Sch 50-59</t>
  </si>
  <si>
    <t>TAI</t>
  </si>
  <si>
    <t>Number</t>
  </si>
  <si>
    <t>Demand</t>
  </si>
  <si>
    <t>Energy</t>
  </si>
  <si>
    <t>dir</t>
  </si>
  <si>
    <t>TOTAL OPERATING EXPENSES</t>
  </si>
  <si>
    <t>EXPENSES</t>
  </si>
  <si>
    <t>O &amp; M Expenses</t>
  </si>
  <si>
    <t>Production - O&amp;M - Fuel</t>
  </si>
  <si>
    <t>FUEL.ST</t>
  </si>
  <si>
    <t>Steam Prod O&amp;M - Fuel</t>
  </si>
  <si>
    <t>FUEL.OT</t>
  </si>
  <si>
    <t>Other Prod O&amp;M - Fuel</t>
  </si>
  <si>
    <t>Production - O&amp;M - Purchase Power</t>
  </si>
  <si>
    <t>Purch Pwr - Other</t>
  </si>
  <si>
    <t>Purch Pwr - Res Exchange</t>
  </si>
  <si>
    <t>Production - O&amp;M - Wheeling</t>
  </si>
  <si>
    <t>Wheeling by Others - Wheeling</t>
  </si>
  <si>
    <t>Production - O&amp;M - Other</t>
  </si>
  <si>
    <t>Transmission  - O&amp;M</t>
  </si>
  <si>
    <t>Transmission O&amp;M - Washington</t>
  </si>
  <si>
    <t>Transmission O&amp;M - Washington GIF</t>
  </si>
  <si>
    <t>Transmission O&amp;M - Washington LIF</t>
  </si>
  <si>
    <t>Transmission O&amp;M - Non-Washington</t>
  </si>
  <si>
    <t>Distribution Expense - Operating</t>
  </si>
  <si>
    <t>Dist O&amp;M - Load Dispatch</t>
  </si>
  <si>
    <t>Dist O&amp;M - Station</t>
  </si>
  <si>
    <t>Dist O&amp;M - OVHD Lines</t>
  </si>
  <si>
    <t>Dist O&amp;M - UNGD Lines</t>
  </si>
  <si>
    <t>Dist O&amp;M - Street Lighting</t>
  </si>
  <si>
    <t>Dist O&amp;M - Meter</t>
  </si>
  <si>
    <t>Dist O&amp;M - Cust Installations - Meters</t>
  </si>
  <si>
    <t>Dist O&amp;M - Rents</t>
  </si>
  <si>
    <t>Dist O&amp;M - Supr &amp; Eng</t>
  </si>
  <si>
    <t>Dist O&amp;M - Miscellaneous</t>
  </si>
  <si>
    <t>Customer Accounts Expense</t>
  </si>
  <si>
    <t>CAE - Suprv</t>
  </si>
  <si>
    <t>CAE - Meter Reading</t>
  </si>
  <si>
    <t>CAE - Records &amp; Collections</t>
  </si>
  <si>
    <t xml:space="preserve">CAE - Uncollect Accts </t>
  </si>
  <si>
    <t>CAE - Miscellaneous</t>
  </si>
  <si>
    <t>Customer Service &amp; Information Expense</t>
  </si>
  <si>
    <t>Cust Svc Exp - Cust Assistance</t>
  </si>
  <si>
    <t>Cust Svc Exp - Weatherization</t>
  </si>
  <si>
    <t>Cust Svc Exp - Info &amp; Instruct</t>
  </si>
  <si>
    <t>Cust Svc Exp - Misc</t>
  </si>
  <si>
    <t>Cust Svc Exp - Demonstration</t>
  </si>
  <si>
    <t>Cust Svc Exp - Demonstration &amp; Selling</t>
  </si>
  <si>
    <t>Cust Svc Exp - Advertising</t>
  </si>
  <si>
    <t>Cust Svc Exp - Misc Selling</t>
  </si>
  <si>
    <t>General Expenses</t>
  </si>
  <si>
    <t>A&amp;G Exp - Salaries</t>
  </si>
  <si>
    <t>A&amp;G Exp - Office Supplies</t>
  </si>
  <si>
    <t>A&amp;G Exp - Transf (credit)</t>
  </si>
  <si>
    <t>A&amp;G Exp - Outside Svcs</t>
  </si>
  <si>
    <t>A&amp;G Exp - Prop Insurance - Other</t>
  </si>
  <si>
    <t>A&amp;G Exp - Injuries &amp; Damages - Other</t>
  </si>
  <si>
    <t>A&amp;G Exp - Pensions &amp; Benefits</t>
  </si>
  <si>
    <t xml:space="preserve">A&amp;G Exp - Reg Comm Exp </t>
  </si>
  <si>
    <t>A&amp;G Exp - Miscellaneous</t>
  </si>
  <si>
    <t>A&amp;G Exp - Rents</t>
  </si>
  <si>
    <t>Distribution Expense - Maintenance</t>
  </si>
  <si>
    <t>Dist O&amp;M - Structure</t>
  </si>
  <si>
    <t>Dist O&amp;M - Station Eqpt</t>
  </si>
  <si>
    <t>Dist O&amp;M - Lines Transformers</t>
  </si>
  <si>
    <t>Dist O&amp;M - Meters</t>
  </si>
  <si>
    <t>Dist O&amp;M - Supervision &amp; Maintenance</t>
  </si>
  <si>
    <t>General Expense - Maintenance &amp; Other</t>
  </si>
  <si>
    <t>A&amp;G Exp - Maint of Gen Plant</t>
  </si>
  <si>
    <t>TOTAL MAINTENANCE EXPENSES</t>
  </si>
  <si>
    <t>TOTAL O &amp; M EXPENSES</t>
  </si>
  <si>
    <t>Depreciation Expense</t>
  </si>
  <si>
    <t>Depr Exp - Production Steam Baseload</t>
  </si>
  <si>
    <t>Depr Exp - Production Hydro</t>
  </si>
  <si>
    <t>Depr Exp - Production Other</t>
  </si>
  <si>
    <t>403.04a</t>
  </si>
  <si>
    <t>Depr Exp - Transmission - Washington</t>
  </si>
  <si>
    <t>403.04b</t>
  </si>
  <si>
    <t>Depr Exp - Transmission - Washington GIF</t>
  </si>
  <si>
    <t>403.04c</t>
  </si>
  <si>
    <t>Depr Exp - Transmission - Washington LIF</t>
  </si>
  <si>
    <t>403.04d</t>
  </si>
  <si>
    <t>Depr Exp - Transmission - Non-Washington</t>
  </si>
  <si>
    <t>403.05a</t>
  </si>
  <si>
    <t>Depr Exp - Distribution - Easements</t>
  </si>
  <si>
    <t>403.05b</t>
  </si>
  <si>
    <t>Depr Exp - Distribution - Structures</t>
  </si>
  <si>
    <t>403.05c</t>
  </si>
  <si>
    <t>Depr Exp - Distribution - Station Equipment</t>
  </si>
  <si>
    <t>403.05d</t>
  </si>
  <si>
    <t>Depr Exp - Distribution - Batteries</t>
  </si>
  <si>
    <t>403.05e</t>
  </si>
  <si>
    <t>Depr Exp - Distribution - OH Poles</t>
  </si>
  <si>
    <t>403.05f</t>
  </si>
  <si>
    <t>Depr Exp - Distribution - OH Conductors</t>
  </si>
  <si>
    <t>403.05g</t>
  </si>
  <si>
    <t>Depr Exp - Distribution - UG Conductors</t>
  </si>
  <si>
    <t>403.05h</t>
  </si>
  <si>
    <t>Depr Exp - Distribution - UG Conduit</t>
  </si>
  <si>
    <t>403.05i</t>
  </si>
  <si>
    <t>Depr Exp - Distribution - Line Transformers</t>
  </si>
  <si>
    <t>403.05j</t>
  </si>
  <si>
    <t>Depr Exp - Distribution - Services</t>
  </si>
  <si>
    <t>403.05k</t>
  </si>
  <si>
    <t>Depr Exp - Distribution - Meters</t>
  </si>
  <si>
    <t>403.05l</t>
  </si>
  <si>
    <t>Depr Exp - Distribution - Lighting</t>
  </si>
  <si>
    <t>Depr Exp - General</t>
  </si>
  <si>
    <t>403.07a</t>
  </si>
  <si>
    <t>Depr Exp - FAS 143 - Prod</t>
  </si>
  <si>
    <t>403.07b</t>
  </si>
  <si>
    <t>Depr Exp - FAS 143 - Trans</t>
  </si>
  <si>
    <t>403.07c</t>
  </si>
  <si>
    <t>Depr Exp - FAS 143 - Dist</t>
  </si>
  <si>
    <t>403.07d</t>
  </si>
  <si>
    <t>Depr Exp - FAS 143 - Other</t>
  </si>
  <si>
    <t>Depr Exp - VROW</t>
  </si>
  <si>
    <t>Amort Exp - Limited Term Plant - Prod</t>
  </si>
  <si>
    <t>Amort Exp - Limited Term Plant - Transmission</t>
  </si>
  <si>
    <t>Amort Exp - Limited Term Plant - General</t>
  </si>
  <si>
    <t>Amort Exp - WUTC AFUDC</t>
  </si>
  <si>
    <t>Amort Exp - Acq Adjustment - Transmission</t>
  </si>
  <si>
    <t>Amort Exp - Acq Adjustment - Distribution</t>
  </si>
  <si>
    <t>Amort Exp - FERC Colstrip</t>
  </si>
  <si>
    <t>Amort Exp - Acq Adjustment - Production</t>
  </si>
  <si>
    <t>Amort Exp - Property Losses - Production</t>
  </si>
  <si>
    <t>Amort Exp - Storm T&amp;D</t>
  </si>
  <si>
    <t>Regulatory Debit / Credit - Production</t>
  </si>
  <si>
    <t>Accretion Exp - FAS 143</t>
  </si>
  <si>
    <t>Gain/Loss on Utility Plant</t>
  </si>
  <si>
    <t>Gain/Loss Disp Allowance</t>
  </si>
  <si>
    <t>TOTAL DEPRECIATION EXPENSES</t>
  </si>
  <si>
    <t>Taxes (Other Than Income)</t>
  </si>
  <si>
    <t>Property Taxes</t>
  </si>
  <si>
    <t>Payroll Taxes</t>
  </si>
  <si>
    <t>Other Taxes - Wash Excise - Allocated</t>
  </si>
  <si>
    <t>Other Taxes - Muni</t>
  </si>
  <si>
    <t>Other Taxes - Montana</t>
  </si>
  <si>
    <t>TOTAL TAXES OTHER THAN INCOME</t>
  </si>
  <si>
    <t>INCOME TAXES</t>
  </si>
  <si>
    <t>409.10</t>
  </si>
  <si>
    <t>Current Federal Income Tax @ Rate</t>
  </si>
  <si>
    <t>410.10</t>
  </si>
  <si>
    <t>Provision for Def Inc Tax</t>
  </si>
  <si>
    <t>TOTAL FIT</t>
  </si>
  <si>
    <t>DIR</t>
  </si>
  <si>
    <t>Labor O &amp; M Expenses</t>
  </si>
  <si>
    <t>Production Labor Exp</t>
  </si>
  <si>
    <t>S100</t>
  </si>
  <si>
    <t>Salary &amp; Wages - Prod Related</t>
  </si>
  <si>
    <t>Transmission Labor Exp</t>
  </si>
  <si>
    <t>S101</t>
  </si>
  <si>
    <t>Salary &amp; Wages - Trans Related</t>
  </si>
  <si>
    <t>Distribution Labor Expense - Operating</t>
  </si>
  <si>
    <t>S102</t>
  </si>
  <si>
    <t>Salary &amp; Wages - Dist Related</t>
  </si>
  <si>
    <t>Customer Accounts Labor Expense</t>
  </si>
  <si>
    <t>S103</t>
  </si>
  <si>
    <t>Salary &amp; Wages - Customer Accts Related</t>
  </si>
  <si>
    <t>Customer Service &amp; Information Labor Expense</t>
  </si>
  <si>
    <t>S104</t>
  </si>
  <si>
    <t>Salary &amp; Wages - Cust Svc Related</t>
  </si>
  <si>
    <t>TOTAL LABOR OPERATING EXPENSES</t>
  </si>
  <si>
    <t>General Labor Expense - Maintenance</t>
  </si>
  <si>
    <t>S105</t>
  </si>
  <si>
    <t>Salary &amp; Wages - Admin &amp; Gen Related</t>
  </si>
  <si>
    <t>S106</t>
  </si>
  <si>
    <t>Salary &amp; Wages - Sales</t>
  </si>
  <si>
    <t>TOTAL LABOR MAINTENANCE EXPENSES</t>
  </si>
  <si>
    <t>TOTAL LABOR O &amp; M EXPENSES</t>
  </si>
  <si>
    <t>Allocation Factor</t>
  </si>
  <si>
    <t>SALES REVENUE</t>
  </si>
  <si>
    <t>REVENUE</t>
  </si>
  <si>
    <t>Sales of Electricity - Firm Revenue</t>
  </si>
  <si>
    <t>Sales of Electricity - Transportation Revenue - Retail</t>
  </si>
  <si>
    <t>Sales of Electricity - Special Contract</t>
  </si>
  <si>
    <t>Sales of Electricity - Small Firm Resale</t>
  </si>
  <si>
    <t>NON FIRM REVENUE</t>
  </si>
  <si>
    <t>Sales of Electricity - Non Firm Revenue</t>
  </si>
  <si>
    <t>Provision for Rate Refund</t>
  </si>
  <si>
    <t>TOTAL NON FIRM REVENUE</t>
  </si>
  <si>
    <t>OTHER OPERATING REVENUE</t>
  </si>
  <si>
    <t>Late Payment Revenue - Interest</t>
  </si>
  <si>
    <t>Late Payment Revenue - Field Call</t>
  </si>
  <si>
    <t xml:space="preserve">Misc Service Revenue - Temporary Service </t>
  </si>
  <si>
    <t>Misc Service Revenue - Reconnection Charge</t>
  </si>
  <si>
    <t>Misc Service Revenue - Modified Service Charge</t>
  </si>
  <si>
    <t>Misc Service Revenue - Line Extension/UG Conversions</t>
  </si>
  <si>
    <t>Misc Service Revenue - Billing Initiation Charge</t>
  </si>
  <si>
    <t>Misc Service Revenue - NSF Handling Chg</t>
  </si>
  <si>
    <t>Misc Service Revenue - Deferred FIT CIAC</t>
  </si>
  <si>
    <t>Misc Service Revenue - Energy Diversion</t>
  </si>
  <si>
    <t>Rental Revenue - Steam Plant</t>
  </si>
  <si>
    <t>Rental Revenue - Pole &amp; Personal Cell Site Contacts - Transmission</t>
  </si>
  <si>
    <t>Rental Revenue - Pole &amp; Personal Cell Site Contacts - Distribution</t>
  </si>
  <si>
    <t>Rental Revenue - Land &amp; Bldg</t>
  </si>
  <si>
    <t>Rental Revenue - Transf &amp; Equip</t>
  </si>
  <si>
    <t>Other Elect Revenue -  Wheeling</t>
  </si>
  <si>
    <t>Other Elect Revenue - Dist O&amp;M</t>
  </si>
  <si>
    <t>Other Elect Revenue - Summit Buyout</t>
  </si>
  <si>
    <t>Other Elect Revenue - PCS</t>
  </si>
  <si>
    <t>Other Elect Revenue - Non-Core Gas Sales</t>
  </si>
  <si>
    <t>Other Elect Revenue -Green Energy Option</t>
  </si>
  <si>
    <t>Other Elect Revenue - Sumas Water Sale</t>
  </si>
  <si>
    <t>Other Elect Revenue - Intolight</t>
  </si>
  <si>
    <t>Other Elect Revenue - REC Revenue</t>
  </si>
  <si>
    <t>Other Elect Revenue - Cedar Hills Facility Fee</t>
  </si>
  <si>
    <t>Other Elect Revenue -  Biogas Amortization</t>
  </si>
  <si>
    <t>Other Elect Revenue -  Ferndale Plant</t>
  </si>
  <si>
    <t>Other Elect Revenue - Misc</t>
  </si>
  <si>
    <t>Other Elect Revenue -  Decoupling Amortization</t>
  </si>
  <si>
    <t>Other Elect Revenue - Transmission Transportation</t>
  </si>
  <si>
    <t>Other Elect Revenue - Special Contract Wheeling</t>
  </si>
  <si>
    <t>TOTAL OTHER OPERATING INCOME</t>
  </si>
  <si>
    <t>TOTAL REVENUE</t>
  </si>
  <si>
    <t>Check</t>
  </si>
  <si>
    <t>Firm Sales Revenue</t>
  </si>
  <si>
    <t>Non-Firm Revenue</t>
  </si>
  <si>
    <t>Other Revenue</t>
  </si>
  <si>
    <t>O&amp;M Expenses</t>
  </si>
  <si>
    <t>Depreciation Expenses</t>
  </si>
  <si>
    <t>Taxes Other Than Income</t>
  </si>
  <si>
    <t xml:space="preserve">    Total Expenses Before Income Taxes</t>
  </si>
  <si>
    <t>Earnings Before Interest and Taxes</t>
  </si>
  <si>
    <t>Interest Expense</t>
  </si>
  <si>
    <t>Income Taxes @</t>
  </si>
  <si>
    <t>Net Operating Income</t>
  </si>
  <si>
    <t>Rate Base:</t>
  </si>
  <si>
    <t>Rate of Return @ Current Rates</t>
  </si>
  <si>
    <t>Indexed Rate of Return</t>
  </si>
  <si>
    <t>Calculation of Rate Schedule Revenue Requirement at Equal Rates of Return</t>
  </si>
  <si>
    <t>Required Return</t>
  </si>
  <si>
    <t>Required Operating Income</t>
  </si>
  <si>
    <t>Operating Income Deficiency / (Surplus)</t>
  </si>
  <si>
    <t>Plus Incremental Expenses:</t>
  </si>
  <si>
    <t xml:space="preserve">     CAE - Uncollect Accts </t>
  </si>
  <si>
    <t xml:space="preserve">     A&amp;G Exp - Reg Comm Exp </t>
  </si>
  <si>
    <t xml:space="preserve">     Other Taxes - Wash Excise - Allocated</t>
  </si>
  <si>
    <t>Revenue Deficiency / (Surplus)</t>
  </si>
  <si>
    <t>Revenue Requirement</t>
  </si>
  <si>
    <t>Revenues Other Than Rate Sch. Rev.</t>
  </si>
  <si>
    <t>Rate Schedule Revenue Requirement</t>
  </si>
  <si>
    <t>Deficiency / (Surplus) as % of Firm Sales</t>
  </si>
  <si>
    <t>Current Revenue to Cost Ratio</t>
  </si>
  <si>
    <t>Parity Ratio</t>
  </si>
  <si>
    <t>Total Plant In Service</t>
  </si>
  <si>
    <t>Accumulated Depreciation</t>
  </si>
  <si>
    <t>Net Plant</t>
  </si>
  <si>
    <t>Other Additions &amp; Deductions</t>
  </si>
  <si>
    <t>Summary</t>
  </si>
  <si>
    <t>Rate Base</t>
  </si>
  <si>
    <t>Expenses</t>
  </si>
  <si>
    <t>Labor</t>
  </si>
  <si>
    <t>Revenue</t>
  </si>
  <si>
    <t>Alloc Amt</t>
  </si>
  <si>
    <t>Alloc Pct</t>
  </si>
  <si>
    <t xml:space="preserve">     Total Current Revenue</t>
  </si>
  <si>
    <t>Taxable Income</t>
  </si>
  <si>
    <t xml:space="preserve">     Federal Income Taxes @</t>
  </si>
  <si>
    <t>Time Differentiated Fuel Costs Adj. TY Loads</t>
  </si>
  <si>
    <t>Alloc</t>
  </si>
  <si>
    <t>Alloc Number</t>
  </si>
  <si>
    <t>PSE Allocation Method</t>
  </si>
  <si>
    <t>Pri Volt
Sch 31</t>
  </si>
  <si>
    <t>Pri Volt
Sch 35</t>
  </si>
  <si>
    <t>Pri Volt
Sch 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</si>
</sst>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0.0000%"/>
    <numFmt numFmtId="167" formatCode="_(&quot;$&quot;* #,##0_);_(&quot;$&quot;* \(#,##0\);_(&quot;$&quot;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FF"/>
      <name val="Arial"/>
      <family val="2"/>
    </font>
    <font>
      <i/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rgb="FFCCFFCC"/>
        <bgColor rgb="FF000000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1" applyNumberFormat="0" applyAlignment="0" applyProtection="0"/>
    <xf numFmtId="0" fontId="13" fillId="0" borderId="0" applyNumberFormat="0" applyFill="0" applyBorder="0" applyAlignment="0" applyProtection="0"/>
  </cellStyleXfs>
  <cellXfs count="118">
    <xf numFmtId="0" fontId="0" fillId="0" borderId="0" xfId="0"/>
    <xf numFmtId="164" fontId="4" fillId="0" borderId="0" xfId="0" applyNumberFormat="1" applyFont="1" applyAlignment="1">
      <alignment horizontal="left" wrapText="1"/>
    </xf>
    <xf numFmtId="164" fontId="4" fillId="0" borderId="0" xfId="0" applyNumberFormat="1" applyFont="1" applyAlignment="1">
      <alignment horizontal="right" wrapText="1"/>
    </xf>
    <xf numFmtId="164" fontId="5" fillId="0" borderId="0" xfId="0" applyNumberFormat="1" applyFont="1" applyAlignment="1">
      <alignment horizontal="left" wrapText="1"/>
    </xf>
    <xf numFmtId="0" fontId="5" fillId="3" borderId="0" xfId="0" applyFont="1" applyFill="1"/>
    <xf numFmtId="41" fontId="5" fillId="0" borderId="0" xfId="0" applyNumberFormat="1" applyFont="1" applyAlignment="1">
      <alignment horizontal="left" wrapText="1"/>
    </xf>
    <xf numFmtId="165" fontId="6" fillId="4" borderId="2" xfId="1" applyNumberFormat="1" applyFont="1" applyFill="1" applyBorder="1" applyAlignment="1">
      <alignment horizontal="left"/>
    </xf>
    <xf numFmtId="41" fontId="5" fillId="3" borderId="3" xfId="4" applyNumberFormat="1" applyFont="1" applyFill="1" applyBorder="1"/>
    <xf numFmtId="41" fontId="5" fillId="3" borderId="0" xfId="0" applyNumberFormat="1" applyFont="1" applyFill="1"/>
    <xf numFmtId="165" fontId="5" fillId="5" borderId="4" xfId="1" applyNumberFormat="1" applyFont="1" applyFill="1" applyBorder="1" applyAlignment="1">
      <alignment horizontal="left"/>
    </xf>
    <xf numFmtId="165" fontId="6" fillId="4" borderId="2" xfId="1" quotePrefix="1" applyNumberFormat="1" applyFont="1" applyFill="1" applyBorder="1" applyAlignment="1">
      <alignment horizontal="left"/>
    </xf>
    <xf numFmtId="165" fontId="0" fillId="0" borderId="0" xfId="0" applyNumberFormat="1"/>
    <xf numFmtId="164" fontId="6" fillId="4" borderId="0" xfId="0" applyNumberFormat="1" applyFont="1" applyFill="1" applyAlignment="1">
      <alignment horizontal="left" wrapText="1"/>
    </xf>
    <xf numFmtId="0" fontId="7" fillId="0" borderId="0" xfId="0" applyFont="1"/>
    <xf numFmtId="165" fontId="8" fillId="0" borderId="2" xfId="1" applyNumberFormat="1" applyFont="1" applyFill="1" applyBorder="1" applyAlignment="1">
      <alignment horizontal="left"/>
    </xf>
    <xf numFmtId="41" fontId="8" fillId="3" borderId="0" xfId="4" applyNumberFormat="1" applyFont="1" applyFill="1" applyBorder="1"/>
    <xf numFmtId="0" fontId="5" fillId="0" borderId="0" xfId="0" applyFont="1" applyFill="1"/>
    <xf numFmtId="166" fontId="5" fillId="0" borderId="0" xfId="3" applyNumberFormat="1" applyFont="1" applyAlignment="1">
      <alignment horizontal="left" wrapText="1"/>
    </xf>
    <xf numFmtId="166" fontId="0" fillId="0" borderId="0" xfId="3" applyNumberFormat="1" applyFont="1"/>
    <xf numFmtId="0" fontId="0" fillId="0" borderId="0" xfId="0" applyFill="1"/>
    <xf numFmtId="0" fontId="4" fillId="0" borderId="0" xfId="0" applyFont="1" applyFill="1"/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167" fontId="5" fillId="0" borderId="0" xfId="2" applyNumberFormat="1" applyFont="1" applyFill="1" applyBorder="1" applyAlignment="1">
      <alignment horizontal="center"/>
    </xf>
    <xf numFmtId="0" fontId="4" fillId="0" borderId="5" xfId="0" applyFont="1" applyFill="1" applyBorder="1"/>
    <xf numFmtId="2" fontId="4" fillId="0" borderId="5" xfId="0" applyNumberFormat="1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7" fontId="4" fillId="0" borderId="5" xfId="2" applyNumberFormat="1" applyFont="1" applyFill="1" applyBorder="1" applyAlignment="1">
      <alignment horizontal="center"/>
    </xf>
    <xf numFmtId="0" fontId="4" fillId="0" borderId="6" xfId="0" applyFont="1" applyFill="1" applyBorder="1"/>
    <xf numFmtId="2" fontId="4" fillId="0" borderId="6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167" fontId="4" fillId="0" borderId="6" xfId="2" applyNumberFormat="1" applyFont="1" applyFill="1" applyBorder="1" applyAlignment="1">
      <alignment horizontal="center"/>
    </xf>
    <xf numFmtId="167" fontId="5" fillId="0" borderId="0" xfId="0" applyNumberFormat="1" applyFont="1" applyFill="1"/>
    <xf numFmtId="0" fontId="4" fillId="0" borderId="0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left" wrapText="1"/>
    </xf>
    <xf numFmtId="0" fontId="0" fillId="0" borderId="7" xfId="0" applyBorder="1"/>
    <xf numFmtId="165" fontId="5" fillId="0" borderId="0" xfId="1" applyNumberFormat="1" applyFont="1" applyFill="1" applyAlignment="1">
      <alignment horizontal="center"/>
    </xf>
    <xf numFmtId="9" fontId="5" fillId="0" borderId="0" xfId="0" applyNumberFormat="1" applyFont="1" applyFill="1" applyAlignment="1">
      <alignment horizontal="center"/>
    </xf>
    <xf numFmtId="165" fontId="0" fillId="0" borderId="0" xfId="1" applyNumberFormat="1" applyFont="1"/>
    <xf numFmtId="165" fontId="7" fillId="0" borderId="0" xfId="1" applyNumberFormat="1" applyFont="1"/>
    <xf numFmtId="2" fontId="5" fillId="0" borderId="0" xfId="0" applyNumberFormat="1" applyFont="1" applyFill="1"/>
    <xf numFmtId="0" fontId="0" fillId="0" borderId="0" xfId="0" applyFill="1" applyBorder="1"/>
    <xf numFmtId="0" fontId="5" fillId="0" borderId="0" xfId="0" applyFont="1" applyFill="1" applyBorder="1"/>
    <xf numFmtId="167" fontId="5" fillId="0" borderId="0" xfId="0" applyNumberFormat="1" applyFont="1" applyFill="1" applyBorder="1"/>
    <xf numFmtId="0" fontId="0" fillId="0" borderId="7" xfId="0" applyFill="1" applyBorder="1"/>
    <xf numFmtId="165" fontId="5" fillId="0" borderId="0" xfId="1" applyNumberFormat="1" applyFont="1" applyFill="1" applyBorder="1" applyAlignment="1"/>
    <xf numFmtId="165" fontId="4" fillId="0" borderId="5" xfId="1" applyNumberFormat="1" applyFont="1" applyFill="1" applyBorder="1" applyAlignment="1"/>
    <xf numFmtId="165" fontId="4" fillId="0" borderId="6" xfId="1" applyNumberFormat="1" applyFont="1" applyFill="1" applyBorder="1" applyAlignment="1"/>
    <xf numFmtId="165" fontId="5" fillId="0" borderId="0" xfId="1" applyNumberFormat="1" applyFont="1" applyFill="1"/>
    <xf numFmtId="0" fontId="0" fillId="0" borderId="5" xfId="0" applyFill="1" applyBorder="1"/>
    <xf numFmtId="0" fontId="4" fillId="0" borderId="0" xfId="0" applyFont="1" applyFill="1" applyAlignment="1">
      <alignment horizontal="center"/>
    </xf>
    <xf numFmtId="165" fontId="4" fillId="0" borderId="0" xfId="1" applyNumberFormat="1" applyFont="1" applyFill="1" applyBorder="1" applyAlignment="1"/>
    <xf numFmtId="0" fontId="3" fillId="0" borderId="0" xfId="0" applyFont="1"/>
    <xf numFmtId="1" fontId="7" fillId="0" borderId="0" xfId="0" applyNumberFormat="1" applyFont="1"/>
    <xf numFmtId="165" fontId="4" fillId="0" borderId="0" xfId="0" applyNumberFormat="1" applyFont="1" applyFill="1"/>
    <xf numFmtId="0" fontId="9" fillId="0" borderId="0" xfId="0" applyFont="1" applyFill="1"/>
    <xf numFmtId="165" fontId="9" fillId="0" borderId="0" xfId="1" applyNumberFormat="1" applyFont="1" applyFill="1"/>
    <xf numFmtId="9" fontId="9" fillId="0" borderId="0" xfId="3" applyFont="1" applyFill="1"/>
    <xf numFmtId="165" fontId="9" fillId="0" borderId="0" xfId="1" applyNumberFormat="1" applyFont="1"/>
    <xf numFmtId="0" fontId="9" fillId="0" borderId="5" xfId="0" applyFont="1" applyFill="1" applyBorder="1"/>
    <xf numFmtId="165" fontId="9" fillId="0" borderId="5" xfId="1" applyNumberFormat="1" applyFont="1" applyFill="1" applyBorder="1"/>
    <xf numFmtId="165" fontId="10" fillId="0" borderId="0" xfId="1" applyNumberFormat="1" applyFont="1"/>
    <xf numFmtId="0" fontId="9" fillId="0" borderId="0" xfId="0" applyFont="1"/>
    <xf numFmtId="2" fontId="11" fillId="0" borderId="0" xfId="0" applyNumberFormat="1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167" fontId="11" fillId="0" borderId="0" xfId="2" applyNumberFormat="1" applyFont="1" applyFill="1" applyBorder="1" applyAlignment="1">
      <alignment horizontal="center"/>
    </xf>
    <xf numFmtId="0" fontId="0" fillId="0" borderId="0" xfId="0" applyFont="1"/>
    <xf numFmtId="165" fontId="11" fillId="0" borderId="0" xfId="1" applyNumberFormat="1" applyFont="1" applyFill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2" fontId="12" fillId="0" borderId="0" xfId="0" applyNumberFormat="1" applyFont="1" applyFill="1"/>
    <xf numFmtId="167" fontId="12" fillId="0" borderId="0" xfId="2" applyNumberFormat="1" applyFont="1" applyFill="1" applyBorder="1" applyAlignment="1"/>
    <xf numFmtId="2" fontId="4" fillId="0" borderId="5" xfId="0" applyNumberFormat="1" applyFont="1" applyFill="1" applyBorder="1"/>
    <xf numFmtId="167" fontId="4" fillId="0" borderId="5" xfId="2" applyNumberFormat="1" applyFont="1" applyFill="1" applyBorder="1" applyAlignment="1"/>
    <xf numFmtId="2" fontId="4" fillId="0" borderId="6" xfId="0" applyNumberFormat="1" applyFont="1" applyFill="1" applyBorder="1"/>
    <xf numFmtId="167" fontId="12" fillId="0" borderId="0" xfId="0" applyNumberFormat="1" applyFont="1" applyFill="1"/>
    <xf numFmtId="167" fontId="0" fillId="0" borderId="0" xfId="0" applyNumberFormat="1" applyFill="1"/>
    <xf numFmtId="0" fontId="0" fillId="0" borderId="8" xfId="0" applyBorder="1"/>
    <xf numFmtId="0" fontId="0" fillId="0" borderId="8" xfId="0" applyFill="1" applyBorder="1"/>
    <xf numFmtId="165" fontId="0" fillId="0" borderId="0" xfId="1" applyNumberFormat="1" applyFont="1" applyFill="1" applyBorder="1"/>
    <xf numFmtId="165" fontId="0" fillId="0" borderId="7" xfId="1" applyNumberFormat="1" applyFont="1" applyFill="1" applyBorder="1"/>
    <xf numFmtId="165" fontId="0" fillId="0" borderId="8" xfId="1" applyNumberFormat="1" applyFont="1" applyFill="1" applyBorder="1"/>
    <xf numFmtId="165" fontId="0" fillId="0" borderId="0" xfId="0" applyNumberFormat="1" applyFill="1" applyBorder="1"/>
    <xf numFmtId="10" fontId="0" fillId="0" borderId="0" xfId="3" applyNumberFormat="1" applyFont="1" applyFill="1" applyBorder="1"/>
    <xf numFmtId="165" fontId="7" fillId="0" borderId="0" xfId="0" applyNumberFormat="1" applyFont="1"/>
    <xf numFmtId="167" fontId="0" fillId="0" borderId="0" xfId="0" applyNumberFormat="1"/>
    <xf numFmtId="165" fontId="9" fillId="0" borderId="0" xfId="0" applyNumberFormat="1" applyFont="1" applyFill="1"/>
    <xf numFmtId="0" fontId="0" fillId="0" borderId="9" xfId="0" applyFill="1" applyBorder="1"/>
    <xf numFmtId="2" fontId="0" fillId="0" borderId="0" xfId="0" applyNumberFormat="1" applyFill="1" applyBorder="1"/>
    <xf numFmtId="0" fontId="3" fillId="0" borderId="6" xfId="0" applyFont="1" applyFill="1" applyBorder="1"/>
    <xf numFmtId="165" fontId="3" fillId="0" borderId="6" xfId="0" applyNumberFormat="1" applyFont="1" applyFill="1" applyBorder="1"/>
    <xf numFmtId="0" fontId="3" fillId="0" borderId="0" xfId="0" applyFont="1" applyFill="1" applyBorder="1"/>
    <xf numFmtId="165" fontId="0" fillId="0" borderId="5" xfId="0" applyNumberFormat="1" applyFill="1" applyBorder="1"/>
    <xf numFmtId="2" fontId="0" fillId="0" borderId="5" xfId="0" applyNumberFormat="1" applyFill="1" applyBorder="1"/>
    <xf numFmtId="0" fontId="4" fillId="0" borderId="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/>
    </xf>
    <xf numFmtId="0" fontId="14" fillId="0" borderId="0" xfId="5" applyFont="1"/>
    <xf numFmtId="167" fontId="5" fillId="0" borderId="0" xfId="1" applyNumberFormat="1" applyFont="1" applyFill="1" applyAlignment="1">
      <alignment horizontal="center"/>
    </xf>
    <xf numFmtId="167" fontId="0" fillId="0" borderId="0" xfId="1" applyNumberFormat="1" applyFont="1"/>
    <xf numFmtId="167" fontId="9" fillId="0" borderId="0" xfId="1" applyNumberFormat="1" applyFont="1"/>
    <xf numFmtId="167" fontId="5" fillId="0" borderId="0" xfId="0" applyNumberFormat="1" applyFont="1" applyFill="1" applyAlignment="1">
      <alignment horizontal="center"/>
    </xf>
    <xf numFmtId="167" fontId="11" fillId="0" borderId="0" xfId="1" applyNumberFormat="1" applyFont="1" applyFill="1" applyAlignment="1">
      <alignment horizontal="center"/>
    </xf>
    <xf numFmtId="10" fontId="5" fillId="0" borderId="0" xfId="0" applyNumberFormat="1" applyFont="1" applyFill="1" applyAlignment="1">
      <alignment horizontal="center"/>
    </xf>
    <xf numFmtId="0" fontId="9" fillId="0" borderId="7" xfId="0" applyFont="1" applyFill="1" applyBorder="1"/>
    <xf numFmtId="0" fontId="9" fillId="0" borderId="0" xfId="0" applyFont="1" applyFill="1" applyBorder="1"/>
    <xf numFmtId="165" fontId="15" fillId="0" borderId="5" xfId="0" applyNumberFormat="1" applyFont="1" applyFill="1" applyBorder="1"/>
    <xf numFmtId="0" fontId="9" fillId="0" borderId="6" xfId="0" applyFont="1" applyFill="1" applyBorder="1"/>
    <xf numFmtId="10" fontId="9" fillId="0" borderId="0" xfId="3" applyNumberFormat="1" applyFont="1" applyFill="1"/>
    <xf numFmtId="9" fontId="9" fillId="0" borderId="0" xfId="0" applyNumberFormat="1" applyFont="1" applyFill="1" applyBorder="1"/>
    <xf numFmtId="165" fontId="9" fillId="0" borderId="0" xfId="1" applyNumberFormat="1" applyFont="1" applyFill="1" applyBorder="1"/>
    <xf numFmtId="165" fontId="9" fillId="0" borderId="0" xfId="0" applyNumberFormat="1" applyFont="1" applyFill="1" applyBorder="1"/>
    <xf numFmtId="0" fontId="1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/>
    </xf>
  </cellXfs>
  <cellStyles count="6">
    <cellStyle name="Calculation" xfId="4" builtinId="22"/>
    <cellStyle name="Comma" xfId="1" builtinId="3"/>
    <cellStyle name="Currency" xfId="2" builtinId="4"/>
    <cellStyle name="Hyperlink" xfId="5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ases/19%20CASES/1921%20Puget%20Sound%20-%20RD/GAW%20Work/CCOSS/NEW-PSE-WP-BDJ04-ECOS-MODEL-19GRC-06-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FUNCALLOCT"/>
      <sheetName val="FUNCALLOCD"/>
      <sheetName val="REV REQ"/>
      <sheetName val="Old Reports===&gt;"/>
      <sheetName val="Account Summary"/>
      <sheetName val="SUMMARY"/>
      <sheetName val="BC detail"/>
      <sheetName val="Salary &amp; Wage Summary"/>
      <sheetName val="Transmission Costs"/>
      <sheetName val="Dist Costs"/>
      <sheetName val="ErrorCheck"/>
      <sheetName val="COS Reports Exh JDB-4 p1-19&gt;&gt;&gt;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 Feeder "/>
      <sheetName val="SC Substation O&amp;M"/>
      <sheetName val="SC Substation A&amp;G"/>
      <sheetName val="PCA Costs"/>
    </sheetNames>
    <sheetDataSet>
      <sheetData sheetId="0"/>
      <sheetData sheetId="1">
        <row r="29">
          <cell r="F29">
            <v>7.6200000000000004E-2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3406EF-1DE2-4236-9F75-4A4282B1799C}">
  <dimension ref="A3:A9"/>
  <sheetViews>
    <sheetView workbookViewId="0">
      <selection activeCell="A6" sqref="A6"/>
    </sheetView>
  </sheetViews>
  <sheetFormatPr defaultRowHeight="15" x14ac:dyDescent="0.25"/>
  <cols>
    <col min="1" max="1" width="11.5703125" customWidth="1"/>
  </cols>
  <sheetData>
    <row r="3" spans="1:1" x14ac:dyDescent="0.25">
      <c r="A3" s="100" t="s">
        <v>569</v>
      </c>
    </row>
    <row r="4" spans="1:1" x14ac:dyDescent="0.25">
      <c r="A4" s="100" t="s">
        <v>570</v>
      </c>
    </row>
    <row r="5" spans="1:1" x14ac:dyDescent="0.25">
      <c r="A5" s="100" t="s">
        <v>571</v>
      </c>
    </row>
    <row r="6" spans="1:1" x14ac:dyDescent="0.25">
      <c r="A6" s="100" t="s">
        <v>572</v>
      </c>
    </row>
    <row r="7" spans="1:1" x14ac:dyDescent="0.25">
      <c r="A7" s="100" t="s">
        <v>573</v>
      </c>
    </row>
    <row r="8" spans="1:1" x14ac:dyDescent="0.25">
      <c r="A8" s="100" t="s">
        <v>574</v>
      </c>
    </row>
    <row r="9" spans="1:1" x14ac:dyDescent="0.25">
      <c r="A9" s="100" t="s">
        <v>575</v>
      </c>
    </row>
  </sheetData>
  <hyperlinks>
    <hyperlink ref="A3" location="Summary!A1" display="Summary" xr:uid="{36353B00-3F29-47AB-884E-A000E931A0B0}"/>
    <hyperlink ref="A4:A7" location="Summary!A1" display="Summary" xr:uid="{69FC540F-FB67-4571-BF9F-1C4A8F92CAFE}"/>
    <hyperlink ref="A4" location="'Rate Base'!A1" display="Rate Base" xr:uid="{F6FE1867-3202-422A-90D7-163ABE6F998F}"/>
    <hyperlink ref="A5" location="Expenses!A1" display="Expenses" xr:uid="{12E6659F-D852-4EE9-87CB-13EBFF9760B2}"/>
    <hyperlink ref="A6" location="Labor!A1" display="Labor" xr:uid="{0D1CED1C-B7FC-4F62-93CC-638C2A69CA2F}"/>
    <hyperlink ref="A7" location="Revenue!A1" display="Revenue" xr:uid="{594B2B26-AC2D-432F-94EC-82C8B9389E7F}"/>
    <hyperlink ref="A8" location="'Alloc Amt'!A1" display="Alloc Amt" xr:uid="{392A7A58-C6DF-4C60-A75A-78B4D1DCA464}"/>
    <hyperlink ref="A9" location="'Alloc Pct'!A1" display="Alloc Pct" xr:uid="{107CC1D1-A7B6-4620-85F8-A04A2BEC47FE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DB7A8-53C0-4DC7-9D71-68E4B7BF55BB}">
  <sheetPr>
    <pageSetUpPr fitToPage="1"/>
  </sheetPr>
  <dimension ref="A1:T62"/>
  <sheetViews>
    <sheetView tabSelected="1" topLeftCell="D28" workbookViewId="0">
      <selection activeCell="K51" sqref="K51:M51"/>
    </sheetView>
  </sheetViews>
  <sheetFormatPr defaultRowHeight="15" x14ac:dyDescent="0.25"/>
  <cols>
    <col min="1" max="1" width="20.5703125" style="42" customWidth="1"/>
    <col min="2" max="2" width="13.28515625" style="42" customWidth="1"/>
    <col min="3" max="3" width="14.42578125" style="42" customWidth="1"/>
    <col min="4" max="4" width="11.28515625" style="42" customWidth="1"/>
    <col min="5" max="5" width="9.140625" style="42"/>
    <col min="6" max="6" width="18" style="42" bestFit="1" customWidth="1"/>
    <col min="7" max="7" width="15" style="42" bestFit="1" customWidth="1"/>
    <col min="8" max="8" width="14.28515625" style="42" bestFit="1" customWidth="1"/>
    <col min="9" max="9" width="13.85546875" style="42" customWidth="1"/>
    <col min="10" max="10" width="20.7109375" style="42" bestFit="1" customWidth="1"/>
    <col min="11" max="11" width="19.7109375" style="42" bestFit="1" customWidth="1"/>
    <col min="12" max="13" width="19.7109375" style="42" customWidth="1"/>
    <col min="14" max="14" width="13.7109375" style="42" bestFit="1" customWidth="1"/>
    <col min="15" max="15" width="14.5703125" style="42" bestFit="1" customWidth="1"/>
    <col min="16" max="16" width="13.7109375" style="42" bestFit="1" customWidth="1"/>
    <col min="17" max="18" width="14.5703125" style="42" bestFit="1" customWidth="1"/>
    <col min="19" max="19" width="9.140625" style="42"/>
    <col min="20" max="20" width="11.5703125" style="42" bestFit="1" customWidth="1"/>
    <col min="21" max="16384" width="9.140625" style="42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ht="51" x14ac:dyDescent="0.25">
      <c r="A4" s="19"/>
      <c r="B4" s="19"/>
      <c r="C4" s="116" t="s">
        <v>582</v>
      </c>
      <c r="D4" s="116" t="s">
        <v>581</v>
      </c>
      <c r="E4" s="19"/>
      <c r="F4" s="98" t="s">
        <v>1</v>
      </c>
      <c r="G4" s="98" t="s">
        <v>313</v>
      </c>
      <c r="H4" s="98" t="s">
        <v>314</v>
      </c>
      <c r="I4" s="98" t="s">
        <v>315</v>
      </c>
      <c r="J4" s="98" t="s">
        <v>316</v>
      </c>
      <c r="K4" s="98" t="s">
        <v>583</v>
      </c>
      <c r="L4" s="98" t="s">
        <v>584</v>
      </c>
      <c r="M4" s="98" t="s">
        <v>585</v>
      </c>
      <c r="N4" s="98" t="s">
        <v>9</v>
      </c>
      <c r="O4" s="98" t="s">
        <v>317</v>
      </c>
      <c r="P4" s="98" t="s">
        <v>318</v>
      </c>
      <c r="Q4" s="98" t="s">
        <v>319</v>
      </c>
      <c r="R4" s="98" t="s">
        <v>13</v>
      </c>
      <c r="T4" s="98" t="s">
        <v>535</v>
      </c>
    </row>
    <row r="5" spans="1:20" customFormat="1" x14ac:dyDescent="0.25">
      <c r="A5" s="45"/>
      <c r="B5" s="35"/>
      <c r="C5" s="97"/>
      <c r="D5" s="97"/>
      <c r="E5" s="45"/>
      <c r="F5" s="45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</row>
    <row r="6" spans="1:20" customFormat="1" x14ac:dyDescent="0.25"/>
    <row r="7" spans="1:20" customFormat="1" x14ac:dyDescent="0.25"/>
    <row r="8" spans="1:20" x14ac:dyDescent="0.25">
      <c r="A8" t="s">
        <v>536</v>
      </c>
      <c r="F8" s="82">
        <f>SUM(G8:R8)</f>
        <v>1997002383.941232</v>
      </c>
      <c r="G8" s="82">
        <f>Revenue!G15</f>
        <v>1105896513.2900393</v>
      </c>
      <c r="H8" s="82">
        <f>Revenue!H15</f>
        <v>263390391.2140398</v>
      </c>
      <c r="I8" s="82">
        <f>Revenue!I15</f>
        <v>270703257.2199825</v>
      </c>
      <c r="J8" s="82">
        <f>Revenue!J15</f>
        <v>160280839.13024956</v>
      </c>
      <c r="K8" s="82">
        <f>Revenue!K15</f>
        <v>113255219.09203497</v>
      </c>
      <c r="L8" s="82">
        <f>Revenue!L15</f>
        <v>268014.00021779712</v>
      </c>
      <c r="M8" s="82">
        <f>Revenue!M15</f>
        <v>10687146.00868473</v>
      </c>
      <c r="N8" s="82">
        <f>Revenue!N15</f>
        <v>5493553</v>
      </c>
      <c r="O8" s="82">
        <f>Revenue!O15</f>
        <v>40128244.032609545</v>
      </c>
      <c r="P8" s="82">
        <f>Revenue!P15</f>
        <v>10117371.780000001</v>
      </c>
      <c r="Q8" s="82">
        <f>Revenue!Q15</f>
        <v>16457494.013373908</v>
      </c>
      <c r="R8" s="82">
        <f>Revenue!R15</f>
        <v>324341.16000000003</v>
      </c>
      <c r="T8" s="85">
        <f>F8-SUM(G8:R8)</f>
        <v>0</v>
      </c>
    </row>
    <row r="9" spans="1:20" x14ac:dyDescent="0.25">
      <c r="A9" t="s">
        <v>537</v>
      </c>
      <c r="F9" s="82">
        <f t="shared" ref="F9" si="1">SUM(G9:R9)</f>
        <v>5469488.0226491969</v>
      </c>
      <c r="G9" s="82">
        <f>Revenue!G20</f>
        <v>2960815.7796291322</v>
      </c>
      <c r="H9" s="82">
        <f>Revenue!H20</f>
        <v>725188.87091469357</v>
      </c>
      <c r="I9" s="82">
        <f>Revenue!I20</f>
        <v>795377.03878375515</v>
      </c>
      <c r="J9" s="82">
        <f>Revenue!J20</f>
        <v>479201.65583527781</v>
      </c>
      <c r="K9" s="82">
        <f>Revenue!K20</f>
        <v>334996.70530146948</v>
      </c>
      <c r="L9" s="82">
        <f>Revenue!L20</f>
        <v>728.1341045466188</v>
      </c>
      <c r="M9" s="82">
        <f>Revenue!M20</f>
        <v>19996.601119292438</v>
      </c>
      <c r="N9" s="82">
        <f>Revenue!N20</f>
        <v>0</v>
      </c>
      <c r="O9" s="82">
        <f>Revenue!O20</f>
        <v>135165.45555693095</v>
      </c>
      <c r="P9" s="82">
        <f>Revenue!P20</f>
        <v>0</v>
      </c>
      <c r="Q9" s="82">
        <f>Revenue!Q20</f>
        <v>16111.404482199945</v>
      </c>
      <c r="R9" s="82">
        <f>Revenue!R20</f>
        <v>1906.3769218999546</v>
      </c>
      <c r="T9" s="85">
        <f t="shared" ref="T9:T60" si="2">F9-SUM(G9:R9)</f>
        <v>0</v>
      </c>
    </row>
    <row r="10" spans="1:20" x14ac:dyDescent="0.25">
      <c r="A10" s="36" t="s">
        <v>538</v>
      </c>
      <c r="B10" s="45"/>
      <c r="C10" s="45"/>
      <c r="D10" s="45"/>
      <c r="E10" s="45"/>
      <c r="F10" s="83">
        <f>SUM(G10:R10)</f>
        <v>76831178.983163401</v>
      </c>
      <c r="G10" s="83">
        <f>Revenue!G54</f>
        <v>42571741.543277197</v>
      </c>
      <c r="H10" s="83">
        <f>Revenue!H54</f>
        <v>10920419.476508936</v>
      </c>
      <c r="I10" s="83">
        <f>Revenue!I54</f>
        <v>8111166.7281178497</v>
      </c>
      <c r="J10" s="83">
        <f>Revenue!J54</f>
        <v>4569291.7494716924</v>
      </c>
      <c r="K10" s="83">
        <f>Revenue!K54</f>
        <v>3727116.0798256383</v>
      </c>
      <c r="L10" s="83">
        <f>Revenue!L54</f>
        <v>13612.134580855416</v>
      </c>
      <c r="M10" s="83">
        <f>Revenue!M54</f>
        <v>271883.37575463072</v>
      </c>
      <c r="N10" s="83">
        <f>Revenue!N54</f>
        <v>1110728.2434396907</v>
      </c>
      <c r="O10" s="83">
        <f>Revenue!O54</f>
        <v>4181868.1191848852</v>
      </c>
      <c r="P10" s="83">
        <f>Revenue!P54</f>
        <v>1075860.9092799951</v>
      </c>
      <c r="Q10" s="83">
        <f>Revenue!Q54</f>
        <v>251742.46399156787</v>
      </c>
      <c r="R10" s="83">
        <f>Revenue!R54</f>
        <v>25748.159730467811</v>
      </c>
      <c r="T10" s="85">
        <f t="shared" si="2"/>
        <v>0</v>
      </c>
    </row>
    <row r="11" spans="1:20" x14ac:dyDescent="0.25">
      <c r="A11" s="53" t="s">
        <v>576</v>
      </c>
      <c r="F11" s="82">
        <f>SUM(F8:F10)</f>
        <v>2079303050.9470446</v>
      </c>
      <c r="G11" s="82">
        <f t="shared" ref="G11:R11" si="3">SUM(G8:G10)</f>
        <v>1151429070.6129458</v>
      </c>
      <c r="H11" s="82">
        <f t="shared" si="3"/>
        <v>275035999.56146342</v>
      </c>
      <c r="I11" s="82">
        <f t="shared" si="3"/>
        <v>279609800.98688406</v>
      </c>
      <c r="J11" s="82">
        <f t="shared" si="3"/>
        <v>165329332.53555652</v>
      </c>
      <c r="K11" s="82">
        <f t="shared" si="3"/>
        <v>117317331.87716207</v>
      </c>
      <c r="L11" s="82">
        <f t="shared" si="3"/>
        <v>282354.26890319918</v>
      </c>
      <c r="M11" s="82">
        <f t="shared" si="3"/>
        <v>10979025.985558653</v>
      </c>
      <c r="N11" s="82">
        <f t="shared" si="3"/>
        <v>6604281.2434396911</v>
      </c>
      <c r="O11" s="82">
        <f t="shared" si="3"/>
        <v>44445277.607351363</v>
      </c>
      <c r="P11" s="82">
        <f t="shared" si="3"/>
        <v>11193232.689279996</v>
      </c>
      <c r="Q11" s="82">
        <f t="shared" si="3"/>
        <v>16725347.881847676</v>
      </c>
      <c r="R11" s="82">
        <f t="shared" si="3"/>
        <v>351995.69665236783</v>
      </c>
      <c r="T11" s="85">
        <f t="shared" si="2"/>
        <v>0</v>
      </c>
    </row>
    <row r="12" spans="1:20" x14ac:dyDescent="0.25">
      <c r="A1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T12" s="85">
        <f t="shared" si="2"/>
        <v>0</v>
      </c>
    </row>
    <row r="13" spans="1:20" x14ac:dyDescent="0.25">
      <c r="A13" t="s">
        <v>539</v>
      </c>
      <c r="F13" s="82">
        <f t="shared" ref="F13:F15" si="4">SUM(G13:R13)</f>
        <v>1143200417.3098586</v>
      </c>
      <c r="G13" s="82">
        <f>Expenses!G118</f>
        <v>648347438.99374127</v>
      </c>
      <c r="H13" s="82">
        <f>Expenses!H118</f>
        <v>147901099.75942904</v>
      </c>
      <c r="I13" s="82">
        <f>Expenses!I118</f>
        <v>150370329.26317021</v>
      </c>
      <c r="J13" s="82">
        <f>Expenses!J118</f>
        <v>90339969.191542298</v>
      </c>
      <c r="K13" s="82">
        <f>Expenses!K118</f>
        <v>64771556.169469208</v>
      </c>
      <c r="L13" s="82">
        <f>Expenses!L118</f>
        <v>227855.32814446188</v>
      </c>
      <c r="M13" s="82">
        <f>Expenses!M118</f>
        <v>5130552.1312719369</v>
      </c>
      <c r="N13" s="82">
        <f>Expenses!N118</f>
        <v>1457041.3946429023</v>
      </c>
      <c r="O13" s="82">
        <f>Expenses!O118</f>
        <v>24783180.441940434</v>
      </c>
      <c r="P13" s="82">
        <f>Expenses!P118</f>
        <v>2698214.8729082439</v>
      </c>
      <c r="Q13" s="82">
        <f>Expenses!Q118</f>
        <v>6804009.1368592028</v>
      </c>
      <c r="R13" s="82">
        <f>Expenses!R118</f>
        <v>369170.6267391608</v>
      </c>
      <c r="T13" s="85">
        <f t="shared" si="2"/>
        <v>0</v>
      </c>
    </row>
    <row r="14" spans="1:20" x14ac:dyDescent="0.25">
      <c r="A14" t="s">
        <v>540</v>
      </c>
      <c r="F14" s="82">
        <f t="shared" si="4"/>
        <v>497013983.85999942</v>
      </c>
      <c r="G14" s="82">
        <f>Expenses!G170</f>
        <v>296709135.37851065</v>
      </c>
      <c r="H14" s="82">
        <f>Expenses!H170</f>
        <v>62545242.554562151</v>
      </c>
      <c r="I14" s="82">
        <f>Expenses!I170</f>
        <v>58748793.015017942</v>
      </c>
      <c r="J14" s="82">
        <f>Expenses!J170</f>
        <v>31960240.164645899</v>
      </c>
      <c r="K14" s="82">
        <f>Expenses!K170</f>
        <v>24315753.016081247</v>
      </c>
      <c r="L14" s="82">
        <f>Expenses!L170</f>
        <v>117232.22394369359</v>
      </c>
      <c r="M14" s="82">
        <f>Expenses!M170</f>
        <v>2878723.4955487</v>
      </c>
      <c r="N14" s="82">
        <f>Expenses!N170</f>
        <v>2016186.9626153717</v>
      </c>
      <c r="O14" s="82">
        <f>Expenses!O170</f>
        <v>7546680.3955736272</v>
      </c>
      <c r="P14" s="82">
        <f>Expenses!P170</f>
        <v>3879143.7848223313</v>
      </c>
      <c r="Q14" s="82">
        <f>Expenses!Q170</f>
        <v>6139050.4630015139</v>
      </c>
      <c r="R14" s="82">
        <f>Expenses!R170</f>
        <v>157802.40567627241</v>
      </c>
      <c r="T14" s="85">
        <f t="shared" si="2"/>
        <v>0</v>
      </c>
    </row>
    <row r="15" spans="1:20" x14ac:dyDescent="0.25">
      <c r="A15" s="36" t="s">
        <v>541</v>
      </c>
      <c r="B15" s="45"/>
      <c r="C15" s="45"/>
      <c r="D15" s="45"/>
      <c r="E15" s="45"/>
      <c r="F15" s="83">
        <f t="shared" si="4"/>
        <v>86495562.504948333</v>
      </c>
      <c r="G15" s="83">
        <f>Expenses!G178</f>
        <v>48340388.885795131</v>
      </c>
      <c r="H15" s="83">
        <f>Expenses!H178</f>
        <v>11328952.37477313</v>
      </c>
      <c r="I15" s="83">
        <f>Expenses!I178</f>
        <v>11537757.519271581</v>
      </c>
      <c r="J15" s="83">
        <f>Expenses!J178</f>
        <v>6802957.1767970072</v>
      </c>
      <c r="K15" s="83">
        <f>Expenses!K178</f>
        <v>4825555.9702411629</v>
      </c>
      <c r="L15" s="83">
        <f>Expenses!L178</f>
        <v>12265.276718542709</v>
      </c>
      <c r="M15" s="83">
        <f>Expenses!M178</f>
        <v>461478.935201674</v>
      </c>
      <c r="N15" s="83">
        <f>Expenses!N178</f>
        <v>259620.3311493209</v>
      </c>
      <c r="O15" s="83">
        <f>Expenses!O178</f>
        <v>1701608.2819299803</v>
      </c>
      <c r="P15" s="83">
        <f>Expenses!P178</f>
        <v>460686.41996011807</v>
      </c>
      <c r="Q15" s="83">
        <f>Expenses!Q178</f>
        <v>749194.98900441045</v>
      </c>
      <c r="R15" s="83">
        <f>Expenses!R178</f>
        <v>15096.34410628731</v>
      </c>
      <c r="T15" s="85">
        <f t="shared" si="2"/>
        <v>0</v>
      </c>
    </row>
    <row r="16" spans="1:20" x14ac:dyDescent="0.25">
      <c r="A16" s="53" t="s">
        <v>542</v>
      </c>
      <c r="F16" s="82">
        <f>SUM(F13:F15)</f>
        <v>1726709963.6748064</v>
      </c>
      <c r="G16" s="82">
        <f t="shared" ref="G16:R16" si="5">SUM(G13:G15)</f>
        <v>993396963.2580471</v>
      </c>
      <c r="H16" s="82">
        <f t="shared" si="5"/>
        <v>221775294.68876433</v>
      </c>
      <c r="I16" s="82">
        <f t="shared" si="5"/>
        <v>220656879.79745975</v>
      </c>
      <c r="J16" s="82">
        <f t="shared" si="5"/>
        <v>129103166.5329852</v>
      </c>
      <c r="K16" s="82">
        <f t="shared" si="5"/>
        <v>93912865.15579161</v>
      </c>
      <c r="L16" s="82">
        <f t="shared" si="5"/>
        <v>357352.82880669821</v>
      </c>
      <c r="M16" s="82">
        <f t="shared" si="5"/>
        <v>8470754.5620223116</v>
      </c>
      <c r="N16" s="82">
        <f t="shared" si="5"/>
        <v>3732848.6884075953</v>
      </c>
      <c r="O16" s="82">
        <f t="shared" si="5"/>
        <v>34031469.119444042</v>
      </c>
      <c r="P16" s="82">
        <f t="shared" si="5"/>
        <v>7038045.0776906935</v>
      </c>
      <c r="Q16" s="82">
        <f t="shared" si="5"/>
        <v>13692254.588865127</v>
      </c>
      <c r="R16" s="82">
        <f t="shared" si="5"/>
        <v>542069.37652172055</v>
      </c>
      <c r="T16" s="85">
        <f t="shared" si="2"/>
        <v>0</v>
      </c>
    </row>
    <row r="17" spans="1:20" x14ac:dyDescent="0.25">
      <c r="A17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82"/>
      <c r="R17" s="82"/>
      <c r="T17" s="85">
        <f t="shared" si="2"/>
        <v>0</v>
      </c>
    </row>
    <row r="18" spans="1:20" x14ac:dyDescent="0.25">
      <c r="A18" t="s">
        <v>543</v>
      </c>
      <c r="F18" s="82">
        <f>F11-F16</f>
        <v>352593087.27223825</v>
      </c>
      <c r="G18" s="82">
        <f t="shared" ref="G18:R18" si="6">G11-G16</f>
        <v>158032107.35489869</v>
      </c>
      <c r="H18" s="82">
        <f t="shared" si="6"/>
        <v>53260704.872699082</v>
      </c>
      <c r="I18" s="82">
        <f t="shared" si="6"/>
        <v>58952921.189424306</v>
      </c>
      <c r="J18" s="82">
        <f t="shared" si="6"/>
        <v>36226166.002571329</v>
      </c>
      <c r="K18" s="82">
        <f t="shared" si="6"/>
        <v>23404466.721370459</v>
      </c>
      <c r="L18" s="82">
        <f t="shared" si="6"/>
        <v>-74998.55990349903</v>
      </c>
      <c r="M18" s="82">
        <f t="shared" si="6"/>
        <v>2508271.4235363416</v>
      </c>
      <c r="N18" s="82">
        <f t="shared" si="6"/>
        <v>2871432.5550320959</v>
      </c>
      <c r="O18" s="82">
        <f t="shared" si="6"/>
        <v>10413808.48790732</v>
      </c>
      <c r="P18" s="82">
        <f t="shared" si="6"/>
        <v>4155187.6115893023</v>
      </c>
      <c r="Q18" s="82">
        <f t="shared" si="6"/>
        <v>3033093.2929825485</v>
      </c>
      <c r="R18" s="82">
        <f t="shared" si="6"/>
        <v>-190073.67986935272</v>
      </c>
      <c r="T18" s="85">
        <f t="shared" si="2"/>
        <v>0</v>
      </c>
    </row>
    <row r="19" spans="1:20" x14ac:dyDescent="0.25">
      <c r="A19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T19" s="85">
        <f t="shared" si="2"/>
        <v>0</v>
      </c>
    </row>
    <row r="20" spans="1:20" x14ac:dyDescent="0.25">
      <c r="A20" t="s">
        <v>544</v>
      </c>
      <c r="F20" s="82">
        <f>'Rate Base'!F162*0.0287</f>
        <v>155800477.88650432</v>
      </c>
      <c r="G20" s="82">
        <f>'Rate Base'!G162*0.0287</f>
        <v>91248001.545737937</v>
      </c>
      <c r="H20" s="82">
        <f>'Rate Base'!H162*0.0287</f>
        <v>18740464.519233763</v>
      </c>
      <c r="I20" s="82">
        <f>'Rate Base'!I162*0.0287</f>
        <v>19279280.793507058</v>
      </c>
      <c r="J20" s="82">
        <f>'Rate Base'!J162*0.0287</f>
        <v>10538087.085181722</v>
      </c>
      <c r="K20" s="82">
        <f>'Rate Base'!K162*0.0287</f>
        <v>7970597.4533433868</v>
      </c>
      <c r="L20" s="82">
        <f>'Rate Base'!L162*0.0287</f>
        <v>39416.042526624726</v>
      </c>
      <c r="M20" s="82">
        <f>'Rate Base'!M162*0.0287</f>
        <v>937278.28078937228</v>
      </c>
      <c r="N20" s="82">
        <f>'Rate Base'!N162*0.0287</f>
        <v>1085722.4640087867</v>
      </c>
      <c r="O20" s="82">
        <f>'Rate Base'!O162*0.0287</f>
        <v>2505433.5261108372</v>
      </c>
      <c r="P20" s="82">
        <f>'Rate Base'!P162*0.0287</f>
        <v>1779684.8343840286</v>
      </c>
      <c r="Q20" s="82">
        <f>'Rate Base'!Q162*0.0287</f>
        <v>1624197.0560441937</v>
      </c>
      <c r="R20" s="82">
        <f>'Rate Base'!R162*0.0287</f>
        <v>52314.28563660381</v>
      </c>
      <c r="T20" s="85">
        <f t="shared" si="2"/>
        <v>0</v>
      </c>
    </row>
    <row r="21" spans="1:20" x14ac:dyDescent="0.25">
      <c r="A21" t="s">
        <v>577</v>
      </c>
      <c r="F21" s="82">
        <f>F18-F20</f>
        <v>196792609.38573393</v>
      </c>
      <c r="G21" s="82">
        <f t="shared" ref="G21:R21" si="7">G18-G20</f>
        <v>66784105.809160754</v>
      </c>
      <c r="H21" s="82">
        <f t="shared" si="7"/>
        <v>34520240.353465319</v>
      </c>
      <c r="I21" s="82">
        <f t="shared" si="7"/>
        <v>39673640.395917252</v>
      </c>
      <c r="J21" s="82">
        <f t="shared" si="7"/>
        <v>25688078.917389609</v>
      </c>
      <c r="K21" s="82">
        <f t="shared" si="7"/>
        <v>15433869.268027071</v>
      </c>
      <c r="L21" s="82">
        <f t="shared" ref="L21:M21" si="8">L18-L20</f>
        <v>-114414.60243012375</v>
      </c>
      <c r="M21" s="82">
        <f t="shared" si="8"/>
        <v>1570993.1427469694</v>
      </c>
      <c r="N21" s="82">
        <f t="shared" si="7"/>
        <v>1785710.0910233092</v>
      </c>
      <c r="O21" s="82">
        <f t="shared" si="7"/>
        <v>7908374.961796483</v>
      </c>
      <c r="P21" s="82">
        <f t="shared" si="7"/>
        <v>2375502.7772052735</v>
      </c>
      <c r="Q21" s="82">
        <f t="shared" si="7"/>
        <v>1408896.2369383548</v>
      </c>
      <c r="R21" s="82">
        <f t="shared" si="7"/>
        <v>-242387.96550595653</v>
      </c>
      <c r="T21" s="85">
        <f t="shared" si="2"/>
        <v>-3.2782554626464844E-7</v>
      </c>
    </row>
    <row r="22" spans="1:20" x14ac:dyDescent="0.25">
      <c r="A22" t="s">
        <v>545</v>
      </c>
      <c r="F22" s="82">
        <f>Expenses!F183</f>
        <v>14254091.317042813</v>
      </c>
      <c r="G22" s="82">
        <f>$F22/$F21*G21</f>
        <v>4837309.4177785534</v>
      </c>
      <c r="H22" s="82">
        <f t="shared" ref="H22:R22" si="9">$F22/$F21*H21</f>
        <v>2500371.6339777922</v>
      </c>
      <c r="I22" s="82">
        <f t="shared" si="9"/>
        <v>2873642.9424260617</v>
      </c>
      <c r="J22" s="82">
        <f t="shared" si="9"/>
        <v>1860640.1113883385</v>
      </c>
      <c r="K22" s="82">
        <f t="shared" si="9"/>
        <v>1117906.7273331594</v>
      </c>
      <c r="L22" s="82">
        <f t="shared" ref="L22:M22" si="10">$F22/$F21*L21</f>
        <v>-8287.2837355667452</v>
      </c>
      <c r="M22" s="82">
        <f t="shared" si="10"/>
        <v>113790.24743388924</v>
      </c>
      <c r="N22" s="82">
        <f t="shared" si="9"/>
        <v>129342.63528829601</v>
      </c>
      <c r="O22" s="82">
        <f t="shared" si="9"/>
        <v>572819.77827686619</v>
      </c>
      <c r="P22" s="82">
        <f t="shared" si="9"/>
        <v>172062.52620901237</v>
      </c>
      <c r="Q22" s="82">
        <f t="shared" si="9"/>
        <v>102049.23691109479</v>
      </c>
      <c r="R22" s="82">
        <f t="shared" si="9"/>
        <v>-17556.65624465566</v>
      </c>
      <c r="T22" s="85">
        <f t="shared" si="2"/>
        <v>-3.166496753692627E-8</v>
      </c>
    </row>
    <row r="23" spans="1:20" ht="15.75" thickBot="1" x14ac:dyDescent="0.3">
      <c r="A23" s="80"/>
      <c r="B23" s="81"/>
      <c r="C23" s="81"/>
      <c r="D23" s="81"/>
      <c r="E23" s="81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T23" s="85">
        <f t="shared" si="2"/>
        <v>0</v>
      </c>
    </row>
    <row r="24" spans="1:20" ht="15.75" thickTop="1" x14ac:dyDescent="0.25">
      <c r="A24" s="53" t="s">
        <v>546</v>
      </c>
      <c r="F24" s="82">
        <f>F18-F22</f>
        <v>338338995.95519543</v>
      </c>
      <c r="G24" s="82">
        <f t="shared" ref="G24:R24" si="11">G18-G22</f>
        <v>153194797.93712014</v>
      </c>
      <c r="H24" s="82">
        <f t="shared" si="11"/>
        <v>50760333.238721289</v>
      </c>
      <c r="I24" s="82">
        <f t="shared" si="11"/>
        <v>56079278.246998243</v>
      </c>
      <c r="J24" s="82">
        <f t="shared" si="11"/>
        <v>34365525.891182989</v>
      </c>
      <c r="K24" s="82">
        <f t="shared" si="11"/>
        <v>22286559.9940373</v>
      </c>
      <c r="L24" s="82">
        <f t="shared" si="11"/>
        <v>-66711.276167932287</v>
      </c>
      <c r="M24" s="82">
        <f t="shared" si="11"/>
        <v>2394481.1761024524</v>
      </c>
      <c r="N24" s="82">
        <f t="shared" si="11"/>
        <v>2742089.9197438001</v>
      </c>
      <c r="O24" s="82">
        <f t="shared" si="11"/>
        <v>9840988.709630454</v>
      </c>
      <c r="P24" s="82">
        <f t="shared" si="11"/>
        <v>3983125.0853802897</v>
      </c>
      <c r="Q24" s="82">
        <f t="shared" si="11"/>
        <v>2931044.0560714537</v>
      </c>
      <c r="R24" s="82">
        <f t="shared" si="11"/>
        <v>-172517.02362469706</v>
      </c>
      <c r="T24" s="85">
        <f t="shared" si="2"/>
        <v>0</v>
      </c>
    </row>
    <row r="25" spans="1:20" x14ac:dyDescent="0.25">
      <c r="A25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T25" s="85">
        <f t="shared" si="2"/>
        <v>0</v>
      </c>
    </row>
    <row r="26" spans="1:20" x14ac:dyDescent="0.25">
      <c r="A26" s="53" t="s">
        <v>547</v>
      </c>
      <c r="T26" s="85">
        <f t="shared" si="2"/>
        <v>0</v>
      </c>
    </row>
    <row r="27" spans="1:20" x14ac:dyDescent="0.25">
      <c r="A27"/>
      <c r="B27" t="s">
        <v>565</v>
      </c>
      <c r="F27" s="82">
        <f>SUM(G27:R27)</f>
        <v>10754417110.815201</v>
      </c>
      <c r="G27" s="82">
        <f>'Rate Base'!G76</f>
        <v>6337165314.3401642</v>
      </c>
      <c r="H27" s="82">
        <f>'Rate Base'!H76</f>
        <v>1343468356.6289742</v>
      </c>
      <c r="I27" s="82">
        <f>'Rate Base'!I76</f>
        <v>1304946744.632833</v>
      </c>
      <c r="J27" s="82">
        <f>'Rate Base'!J76</f>
        <v>712285448.51166141</v>
      </c>
      <c r="K27" s="82">
        <f>'Rate Base'!K76</f>
        <v>530775960.87052572</v>
      </c>
      <c r="L27" s="82">
        <f>'Rate Base'!L76</f>
        <v>2603135.7561466326</v>
      </c>
      <c r="M27" s="82">
        <f>'Rate Base'!M76</f>
        <v>61156103.19905059</v>
      </c>
      <c r="N27" s="82">
        <f>'Rate Base'!N76</f>
        <v>71745831.734148249</v>
      </c>
      <c r="O27" s="82">
        <f>'Rate Base'!O76</f>
        <v>170843892.89222786</v>
      </c>
      <c r="P27" s="82">
        <f>'Rate Base'!P76</f>
        <v>107482822.56439598</v>
      </c>
      <c r="Q27" s="82">
        <f>'Rate Base'!Q76</f>
        <v>108454906.12433451</v>
      </c>
      <c r="R27" s="82">
        <f>'Rate Base'!R76</f>
        <v>3488593.5607386129</v>
      </c>
      <c r="T27" s="85">
        <f t="shared" si="2"/>
        <v>0</v>
      </c>
    </row>
    <row r="28" spans="1:20" x14ac:dyDescent="0.25">
      <c r="A28"/>
      <c r="B28" s="36" t="s">
        <v>566</v>
      </c>
      <c r="C28" s="45"/>
      <c r="D28" s="45"/>
      <c r="E28" s="45"/>
      <c r="F28" s="83">
        <f>SUM(G28:R28)</f>
        <v>-4292153131.7526522</v>
      </c>
      <c r="G28" s="83">
        <f>'Rate Base'!G129</f>
        <v>-2544794865.3849325</v>
      </c>
      <c r="H28" s="83">
        <f>'Rate Base'!H129</f>
        <v>-531938668.85199749</v>
      </c>
      <c r="I28" s="83">
        <f>'Rate Base'!I129</f>
        <v>-521677312.00438738</v>
      </c>
      <c r="J28" s="83">
        <f>'Rate Base'!J129</f>
        <v>-288077140.92278922</v>
      </c>
      <c r="K28" s="83">
        <f>'Rate Base'!K129</f>
        <v>-209753684.93461606</v>
      </c>
      <c r="L28" s="83">
        <f>'Rate Base'!L129</f>
        <v>-969350.29627651698</v>
      </c>
      <c r="M28" s="83">
        <f>'Rate Base'!M129</f>
        <v>-22535343.831407912</v>
      </c>
      <c r="N28" s="83">
        <f>'Rate Base'!N129</f>
        <v>-25716669.625496347</v>
      </c>
      <c r="O28" s="83">
        <f>'Rate Base'!O129</f>
        <v>-71021151.943824664</v>
      </c>
      <c r="P28" s="83">
        <f>'Rate Base'!P129</f>
        <v>-33215368.876490988</v>
      </c>
      <c r="Q28" s="83">
        <f>'Rate Base'!Q129</f>
        <v>-41088449.399206415</v>
      </c>
      <c r="R28" s="83">
        <f>'Rate Base'!R129</f>
        <v>-1365125.6812260947</v>
      </c>
      <c r="T28" s="85">
        <f t="shared" si="2"/>
        <v>0</v>
      </c>
    </row>
    <row r="29" spans="1:20" x14ac:dyDescent="0.25">
      <c r="A29"/>
      <c r="B29" t="s">
        <v>567</v>
      </c>
      <c r="F29" s="82">
        <f>F27+F28</f>
        <v>6462263979.0625486</v>
      </c>
      <c r="G29" s="82">
        <f t="shared" ref="G29:R29" si="12">G27+G28</f>
        <v>3792370448.9552317</v>
      </c>
      <c r="H29" s="82">
        <f t="shared" si="12"/>
        <v>811529687.7769767</v>
      </c>
      <c r="I29" s="82">
        <f t="shared" si="12"/>
        <v>783269432.62844563</v>
      </c>
      <c r="J29" s="82">
        <f t="shared" si="12"/>
        <v>424208307.58887219</v>
      </c>
      <c r="K29" s="82">
        <f t="shared" si="12"/>
        <v>321022275.93590963</v>
      </c>
      <c r="L29" s="82">
        <f t="shared" si="12"/>
        <v>1633785.4598701156</v>
      </c>
      <c r="M29" s="82">
        <f t="shared" si="12"/>
        <v>38620759.367642678</v>
      </c>
      <c r="N29" s="82">
        <f t="shared" si="12"/>
        <v>46029162.108651906</v>
      </c>
      <c r="O29" s="82">
        <f t="shared" si="12"/>
        <v>99822740.948403195</v>
      </c>
      <c r="P29" s="82">
        <f t="shared" si="12"/>
        <v>74267453.687904984</v>
      </c>
      <c r="Q29" s="82">
        <f t="shared" si="12"/>
        <v>67366456.725128099</v>
      </c>
      <c r="R29" s="82">
        <f t="shared" si="12"/>
        <v>2123467.8795125182</v>
      </c>
      <c r="T29" s="85">
        <f t="shared" si="2"/>
        <v>0</v>
      </c>
    </row>
    <row r="30" spans="1:20" x14ac:dyDescent="0.25">
      <c r="A30"/>
      <c r="B30"/>
      <c r="F30" s="82"/>
      <c r="G30" s="82"/>
      <c r="H30" s="82"/>
      <c r="I30" s="82"/>
      <c r="J30" s="82"/>
      <c r="K30" s="82"/>
      <c r="L30" s="82"/>
      <c r="M30" s="82"/>
      <c r="N30" s="82"/>
      <c r="O30" s="82"/>
      <c r="P30" s="82"/>
      <c r="Q30" s="82"/>
      <c r="R30" s="82"/>
      <c r="T30" s="85">
        <f t="shared" si="2"/>
        <v>0</v>
      </c>
    </row>
    <row r="31" spans="1:20" x14ac:dyDescent="0.25">
      <c r="A31"/>
      <c r="B31" t="s">
        <v>290</v>
      </c>
      <c r="F31" s="82">
        <f t="shared" ref="F31:F32" si="13">SUM(G31:R31)</f>
        <v>137375215.95577022</v>
      </c>
      <c r="G31" s="82">
        <f>'Rate Base'!G134</f>
        <v>80949943.138192624</v>
      </c>
      <c r="H31" s="82">
        <f>'Rate Base'!H134</f>
        <v>17161251.392792515</v>
      </c>
      <c r="I31" s="82">
        <f>'Rate Base'!I134</f>
        <v>16669182.439877117</v>
      </c>
      <c r="J31" s="82">
        <f>'Rate Base'!J134</f>
        <v>9098621.1807833556</v>
      </c>
      <c r="K31" s="82">
        <f>'Rate Base'!K134</f>
        <v>6780047.8163890745</v>
      </c>
      <c r="L31" s="82">
        <f>'Rate Base'!L134</f>
        <v>33252.042670281335</v>
      </c>
      <c r="M31" s="82">
        <f>'Rate Base'!M134</f>
        <v>781198.34830788989</v>
      </c>
      <c r="N31" s="82">
        <f>'Rate Base'!N134</f>
        <v>916469.85855636571</v>
      </c>
      <c r="O31" s="82">
        <f>'Rate Base'!O134</f>
        <v>2182332.7511810851</v>
      </c>
      <c r="P31" s="82">
        <f>'Rate Base'!P134</f>
        <v>1372968.5030042862</v>
      </c>
      <c r="Q31" s="82">
        <f>'Rate Base'!Q134</f>
        <v>1385385.7439944386</v>
      </c>
      <c r="R31" s="82">
        <f>'Rate Base'!R134</f>
        <v>44562.740021160353</v>
      </c>
      <c r="T31" s="85">
        <f t="shared" si="2"/>
        <v>0</v>
      </c>
    </row>
    <row r="32" spans="1:20" x14ac:dyDescent="0.25">
      <c r="A32"/>
      <c r="B32" t="s">
        <v>568</v>
      </c>
      <c r="F32" s="82">
        <f t="shared" si="13"/>
        <v>-1171051115.3491802</v>
      </c>
      <c r="G32" s="82">
        <f>'Rate Base'!G158</f>
        <v>-693947515.9353081</v>
      </c>
      <c r="H32" s="82">
        <f>'Rate Base'!H158</f>
        <v>-175713081.3567462</v>
      </c>
      <c r="I32" s="82">
        <f>'Rate Base'!I158</f>
        <v>-128186671.0436866</v>
      </c>
      <c r="J32" s="82">
        <f>'Rate Base'!J158</f>
        <v>-66126194.094334185</v>
      </c>
      <c r="K32" s="82">
        <f>'Rate Base'!K158</f>
        <v>-50081158.130577944</v>
      </c>
      <c r="L32" s="82">
        <f>'Rate Base'!L158</f>
        <v>-293656.22983570275</v>
      </c>
      <c r="M32" s="82">
        <f>'Rate Base'!M158</f>
        <v>-6744177.8975055423</v>
      </c>
      <c r="N32" s="82">
        <f>'Rate Base'!N158</f>
        <v>-9115580.9564491566</v>
      </c>
      <c r="O32" s="82">
        <f>'Rate Base'!O158</f>
        <v>-14707738.295025483</v>
      </c>
      <c r="P32" s="82">
        <f>'Rate Base'!P158</f>
        <v>-13630497.647911768</v>
      </c>
      <c r="Q32" s="82">
        <f>'Rate Base'!Q158</f>
        <v>-12159610.551206382</v>
      </c>
      <c r="R32" s="82">
        <f>'Rate Base'!R158</f>
        <v>-345233.2105927791</v>
      </c>
      <c r="T32" s="85">
        <f t="shared" si="2"/>
        <v>0</v>
      </c>
    </row>
    <row r="33" spans="1:20" ht="15.75" thickBot="1" x14ac:dyDescent="0.3">
      <c r="A3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T33" s="85">
        <f t="shared" si="2"/>
        <v>0</v>
      </c>
    </row>
    <row r="34" spans="1:20" ht="15.75" thickTop="1" x14ac:dyDescent="0.25">
      <c r="A34" s="53" t="s">
        <v>312</v>
      </c>
      <c r="F34" s="85">
        <f>F29+F31+F32</f>
        <v>5428588079.6691389</v>
      </c>
      <c r="G34" s="85">
        <f t="shared" ref="G34:R34" si="14">G29+G31+G32</f>
        <v>3179372876.1581163</v>
      </c>
      <c r="H34" s="85">
        <f t="shared" si="14"/>
        <v>652977857.81302297</v>
      </c>
      <c r="I34" s="85">
        <f t="shared" si="14"/>
        <v>671751944.02463615</v>
      </c>
      <c r="J34" s="85">
        <f t="shared" si="14"/>
        <v>367180734.67532134</v>
      </c>
      <c r="K34" s="85">
        <f t="shared" si="14"/>
        <v>277721165.62172079</v>
      </c>
      <c r="L34" s="85">
        <f t="shared" si="14"/>
        <v>1373381.2727046942</v>
      </c>
      <c r="M34" s="85">
        <f t="shared" si="14"/>
        <v>32657779.818445027</v>
      </c>
      <c r="N34" s="85">
        <f t="shared" si="14"/>
        <v>37830051.010759115</v>
      </c>
      <c r="O34" s="85">
        <f t="shared" si="14"/>
        <v>87297335.404558793</v>
      </c>
      <c r="P34" s="85">
        <f t="shared" si="14"/>
        <v>62009924.542997494</v>
      </c>
      <c r="Q34" s="85">
        <f t="shared" si="14"/>
        <v>56592231.917916164</v>
      </c>
      <c r="R34" s="85">
        <f t="shared" si="14"/>
        <v>1822797.4089408994</v>
      </c>
      <c r="T34" s="85">
        <f t="shared" si="2"/>
        <v>0</v>
      </c>
    </row>
    <row r="35" spans="1:20" x14ac:dyDescent="0.25">
      <c r="A35"/>
      <c r="T35" s="85">
        <f t="shared" si="2"/>
        <v>0</v>
      </c>
    </row>
    <row r="36" spans="1:20" x14ac:dyDescent="0.25">
      <c r="A36" t="s">
        <v>548</v>
      </c>
      <c r="F36" s="86">
        <f>F24/F34</f>
        <v>6.23254133468562E-2</v>
      </c>
      <c r="G36" s="86">
        <f t="shared" ref="G36:R36" si="15">G24/G34</f>
        <v>4.8183967060270491E-2</v>
      </c>
      <c r="H36" s="86">
        <f t="shared" si="15"/>
        <v>7.7736683765556203E-2</v>
      </c>
      <c r="I36" s="86">
        <f t="shared" si="15"/>
        <v>8.3482122747592022E-2</v>
      </c>
      <c r="J36" s="86">
        <f t="shared" si="15"/>
        <v>9.3592943871553119E-2</v>
      </c>
      <c r="K36" s="86">
        <f t="shared" si="15"/>
        <v>8.0247970816863995E-2</v>
      </c>
      <c r="L36" s="86">
        <f t="shared" ref="L36:M36" si="16">L24/L34</f>
        <v>-4.8574476362673258E-2</v>
      </c>
      <c r="M36" s="86">
        <f t="shared" si="16"/>
        <v>7.3320390712844963E-2</v>
      </c>
      <c r="N36" s="86">
        <f t="shared" si="15"/>
        <v>7.2484436221456103E-2</v>
      </c>
      <c r="O36" s="86">
        <f t="shared" si="15"/>
        <v>0.11272954282080577</v>
      </c>
      <c r="P36" s="86">
        <f t="shared" si="15"/>
        <v>6.423367089599348E-2</v>
      </c>
      <c r="Q36" s="86">
        <f t="shared" si="15"/>
        <v>5.1792338925999021E-2</v>
      </c>
      <c r="R36" s="86">
        <f t="shared" si="15"/>
        <v>-9.4644101850536802E-2</v>
      </c>
      <c r="T36" s="85">
        <f t="shared" si="2"/>
        <v>-0.55226007627886897</v>
      </c>
    </row>
    <row r="37" spans="1:20" x14ac:dyDescent="0.25">
      <c r="A37" t="s">
        <v>549</v>
      </c>
      <c r="F37" s="86">
        <f>F36/$F36</f>
        <v>1</v>
      </c>
      <c r="G37" s="86">
        <f t="shared" ref="G37:R37" si="17">G36/$F36</f>
        <v>0.77310304854481915</v>
      </c>
      <c r="H37" s="86">
        <f t="shared" si="17"/>
        <v>1.2472710503006617</v>
      </c>
      <c r="I37" s="86">
        <f t="shared" si="17"/>
        <v>1.3394555810323079</v>
      </c>
      <c r="J37" s="86">
        <f t="shared" si="17"/>
        <v>1.501681879760435</v>
      </c>
      <c r="K37" s="86">
        <f t="shared" si="17"/>
        <v>1.2875641974528813</v>
      </c>
      <c r="L37" s="86">
        <f t="shared" ref="L37:M37" si="18">L36/$F36</f>
        <v>-0.77936869976849399</v>
      </c>
      <c r="M37" s="86">
        <f t="shared" si="18"/>
        <v>1.1764124259360949</v>
      </c>
      <c r="N37" s="86">
        <f t="shared" si="17"/>
        <v>1.1629996871109776</v>
      </c>
      <c r="O37" s="86">
        <f t="shared" si="17"/>
        <v>1.8087251534689106</v>
      </c>
      <c r="P37" s="86">
        <f t="shared" si="17"/>
        <v>1.0306176477084454</v>
      </c>
      <c r="Q37" s="86">
        <f t="shared" si="17"/>
        <v>0.8309987233901196</v>
      </c>
      <c r="R37" s="86">
        <f t="shared" si="17"/>
        <v>-1.5185475196741847</v>
      </c>
      <c r="T37" s="85">
        <f t="shared" si="2"/>
        <v>-8.860913175262974</v>
      </c>
    </row>
    <row r="38" spans="1:20" x14ac:dyDescent="0.25">
      <c r="A38"/>
      <c r="F38" s="86"/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T38" s="85"/>
    </row>
    <row r="39" spans="1:20" x14ac:dyDescent="0.25">
      <c r="A39" s="19"/>
      <c r="T39" s="85">
        <f t="shared" si="2"/>
        <v>0</v>
      </c>
    </row>
    <row r="40" spans="1:20" x14ac:dyDescent="0.25">
      <c r="A40" s="20" t="s">
        <v>550</v>
      </c>
      <c r="T40" s="85">
        <f t="shared" si="2"/>
        <v>0</v>
      </c>
    </row>
    <row r="41" spans="1:20" x14ac:dyDescent="0.25">
      <c r="A41" s="16" t="s">
        <v>551</v>
      </c>
      <c r="F41" s="86">
        <v>7.6200000000000004E-2</v>
      </c>
      <c r="G41" s="86">
        <v>7.6200000000000004E-2</v>
      </c>
      <c r="H41" s="86">
        <v>7.6200000000000004E-2</v>
      </c>
      <c r="I41" s="86">
        <v>7.6200000000000004E-2</v>
      </c>
      <c r="J41" s="86">
        <v>7.6200000000000004E-2</v>
      </c>
      <c r="K41" s="86">
        <v>7.6200000000000004E-2</v>
      </c>
      <c r="L41" s="86">
        <v>7.6200000000000004E-2</v>
      </c>
      <c r="M41" s="86">
        <v>7.6200000000000004E-2</v>
      </c>
      <c r="N41" s="86">
        <v>7.6200000000000004E-2</v>
      </c>
      <c r="O41" s="86">
        <v>7.6200000000000004E-2</v>
      </c>
      <c r="P41" s="86">
        <v>7.6200000000000004E-2</v>
      </c>
      <c r="Q41" s="86">
        <v>7.6200000000000004E-2</v>
      </c>
      <c r="R41" s="86">
        <v>7.6200000000000004E-2</v>
      </c>
      <c r="T41" s="85">
        <f t="shared" si="2"/>
        <v>-0.83820000000000017</v>
      </c>
    </row>
    <row r="42" spans="1:20" x14ac:dyDescent="0.25">
      <c r="A42" s="19" t="s">
        <v>552</v>
      </c>
      <c r="F42" s="82">
        <f>F34*F41</f>
        <v>413658411.67078841</v>
      </c>
      <c r="G42" s="82">
        <f>G34*G41</f>
        <v>242268213.16324848</v>
      </c>
      <c r="H42" s="82">
        <f t="shared" ref="H42:R42" si="19">H34*H41</f>
        <v>49756912.765352353</v>
      </c>
      <c r="I42" s="82">
        <f t="shared" si="19"/>
        <v>51187498.134677276</v>
      </c>
      <c r="J42" s="82">
        <f t="shared" si="19"/>
        <v>27979171.982259486</v>
      </c>
      <c r="K42" s="82">
        <f t="shared" si="19"/>
        <v>21162352.820375126</v>
      </c>
      <c r="L42" s="82">
        <f t="shared" ref="L42:M42" si="20">L34*L41</f>
        <v>104651.6529800977</v>
      </c>
      <c r="M42" s="82">
        <f t="shared" si="20"/>
        <v>2488522.8221655111</v>
      </c>
      <c r="N42" s="82">
        <f t="shared" si="19"/>
        <v>2882649.8870198447</v>
      </c>
      <c r="O42" s="82">
        <f t="shared" si="19"/>
        <v>6652056.9578273799</v>
      </c>
      <c r="P42" s="82">
        <f t="shared" si="19"/>
        <v>4725156.2501764093</v>
      </c>
      <c r="Q42" s="82">
        <f t="shared" si="19"/>
        <v>4312328.0721452115</v>
      </c>
      <c r="R42" s="82">
        <f t="shared" si="19"/>
        <v>138897.16256129654</v>
      </c>
      <c r="T42" s="85">
        <f t="shared" si="2"/>
        <v>0</v>
      </c>
    </row>
    <row r="43" spans="1:20" x14ac:dyDescent="0.25">
      <c r="A43" s="19" t="s">
        <v>553</v>
      </c>
      <c r="F43" s="85">
        <f>F42-F24</f>
        <v>75319415.71559298</v>
      </c>
      <c r="G43" s="85">
        <f t="shared" ref="G43:R43" si="21">G42-G24</f>
        <v>89073415.22612834</v>
      </c>
      <c r="H43" s="85">
        <f t="shared" si="21"/>
        <v>-1003420.4733689353</v>
      </c>
      <c r="I43" s="85">
        <f t="shared" si="21"/>
        <v>-4891780.112320967</v>
      </c>
      <c r="J43" s="85">
        <f t="shared" si="21"/>
        <v>-6386353.908923503</v>
      </c>
      <c r="K43" s="85">
        <f t="shared" si="21"/>
        <v>-1124207.1736621745</v>
      </c>
      <c r="L43" s="85">
        <f t="shared" ref="L43:M43" si="22">L42-L24</f>
        <v>171362.92914803</v>
      </c>
      <c r="M43" s="85">
        <f t="shared" si="22"/>
        <v>94041.646063058637</v>
      </c>
      <c r="N43" s="85">
        <f t="shared" si="21"/>
        <v>140559.96727604466</v>
      </c>
      <c r="O43" s="85">
        <f t="shared" si="21"/>
        <v>-3188931.751803074</v>
      </c>
      <c r="P43" s="85">
        <f t="shared" si="21"/>
        <v>742031.16479611956</v>
      </c>
      <c r="Q43" s="85">
        <f t="shared" si="21"/>
        <v>1381284.0160737578</v>
      </c>
      <c r="R43" s="85">
        <f t="shared" si="21"/>
        <v>311414.1861859936</v>
      </c>
      <c r="T43" s="85">
        <f t="shared" si="2"/>
        <v>2.6822090148925781E-7</v>
      </c>
    </row>
    <row r="44" spans="1:20" x14ac:dyDescent="0.25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T44" s="85">
        <f t="shared" si="2"/>
        <v>0</v>
      </c>
    </row>
    <row r="45" spans="1:20" x14ac:dyDescent="0.25">
      <c r="A45" s="19" t="s">
        <v>554</v>
      </c>
      <c r="T45" s="85">
        <f t="shared" si="2"/>
        <v>0</v>
      </c>
    </row>
    <row r="46" spans="1:20" x14ac:dyDescent="0.25">
      <c r="A46" s="19" t="s">
        <v>555</v>
      </c>
      <c r="D46" s="42">
        <v>18</v>
      </c>
      <c r="F46" s="82">
        <v>849946</v>
      </c>
      <c r="G46" s="39">
        <f t="shared" ref="G46:R48" si="23">INDEX(Alloc,($D46),(G$1))*$F46</f>
        <v>752527.32794627757</v>
      </c>
      <c r="H46" s="39">
        <f t="shared" si="23"/>
        <v>54130.745403915935</v>
      </c>
      <c r="I46" s="39">
        <f t="shared" si="23"/>
        <v>8752.0748021634117</v>
      </c>
      <c r="J46" s="39">
        <f t="shared" si="23"/>
        <v>13664.332028457378</v>
      </c>
      <c r="K46" s="39">
        <f t="shared" si="23"/>
        <v>18706.082707951547</v>
      </c>
      <c r="L46" s="39">
        <f t="shared" si="23"/>
        <v>0</v>
      </c>
      <c r="M46" s="39">
        <f t="shared" si="23"/>
        <v>0</v>
      </c>
      <c r="N46" s="39">
        <f t="shared" si="23"/>
        <v>0</v>
      </c>
      <c r="O46" s="39">
        <f t="shared" si="23"/>
        <v>0</v>
      </c>
      <c r="P46" s="39">
        <f t="shared" si="23"/>
        <v>0</v>
      </c>
      <c r="Q46" s="39">
        <f t="shared" si="23"/>
        <v>2165.4371112341328</v>
      </c>
      <c r="R46" s="39">
        <f t="shared" si="23"/>
        <v>0</v>
      </c>
      <c r="T46" s="85">
        <f t="shared" si="2"/>
        <v>0</v>
      </c>
    </row>
    <row r="47" spans="1:20" x14ac:dyDescent="0.25">
      <c r="A47" s="19" t="s">
        <v>556</v>
      </c>
      <c r="D47" s="42">
        <v>83</v>
      </c>
      <c r="F47" s="82">
        <v>200483</v>
      </c>
      <c r="G47" s="39">
        <f t="shared" si="23"/>
        <v>108676.5432436446</v>
      </c>
      <c r="H47" s="39">
        <f t="shared" si="23"/>
        <v>26566.629880604189</v>
      </c>
      <c r="I47" s="39">
        <f t="shared" si="23"/>
        <v>28455.283815928255</v>
      </c>
      <c r="J47" s="39">
        <f t="shared" si="23"/>
        <v>17190.997498702163</v>
      </c>
      <c r="K47" s="39">
        <f t="shared" si="23"/>
        <v>12207.733763536982</v>
      </c>
      <c r="L47" s="39">
        <f t="shared" si="23"/>
        <v>41.491783224842465</v>
      </c>
      <c r="M47" s="39">
        <f t="shared" si="23"/>
        <v>928.10636205406377</v>
      </c>
      <c r="N47" s="39">
        <f t="shared" si="23"/>
        <v>169.79097382175311</v>
      </c>
      <c r="O47" s="39">
        <f t="shared" si="23"/>
        <v>4781.0795863279891</v>
      </c>
      <c r="P47" s="39">
        <f t="shared" si="23"/>
        <v>327.89728270270149</v>
      </c>
      <c r="Q47" s="39">
        <f t="shared" si="23"/>
        <v>1068.04445515064</v>
      </c>
      <c r="R47" s="39">
        <f t="shared" si="23"/>
        <v>69.401354301884609</v>
      </c>
      <c r="T47" s="85">
        <f t="shared" si="2"/>
        <v>0</v>
      </c>
    </row>
    <row r="48" spans="1:20" x14ac:dyDescent="0.25">
      <c r="A48" s="19" t="s">
        <v>557</v>
      </c>
      <c r="D48" s="42">
        <v>77</v>
      </c>
      <c r="F48" s="82">
        <v>3849868</v>
      </c>
      <c r="G48" s="39">
        <f t="shared" si="23"/>
        <v>2225572.9159867773</v>
      </c>
      <c r="H48" s="39">
        <f t="shared" si="23"/>
        <v>487736.23126171867</v>
      </c>
      <c r="I48" s="39">
        <f t="shared" si="23"/>
        <v>487929.98371189344</v>
      </c>
      <c r="J48" s="39">
        <f t="shared" si="23"/>
        <v>281690.1697406008</v>
      </c>
      <c r="K48" s="39">
        <f t="shared" si="23"/>
        <v>206656.73313061192</v>
      </c>
      <c r="L48" s="39">
        <f t="shared" si="23"/>
        <v>843.01061054652678</v>
      </c>
      <c r="M48" s="39">
        <f t="shared" si="23"/>
        <v>19677.527287244484</v>
      </c>
      <c r="N48" s="39">
        <f t="shared" si="23"/>
        <v>11913.732978771848</v>
      </c>
      <c r="O48" s="39">
        <f t="shared" si="23"/>
        <v>73069.392106783504</v>
      </c>
      <c r="P48" s="39">
        <f t="shared" si="23"/>
        <v>21185.922609926529</v>
      </c>
      <c r="Q48" s="39">
        <f t="shared" si="23"/>
        <v>32344.244692626104</v>
      </c>
      <c r="R48" s="39">
        <f t="shared" si="23"/>
        <v>1248.1358824985664</v>
      </c>
      <c r="T48" s="85">
        <f t="shared" si="2"/>
        <v>0</v>
      </c>
    </row>
    <row r="49" spans="1:20" s="108" customFormat="1" x14ac:dyDescent="0.25">
      <c r="A49" s="63" t="s">
        <v>578</v>
      </c>
      <c r="C49" s="112">
        <f>F49/(F49+F43)</f>
        <v>0.20999984236418964</v>
      </c>
      <c r="F49" s="113">
        <v>20021597.81154</v>
      </c>
      <c r="G49" s="113">
        <f>G43*($C49/(1-$C49))</f>
        <v>23677720.789709184</v>
      </c>
      <c r="H49" s="113">
        <f t="shared" ref="H49:R49" si="24">H43*($C49/(1-$C49))</f>
        <v>-266731.77112151653</v>
      </c>
      <c r="I49" s="113">
        <f t="shared" si="24"/>
        <v>-1300345.3765654224</v>
      </c>
      <c r="J49" s="113">
        <f t="shared" si="24"/>
        <v>-1697636.7677816637</v>
      </c>
      <c r="K49" s="113">
        <f t="shared" si="24"/>
        <v>-298839.59765307046</v>
      </c>
      <c r="L49" s="113">
        <f t="shared" si="24"/>
        <v>45552.127756336107</v>
      </c>
      <c r="M49" s="113">
        <f t="shared" si="24"/>
        <v>24998.388491481015</v>
      </c>
      <c r="N49" s="113">
        <f t="shared" si="24"/>
        <v>37364.006431366579</v>
      </c>
      <c r="O49" s="113">
        <f t="shared" si="24"/>
        <v>-847689.91337027622</v>
      </c>
      <c r="P49" s="113">
        <f t="shared" si="24"/>
        <v>197248.6032190604</v>
      </c>
      <c r="Q49" s="113">
        <f t="shared" si="24"/>
        <v>367176.41488039523</v>
      </c>
      <c r="R49" s="113">
        <f t="shared" si="24"/>
        <v>82780.907544045083</v>
      </c>
      <c r="T49" s="114">
        <f t="shared" si="2"/>
        <v>8.1956386566162109E-8</v>
      </c>
    </row>
    <row r="50" spans="1:20" x14ac:dyDescent="0.25">
      <c r="A50" s="19"/>
      <c r="T50" s="85">
        <f t="shared" si="2"/>
        <v>0</v>
      </c>
    </row>
    <row r="51" spans="1:20" s="94" customFormat="1" ht="15.75" thickBot="1" x14ac:dyDescent="0.3">
      <c r="A51" s="28" t="s">
        <v>558</v>
      </c>
      <c r="B51" s="92"/>
      <c r="C51" s="92"/>
      <c r="D51" s="92"/>
      <c r="E51" s="92"/>
      <c r="F51" s="93">
        <f>SUM(F43,F46:F49)</f>
        <v>100241310.52713299</v>
      </c>
      <c r="G51" s="93">
        <f t="shared" ref="G51:R51" si="25">SUM(G43,G46:G49)</f>
        <v>115837912.80301422</v>
      </c>
      <c r="H51" s="93">
        <f t="shared" si="25"/>
        <v>-701718.63794421311</v>
      </c>
      <c r="I51" s="93">
        <f t="shared" si="25"/>
        <v>-5666988.1465564054</v>
      </c>
      <c r="J51" s="93">
        <f t="shared" si="25"/>
        <v>-7771445.177437407</v>
      </c>
      <c r="K51" s="93">
        <f t="shared" si="25"/>
        <v>-1185476.2217131446</v>
      </c>
      <c r="L51" s="93">
        <f t="shared" si="25"/>
        <v>217799.55929813749</v>
      </c>
      <c r="M51" s="93">
        <f t="shared" si="25"/>
        <v>139645.6682038382</v>
      </c>
      <c r="N51" s="93">
        <f t="shared" si="25"/>
        <v>190007.49766000482</v>
      </c>
      <c r="O51" s="93">
        <f t="shared" si="25"/>
        <v>-3958771.1934802388</v>
      </c>
      <c r="P51" s="93">
        <f t="shared" si="25"/>
        <v>960793.5879078093</v>
      </c>
      <c r="Q51" s="93">
        <f t="shared" si="25"/>
        <v>1784038.1572131638</v>
      </c>
      <c r="R51" s="93">
        <f t="shared" si="25"/>
        <v>395512.63096683915</v>
      </c>
      <c r="T51" s="85">
        <f t="shared" si="2"/>
        <v>3.5762786865234375E-7</v>
      </c>
    </row>
    <row r="52" spans="1:20" ht="15.75" thickTop="1" x14ac:dyDescent="0.25">
      <c r="A52" s="19"/>
      <c r="T52" s="85">
        <f t="shared" si="2"/>
        <v>0</v>
      </c>
    </row>
    <row r="53" spans="1:20" x14ac:dyDescent="0.25">
      <c r="A53" s="19" t="s">
        <v>559</v>
      </c>
      <c r="F53" s="85">
        <f>F11+F51</f>
        <v>2179544361.4741774</v>
      </c>
      <c r="G53" s="85">
        <f t="shared" ref="G53:R53" si="26">G11+G51</f>
        <v>1267266983.4159601</v>
      </c>
      <c r="H53" s="85">
        <f t="shared" si="26"/>
        <v>274334280.92351919</v>
      </c>
      <c r="I53" s="85">
        <f t="shared" si="26"/>
        <v>273942812.84032768</v>
      </c>
      <c r="J53" s="85">
        <f t="shared" si="26"/>
        <v>157557887.35811913</v>
      </c>
      <c r="K53" s="85">
        <f t="shared" si="26"/>
        <v>116131855.65544893</v>
      </c>
      <c r="L53" s="85">
        <f t="shared" si="26"/>
        <v>500153.82820133667</v>
      </c>
      <c r="M53" s="85">
        <f t="shared" si="26"/>
        <v>11118671.653762491</v>
      </c>
      <c r="N53" s="85">
        <f t="shared" si="26"/>
        <v>6794288.7410996957</v>
      </c>
      <c r="O53" s="85">
        <f t="shared" si="26"/>
        <v>40486506.413871124</v>
      </c>
      <c r="P53" s="85">
        <f t="shared" si="26"/>
        <v>12154026.277187806</v>
      </c>
      <c r="Q53" s="85">
        <f t="shared" si="26"/>
        <v>18509386.039060839</v>
      </c>
      <c r="R53" s="85">
        <f t="shared" si="26"/>
        <v>747508.32761920698</v>
      </c>
      <c r="T53" s="85">
        <f t="shared" si="2"/>
        <v>0</v>
      </c>
    </row>
    <row r="54" spans="1:20" x14ac:dyDescent="0.25">
      <c r="A54" s="19" t="s">
        <v>560</v>
      </c>
      <c r="F54" s="85">
        <f>SUM(F9:F10)</f>
        <v>82300667.0058126</v>
      </c>
      <c r="G54" s="85">
        <f t="shared" ref="G54:R54" si="27">SUM(G9:G10)</f>
        <v>45532557.32290633</v>
      </c>
      <c r="H54" s="85">
        <f t="shared" si="27"/>
        <v>11645608.34742363</v>
      </c>
      <c r="I54" s="85">
        <f t="shared" si="27"/>
        <v>8906543.7669016048</v>
      </c>
      <c r="J54" s="85">
        <f t="shared" si="27"/>
        <v>5048493.4053069698</v>
      </c>
      <c r="K54" s="85">
        <f t="shared" si="27"/>
        <v>4062112.785127108</v>
      </c>
      <c r="L54" s="85">
        <f t="shared" si="27"/>
        <v>14340.268685402036</v>
      </c>
      <c r="M54" s="85">
        <f t="shared" si="27"/>
        <v>291879.97687392315</v>
      </c>
      <c r="N54" s="85">
        <f t="shared" si="27"/>
        <v>1110728.2434396907</v>
      </c>
      <c r="O54" s="85">
        <f t="shared" si="27"/>
        <v>4317033.5747418161</v>
      </c>
      <c r="P54" s="85">
        <f t="shared" si="27"/>
        <v>1075860.9092799951</v>
      </c>
      <c r="Q54" s="85">
        <f t="shared" si="27"/>
        <v>267853.86847376783</v>
      </c>
      <c r="R54" s="85">
        <f t="shared" si="27"/>
        <v>27654.536652367766</v>
      </c>
      <c r="T54" s="85">
        <f t="shared" si="2"/>
        <v>0</v>
      </c>
    </row>
    <row r="55" spans="1:20" x14ac:dyDescent="0.25">
      <c r="A55" s="24" t="s">
        <v>561</v>
      </c>
      <c r="B55" s="50"/>
      <c r="C55" s="50"/>
      <c r="D55" s="50"/>
      <c r="E55" s="50"/>
      <c r="F55" s="95">
        <f>F53-F54</f>
        <v>2097243694.4683647</v>
      </c>
      <c r="G55" s="95">
        <f t="shared" ref="G55:R55" si="28">G53-G54</f>
        <v>1221734426.0930538</v>
      </c>
      <c r="H55" s="95">
        <f>H53-H54</f>
        <v>262688672.57609555</v>
      </c>
      <c r="I55" s="95">
        <f t="shared" si="28"/>
        <v>265036269.07342607</v>
      </c>
      <c r="J55" s="95">
        <f t="shared" si="28"/>
        <v>152509393.95281217</v>
      </c>
      <c r="K55" s="95">
        <f t="shared" si="28"/>
        <v>112069742.87032183</v>
      </c>
      <c r="L55" s="95">
        <f t="shared" si="28"/>
        <v>485813.55951593461</v>
      </c>
      <c r="M55" s="95">
        <f t="shared" si="28"/>
        <v>10826791.676888568</v>
      </c>
      <c r="N55" s="95">
        <f t="shared" si="28"/>
        <v>5683560.4976600055</v>
      </c>
      <c r="O55" s="95">
        <f t="shared" si="28"/>
        <v>36169472.839129306</v>
      </c>
      <c r="P55" s="95">
        <f t="shared" si="28"/>
        <v>11078165.367907811</v>
      </c>
      <c r="Q55" s="95">
        <f t="shared" si="28"/>
        <v>18241532.17058707</v>
      </c>
      <c r="R55" s="95">
        <f t="shared" si="28"/>
        <v>719853.79096683918</v>
      </c>
      <c r="T55" s="85">
        <f t="shared" si="2"/>
        <v>0</v>
      </c>
    </row>
    <row r="56" spans="1:20" x14ac:dyDescent="0.25">
      <c r="A56" s="16" t="s">
        <v>562</v>
      </c>
      <c r="F56" s="86">
        <f xml:space="preserve"> IF(F8=0,0,(F55/F8)-1)</f>
        <v>5.0195889265439497E-2</v>
      </c>
      <c r="G56" s="86">
        <f t="shared" ref="G56:R56" si="29" xml:space="preserve"> IF(G8=0,0,(G55/G8)-1)</f>
        <v>0.10474570758740986</v>
      </c>
      <c r="H56" s="86">
        <f t="shared" si="29"/>
        <v>-2.6641770594205694E-3</v>
      </c>
      <c r="I56" s="86">
        <f t="shared" si="29"/>
        <v>-2.0934318281775388E-2</v>
      </c>
      <c r="J56" s="86">
        <f t="shared" si="29"/>
        <v>-4.8486426821873985E-2</v>
      </c>
      <c r="K56" s="86">
        <f t="shared" si="29"/>
        <v>-1.046729882487607E-2</v>
      </c>
      <c r="L56" s="86">
        <f t="shared" si="29"/>
        <v>0.81264247062148365</v>
      </c>
      <c r="M56" s="86">
        <f t="shared" si="29"/>
        <v>1.306669414737649E-2</v>
      </c>
      <c r="N56" s="86">
        <f t="shared" si="29"/>
        <v>3.4587360431401315E-2</v>
      </c>
      <c r="O56" s="86">
        <f t="shared" si="29"/>
        <v>-9.865298841043757E-2</v>
      </c>
      <c r="P56" s="86">
        <f t="shared" si="29"/>
        <v>9.4964740725165919E-2</v>
      </c>
      <c r="Q56" s="86">
        <f t="shared" si="29"/>
        <v>0.10840278330123621</v>
      </c>
      <c r="R56" s="86">
        <f t="shared" si="29"/>
        <v>1.2194339779966228</v>
      </c>
      <c r="T56" s="85">
        <f t="shared" si="2"/>
        <v>-2.1564426361468731</v>
      </c>
    </row>
    <row r="57" spans="1:20" ht="15.75" thickBot="1" x14ac:dyDescent="0.3">
      <c r="A57" s="81"/>
      <c r="T57" s="85">
        <f t="shared" si="2"/>
        <v>0</v>
      </c>
    </row>
    <row r="58" spans="1:20" ht="15.75" thickTop="1" x14ac:dyDescent="0.25">
      <c r="A58" s="19"/>
      <c r="B58" s="90"/>
      <c r="C58" s="90"/>
      <c r="D58" s="90"/>
      <c r="E58" s="90"/>
      <c r="F58" s="90"/>
      <c r="G58" s="90"/>
      <c r="H58" s="90"/>
      <c r="I58" s="90"/>
      <c r="J58" s="90"/>
      <c r="K58" s="90"/>
      <c r="L58" s="90"/>
      <c r="M58" s="90"/>
      <c r="N58" s="90"/>
      <c r="O58" s="90"/>
      <c r="P58" s="90"/>
      <c r="Q58" s="90"/>
      <c r="R58" s="90"/>
      <c r="T58" s="85">
        <f t="shared" si="2"/>
        <v>0</v>
      </c>
    </row>
    <row r="59" spans="1:20" x14ac:dyDescent="0.25">
      <c r="A59" s="24" t="s">
        <v>563</v>
      </c>
      <c r="F59" s="91">
        <f t="shared" ref="F59:R59" si="30">F8/F55</f>
        <v>0.95220330818420074</v>
      </c>
      <c r="G59" s="91">
        <f t="shared" si="30"/>
        <v>0.9051856849336325</v>
      </c>
      <c r="H59" s="91">
        <f t="shared" si="30"/>
        <v>1.0026712938592393</v>
      </c>
      <c r="I59" s="91">
        <f t="shared" si="30"/>
        <v>1.0213819345041657</v>
      </c>
      <c r="J59" s="91">
        <f t="shared" si="30"/>
        <v>1.0509571573003691</v>
      </c>
      <c r="K59" s="91">
        <f t="shared" si="30"/>
        <v>1.0105780221436296</v>
      </c>
      <c r="L59" s="91">
        <f t="shared" ref="L59:M59" si="31">L8/L55</f>
        <v>0.55168077335026766</v>
      </c>
      <c r="M59" s="91">
        <f t="shared" si="31"/>
        <v>0.98710184213649066</v>
      </c>
      <c r="N59" s="91">
        <f t="shared" si="30"/>
        <v>0.96656893196822058</v>
      </c>
      <c r="O59" s="91">
        <f t="shared" si="30"/>
        <v>1.1094506190645255</v>
      </c>
      <c r="P59" s="91">
        <f t="shared" si="30"/>
        <v>0.91327141670126</v>
      </c>
      <c r="Q59" s="91">
        <f t="shared" si="30"/>
        <v>0.90219910583554086</v>
      </c>
      <c r="R59" s="91">
        <f t="shared" si="30"/>
        <v>0.45056532877930089</v>
      </c>
      <c r="T59" s="85">
        <f t="shared" si="2"/>
        <v>-9.9194088023924412</v>
      </c>
    </row>
    <row r="60" spans="1:20" x14ac:dyDescent="0.25">
      <c r="A60" s="24" t="s">
        <v>564</v>
      </c>
      <c r="B60" s="50"/>
      <c r="C60" s="50"/>
      <c r="D60" s="50"/>
      <c r="E60" s="50"/>
      <c r="F60" s="96">
        <f>F59/$F$59</f>
        <v>1</v>
      </c>
      <c r="G60" s="96">
        <f t="shared" ref="G60:R60" si="32">G59/$F$59</f>
        <v>0.95062228533922211</v>
      </c>
      <c r="H60" s="96">
        <f t="shared" si="32"/>
        <v>1.0530012710954326</v>
      </c>
      <c r="I60" s="96">
        <f t="shared" si="32"/>
        <v>1.0726511089862572</v>
      </c>
      <c r="J60" s="96">
        <f t="shared" si="32"/>
        <v>1.1037108863909395</v>
      </c>
      <c r="K60" s="96">
        <f t="shared" si="32"/>
        <v>1.0613048846372379</v>
      </c>
      <c r="L60" s="96">
        <f t="shared" ref="L60:M60" si="33">L59/$F$59</f>
        <v>0.57937288035922974</v>
      </c>
      <c r="M60" s="96">
        <f t="shared" si="33"/>
        <v>1.0366502968980853</v>
      </c>
      <c r="N60" s="96">
        <f t="shared" si="32"/>
        <v>1.0150867190447115</v>
      </c>
      <c r="O60" s="96">
        <f t="shared" si="32"/>
        <v>1.1651404794845617</v>
      </c>
      <c r="P60" s="96">
        <f t="shared" si="32"/>
        <v>0.95911388760328742</v>
      </c>
      <c r="Q60" s="96">
        <f t="shared" si="32"/>
        <v>0.94748579224744012</v>
      </c>
      <c r="R60" s="96">
        <f t="shared" si="32"/>
        <v>0.47318185612955299</v>
      </c>
      <c r="T60" s="85">
        <f t="shared" si="2"/>
        <v>-10.417322348215958</v>
      </c>
    </row>
    <row r="61" spans="1:20" x14ac:dyDescent="0.25">
      <c r="A61" s="20"/>
    </row>
    <row r="62" spans="1:20" x14ac:dyDescent="0.25">
      <c r="A62" s="19"/>
    </row>
  </sheetData>
  <pageMargins left="0.7" right="0.7" top="0.75" bottom="0.75" header="0.3" footer="0.3"/>
  <pageSetup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26E4F-C6D1-4715-AC89-DA9BA4A82A91}">
  <dimension ref="A1:T179"/>
  <sheetViews>
    <sheetView topLeftCell="C145" zoomScale="85" zoomScaleNormal="85" workbookViewId="0">
      <selection activeCell="G162" sqref="G162:R162"/>
    </sheetView>
  </sheetViews>
  <sheetFormatPr defaultRowHeight="15" x14ac:dyDescent="0.25"/>
  <cols>
    <col min="1" max="1" width="11.5703125" style="19" bestFit="1" customWidth="1"/>
    <col min="2" max="2" width="55.42578125" style="19" bestFit="1" customWidth="1"/>
    <col min="3" max="3" width="46.85546875" style="19" bestFit="1" customWidth="1"/>
    <col min="4" max="4" width="10.5703125" style="19" customWidth="1"/>
    <col min="5" max="5" width="15.5703125" style="19" bestFit="1" customWidth="1"/>
    <col min="6" max="6" width="16.140625" style="19" bestFit="1" customWidth="1"/>
    <col min="7" max="7" width="16.42578125" bestFit="1" customWidth="1"/>
    <col min="8" max="8" width="14.42578125" bestFit="1" customWidth="1"/>
    <col min="9" max="9" width="16" bestFit="1" customWidth="1"/>
    <col min="10" max="11" width="14.42578125" bestFit="1" customWidth="1"/>
    <col min="12" max="13" width="13.7109375" customWidth="1"/>
    <col min="14" max="14" width="13.140625" bestFit="1" customWidth="1"/>
    <col min="15" max="16" width="13.5703125" bestFit="1" customWidth="1"/>
    <col min="17" max="17" width="13.42578125" bestFit="1" customWidth="1"/>
    <col min="18" max="18" width="12.28515625" bestFit="1" customWidth="1"/>
    <col min="20" max="20" width="15.28515625" bestFit="1" customWidth="1"/>
  </cols>
  <sheetData>
    <row r="1" spans="1:20" x14ac:dyDescent="0.25">
      <c r="C1" s="19">
        <v>2</v>
      </c>
      <c r="D1" s="19">
        <v>3</v>
      </c>
      <c r="F1" s="19">
        <f>D1+1</f>
        <v>4</v>
      </c>
      <c r="G1" s="19">
        <f>F1+1</f>
        <v>5</v>
      </c>
      <c r="H1" s="19">
        <f t="shared" ref="H1:K1" si="0">G1+1</f>
        <v>6</v>
      </c>
      <c r="I1" s="19">
        <f t="shared" si="0"/>
        <v>7</v>
      </c>
      <c r="J1" s="19">
        <f t="shared" si="0"/>
        <v>8</v>
      </c>
      <c r="K1" s="19">
        <f t="shared" si="0"/>
        <v>9</v>
      </c>
      <c r="L1" s="19">
        <f t="shared" ref="L1" si="1">K1+1</f>
        <v>10</v>
      </c>
      <c r="M1" s="19">
        <f t="shared" ref="M1" si="2">L1+1</f>
        <v>11</v>
      </c>
      <c r="N1" s="19">
        <f t="shared" ref="N1" si="3">M1+1</f>
        <v>12</v>
      </c>
      <c r="O1" s="19">
        <f t="shared" ref="O1" si="4">N1+1</f>
        <v>13</v>
      </c>
      <c r="P1" s="19">
        <f t="shared" ref="P1" si="5">O1+1</f>
        <v>14</v>
      </c>
      <c r="Q1" s="19">
        <f t="shared" ref="Q1" si="6">P1+1</f>
        <v>15</v>
      </c>
      <c r="R1" s="19">
        <f t="shared" ref="R1" si="7">Q1+1</f>
        <v>16</v>
      </c>
    </row>
    <row r="7" spans="1:20" ht="51.75" x14ac:dyDescent="0.25">
      <c r="D7" s="19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A8" s="34"/>
      <c r="B8" s="35" t="s">
        <v>180</v>
      </c>
      <c r="C8" s="34" t="s">
        <v>181</v>
      </c>
      <c r="D8" s="34" t="s">
        <v>321</v>
      </c>
      <c r="E8" s="34"/>
      <c r="F8" s="34" t="s">
        <v>1</v>
      </c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</row>
    <row r="9" spans="1:20" x14ac:dyDescent="0.25">
      <c r="A9" s="16"/>
      <c r="B9" s="20" t="s">
        <v>182</v>
      </c>
      <c r="C9" s="21"/>
      <c r="D9" s="21"/>
      <c r="E9" s="21"/>
      <c r="F9" s="21"/>
    </row>
    <row r="10" spans="1:20" x14ac:dyDescent="0.25">
      <c r="A10" s="16"/>
      <c r="B10" s="16"/>
      <c r="C10" s="21"/>
      <c r="D10" s="21"/>
      <c r="E10" s="21"/>
      <c r="F10" s="21"/>
    </row>
    <row r="11" spans="1:20" x14ac:dyDescent="0.25">
      <c r="A11" s="16"/>
      <c r="B11" s="20" t="s">
        <v>183</v>
      </c>
      <c r="C11" s="21"/>
      <c r="D11" s="21"/>
      <c r="E11" s="21"/>
      <c r="F11" s="21"/>
    </row>
    <row r="12" spans="1:20" x14ac:dyDescent="0.25">
      <c r="A12" s="16"/>
      <c r="B12" s="20" t="s">
        <v>184</v>
      </c>
      <c r="C12" s="21"/>
      <c r="D12" s="21"/>
      <c r="E12" s="21"/>
      <c r="F12" s="21"/>
    </row>
    <row r="13" spans="1:20" x14ac:dyDescent="0.25">
      <c r="A13" s="22">
        <v>300</v>
      </c>
      <c r="B13" s="16" t="s">
        <v>185</v>
      </c>
      <c r="C13" s="21" t="str">
        <f>INDEX('Alloc Amt'!B:B,MATCH('Rate Base'!D:D,'Alloc Amt'!D:D,0))</f>
        <v>Total Production Plant</v>
      </c>
      <c r="D13" s="21">
        <v>73</v>
      </c>
      <c r="E13" s="21"/>
      <c r="F13" s="23">
        <v>77723700.535854891</v>
      </c>
      <c r="G13" s="39">
        <f t="shared" ref="G13:R15" si="8">INDEX(Alloc,($D13),(G$1))*$F13</f>
        <v>42074424.15903946</v>
      </c>
      <c r="H13" s="39">
        <f t="shared" si="8"/>
        <v>10305235.59088219</v>
      </c>
      <c r="I13" s="39">
        <f t="shared" si="8"/>
        <v>11302638.660058841</v>
      </c>
      <c r="J13" s="39">
        <f t="shared" si="8"/>
        <v>6809654.9147184715</v>
      </c>
      <c r="K13" s="39">
        <f t="shared" si="8"/>
        <v>4760442.5671158321</v>
      </c>
      <c r="L13" s="39">
        <f t="shared" si="8"/>
        <v>10347.088586238966</v>
      </c>
      <c r="M13" s="39">
        <f t="shared" si="8"/>
        <v>284160.02205230715</v>
      </c>
      <c r="N13" s="39">
        <f t="shared" si="8"/>
        <v>0</v>
      </c>
      <c r="O13" s="39">
        <f t="shared" si="8"/>
        <v>1920757.3628456062</v>
      </c>
      <c r="P13" s="39">
        <f t="shared" si="8"/>
        <v>0</v>
      </c>
      <c r="Q13" s="39">
        <f t="shared" si="8"/>
        <v>228949.76129411202</v>
      </c>
      <c r="R13" s="39">
        <f t="shared" si="8"/>
        <v>27090.409261825025</v>
      </c>
      <c r="T13" s="88">
        <f>F13-SUM(G13:R13)</f>
        <v>0</v>
      </c>
    </row>
    <row r="14" spans="1:20" x14ac:dyDescent="0.25">
      <c r="A14" s="22">
        <v>300.01</v>
      </c>
      <c r="B14" s="16" t="s">
        <v>187</v>
      </c>
      <c r="C14" s="21" t="str">
        <f>INDEX('Alloc Amt'!B:B,MATCH('Rate Base'!D:D,'Alloc Amt'!D:D,0))</f>
        <v>Total Distribution Plant</v>
      </c>
      <c r="D14" s="21">
        <v>68</v>
      </c>
      <c r="E14" s="21"/>
      <c r="F14" s="23">
        <v>48660476.437339872</v>
      </c>
      <c r="G14" s="39">
        <f t="shared" si="8"/>
        <v>32354956.44464045</v>
      </c>
      <c r="H14" s="39">
        <f t="shared" si="8"/>
        <v>5768088.5474590631</v>
      </c>
      <c r="I14" s="39">
        <f t="shared" si="8"/>
        <v>4579517.4102492882</v>
      </c>
      <c r="J14" s="39">
        <f t="shared" si="8"/>
        <v>1950100.8144252701</v>
      </c>
      <c r="K14" s="39">
        <f t="shared" si="8"/>
        <v>1718415.5448518239</v>
      </c>
      <c r="L14" s="39">
        <f t="shared" si="8"/>
        <v>19595.939904608567</v>
      </c>
      <c r="M14" s="39">
        <f t="shared" si="8"/>
        <v>425092.25225567259</v>
      </c>
      <c r="N14" s="39">
        <f t="shared" si="8"/>
        <v>585080.93355514063</v>
      </c>
      <c r="O14" s="39">
        <f t="shared" si="8"/>
        <v>222976.22703948847</v>
      </c>
      <c r="P14" s="39">
        <f t="shared" si="8"/>
        <v>77039.254430597546</v>
      </c>
      <c r="Q14" s="39">
        <f t="shared" si="8"/>
        <v>944681.35026323958</v>
      </c>
      <c r="R14" s="39">
        <f t="shared" si="8"/>
        <v>14931.718265219053</v>
      </c>
      <c r="T14" s="88">
        <f t="shared" ref="T14:T16" si="9">F14-SUM(G14:R14)</f>
        <v>0</v>
      </c>
    </row>
    <row r="15" spans="1:20" x14ac:dyDescent="0.25">
      <c r="A15" s="22">
        <v>300.02</v>
      </c>
      <c r="B15" s="16" t="s">
        <v>188</v>
      </c>
      <c r="C15" s="21" t="str">
        <f>INDEX('Alloc Amt'!B:B,MATCH('Rate Base'!D:D,'Alloc Amt'!D:D,0))</f>
        <v>Total General Plant</v>
      </c>
      <c r="D15" s="21">
        <v>70</v>
      </c>
      <c r="E15" s="21"/>
      <c r="F15" s="23">
        <v>306106347.0642063</v>
      </c>
      <c r="G15" s="39">
        <f t="shared" si="8"/>
        <v>188659034.69839072</v>
      </c>
      <c r="H15" s="39">
        <f t="shared" si="8"/>
        <v>37091780.947345525</v>
      </c>
      <c r="I15" s="39">
        <f t="shared" si="8"/>
        <v>33459997.985568166</v>
      </c>
      <c r="J15" s="39">
        <f t="shared" si="8"/>
        <v>18349701.099190608</v>
      </c>
      <c r="K15" s="39">
        <f t="shared" si="8"/>
        <v>13778874.050858211</v>
      </c>
      <c r="L15" s="39">
        <f t="shared" si="8"/>
        <v>66857.525294643434</v>
      </c>
      <c r="M15" s="39">
        <f t="shared" si="8"/>
        <v>1576419.4639347438</v>
      </c>
      <c r="N15" s="39">
        <f t="shared" si="8"/>
        <v>1851363.5446969147</v>
      </c>
      <c r="O15" s="39">
        <f t="shared" si="8"/>
        <v>4374288.7046851395</v>
      </c>
      <c r="P15" s="39">
        <f t="shared" si="8"/>
        <v>2663397.3755266434</v>
      </c>
      <c r="Q15" s="39">
        <f t="shared" si="8"/>
        <v>4145682.415577285</v>
      </c>
      <c r="R15" s="39">
        <f t="shared" si="8"/>
        <v>88949.253137749081</v>
      </c>
      <c r="T15" s="88">
        <f t="shared" si="9"/>
        <v>0</v>
      </c>
    </row>
    <row r="16" spans="1:20" x14ac:dyDescent="0.25">
      <c r="A16" s="25"/>
      <c r="B16" s="24" t="s">
        <v>189</v>
      </c>
      <c r="C16" s="26"/>
      <c r="D16" s="26"/>
      <c r="E16" s="26"/>
      <c r="F16" s="27">
        <f>SUM(F13:F15)</f>
        <v>432490524.03740108</v>
      </c>
      <c r="G16" s="27">
        <f t="shared" ref="G16:R16" si="10">SUM(G13:G15)</f>
        <v>263088415.30207062</v>
      </c>
      <c r="H16" s="27">
        <f t="shared" si="10"/>
        <v>53165105.085686773</v>
      </c>
      <c r="I16" s="27">
        <f t="shared" si="10"/>
        <v>49342154.0558763</v>
      </c>
      <c r="J16" s="27">
        <f t="shared" si="10"/>
        <v>27109456.82833435</v>
      </c>
      <c r="K16" s="27">
        <f t="shared" si="10"/>
        <v>20257732.162825868</v>
      </c>
      <c r="L16" s="27">
        <f t="shared" si="10"/>
        <v>96800.553785490963</v>
      </c>
      <c r="M16" s="27">
        <f t="shared" si="10"/>
        <v>2285671.7382427235</v>
      </c>
      <c r="N16" s="27">
        <f t="shared" si="10"/>
        <v>2436444.4782520551</v>
      </c>
      <c r="O16" s="27">
        <f t="shared" si="10"/>
        <v>6518022.2945702337</v>
      </c>
      <c r="P16" s="27">
        <f t="shared" si="10"/>
        <v>2740436.629957241</v>
      </c>
      <c r="Q16" s="27">
        <f t="shared" si="10"/>
        <v>5319313.5271346364</v>
      </c>
      <c r="R16" s="27">
        <f t="shared" si="10"/>
        <v>130971.38066479316</v>
      </c>
      <c r="T16" s="88">
        <f t="shared" si="9"/>
        <v>0</v>
      </c>
    </row>
    <row r="17" spans="1:20" x14ac:dyDescent="0.25">
      <c r="A17" s="22"/>
      <c r="B17" s="16"/>
      <c r="C17" s="21"/>
      <c r="D17" s="21"/>
      <c r="E17" s="21"/>
      <c r="F17" s="23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20" x14ac:dyDescent="0.25">
      <c r="A18" s="22"/>
      <c r="B18" s="20" t="s">
        <v>190</v>
      </c>
      <c r="C18" s="21"/>
      <c r="D18" s="21"/>
      <c r="E18" s="37">
        <v>4097835000</v>
      </c>
      <c r="F18" s="23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20" x14ac:dyDescent="0.25">
      <c r="A19" s="22"/>
      <c r="B19" s="16" t="s">
        <v>322</v>
      </c>
      <c r="C19" s="21" t="str">
        <f>INDEX('Alloc Amt'!B:B,MATCH('Rate Base'!D:D,'Alloc Amt'!D:D,0))</f>
        <v>4 CP Winter Peak - No Interruptibles or Transportation</v>
      </c>
      <c r="D19" s="21">
        <v>30</v>
      </c>
      <c r="E19" s="106">
        <v>0.36530000000000001</v>
      </c>
      <c r="F19" s="23">
        <f>E18*E19</f>
        <v>1496939125.5</v>
      </c>
      <c r="G19" s="39">
        <f t="shared" ref="G19:R20" si="11">INDEX(Alloc,($D19),(G$1))*$F19</f>
        <v>863322480.98791051</v>
      </c>
      <c r="H19" s="39">
        <f t="shared" si="11"/>
        <v>199041581.46161935</v>
      </c>
      <c r="I19" s="39">
        <f t="shared" si="11"/>
        <v>213041769.85346696</v>
      </c>
      <c r="J19" s="39">
        <f t="shared" si="11"/>
        <v>111935949.22523829</v>
      </c>
      <c r="K19" s="39">
        <f t="shared" si="11"/>
        <v>79074087.1589517</v>
      </c>
      <c r="L19" s="39">
        <f t="shared" si="11"/>
        <v>2702.30194714246</v>
      </c>
      <c r="M19" s="39">
        <f t="shared" si="11"/>
        <v>0</v>
      </c>
      <c r="N19" s="39">
        <f t="shared" si="11"/>
        <v>0</v>
      </c>
      <c r="O19" s="39">
        <f t="shared" si="11"/>
        <v>26858123.452665519</v>
      </c>
      <c r="P19" s="39">
        <f t="shared" si="11"/>
        <v>0</v>
      </c>
      <c r="Q19" s="39">
        <f t="shared" si="11"/>
        <v>3111035.5051736417</v>
      </c>
      <c r="R19" s="39">
        <f t="shared" si="11"/>
        <v>551395.55302697117</v>
      </c>
      <c r="T19" s="88">
        <f t="shared" ref="T19:T21" si="12">F19-SUM(G19:R19)</f>
        <v>0</v>
      </c>
    </row>
    <row r="20" spans="1:20" x14ac:dyDescent="0.25">
      <c r="A20" s="22"/>
      <c r="B20" s="16" t="s">
        <v>323</v>
      </c>
      <c r="C20" s="21" t="str">
        <f>INDEX('Alloc Amt'!B:B,MATCH('Rate Base'!D:D,'Alloc Amt'!D:D,0))</f>
        <v>Energy - NO RETAIL WHEELING</v>
      </c>
      <c r="D20" s="21">
        <v>52</v>
      </c>
      <c r="E20" s="106">
        <f>1-E19</f>
        <v>0.63470000000000004</v>
      </c>
      <c r="F20" s="23">
        <f>E18*E20</f>
        <v>2600895874.5</v>
      </c>
      <c r="G20" s="39">
        <f t="shared" si="11"/>
        <v>1354971896.8540299</v>
      </c>
      <c r="H20" s="39">
        <f t="shared" si="11"/>
        <v>344282459.93656272</v>
      </c>
      <c r="I20" s="39">
        <f t="shared" si="11"/>
        <v>382868460.54242027</v>
      </c>
      <c r="J20" s="39">
        <f t="shared" si="11"/>
        <v>247090217.24740064</v>
      </c>
      <c r="K20" s="39">
        <f t="shared" si="11"/>
        <v>171911236.9124113</v>
      </c>
      <c r="L20" s="39">
        <f t="shared" si="11"/>
        <v>542828.35941438936</v>
      </c>
      <c r="M20" s="39">
        <f t="shared" si="11"/>
        <v>14981799.321682394</v>
      </c>
      <c r="N20" s="39">
        <f t="shared" si="11"/>
        <v>0</v>
      </c>
      <c r="O20" s="39">
        <f t="shared" si="11"/>
        <v>74410173.009177074</v>
      </c>
      <c r="P20" s="39">
        <f t="shared" si="11"/>
        <v>0</v>
      </c>
      <c r="Q20" s="39">
        <f t="shared" si="11"/>
        <v>8959907.3166990168</v>
      </c>
      <c r="R20" s="39">
        <f t="shared" si="11"/>
        <v>876895.00020292262</v>
      </c>
      <c r="T20" s="88">
        <f t="shared" si="12"/>
        <v>0</v>
      </c>
    </row>
    <row r="21" spans="1:20" x14ac:dyDescent="0.25">
      <c r="A21" s="25"/>
      <c r="B21" s="24" t="s">
        <v>189</v>
      </c>
      <c r="C21" s="26"/>
      <c r="D21" s="26"/>
      <c r="E21" s="26"/>
      <c r="F21" s="27">
        <f t="shared" ref="F21:R21" si="13">SUM(F19:F20)</f>
        <v>4097835000</v>
      </c>
      <c r="G21" s="27">
        <f t="shared" si="13"/>
        <v>2218294377.8419404</v>
      </c>
      <c r="H21" s="27">
        <f t="shared" si="13"/>
        <v>543324041.39818203</v>
      </c>
      <c r="I21" s="27">
        <f t="shared" si="13"/>
        <v>595910230.39588726</v>
      </c>
      <c r="J21" s="27">
        <f t="shared" si="13"/>
        <v>359026166.47263896</v>
      </c>
      <c r="K21" s="27">
        <f t="shared" si="13"/>
        <v>250985324.071363</v>
      </c>
      <c r="L21" s="27">
        <f t="shared" si="13"/>
        <v>545530.66136153182</v>
      </c>
      <c r="M21" s="27">
        <f t="shared" si="13"/>
        <v>14981799.321682394</v>
      </c>
      <c r="N21" s="27">
        <f t="shared" si="13"/>
        <v>0</v>
      </c>
      <c r="O21" s="27">
        <f t="shared" si="13"/>
        <v>101268296.4618426</v>
      </c>
      <c r="P21" s="27">
        <f t="shared" si="13"/>
        <v>0</v>
      </c>
      <c r="Q21" s="27">
        <f t="shared" si="13"/>
        <v>12070942.821872659</v>
      </c>
      <c r="R21" s="27">
        <f t="shared" si="13"/>
        <v>1428290.5532298938</v>
      </c>
      <c r="T21" s="88">
        <f t="shared" si="12"/>
        <v>0</v>
      </c>
    </row>
    <row r="22" spans="1:20" x14ac:dyDescent="0.25">
      <c r="A22" s="22"/>
      <c r="B22" s="16"/>
      <c r="C22" s="21"/>
      <c r="D22" s="21"/>
      <c r="E22" s="21"/>
      <c r="F22" s="23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20" x14ac:dyDescent="0.25">
      <c r="A23" s="22"/>
      <c r="B23" s="20" t="s">
        <v>191</v>
      </c>
      <c r="C23" s="21"/>
      <c r="D23" s="21"/>
      <c r="E23" s="21">
        <v>1594737126.520097</v>
      </c>
      <c r="F23" s="23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20" x14ac:dyDescent="0.25">
      <c r="A24" s="22">
        <v>350</v>
      </c>
      <c r="B24" s="16" t="s">
        <v>192</v>
      </c>
      <c r="C24" s="21"/>
      <c r="D24" s="21"/>
      <c r="E24" s="21">
        <v>1231639678.3700972</v>
      </c>
      <c r="F24" s="23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T24" s="88">
        <f t="shared" ref="T24:T36" si="14">F24-SUM(G24:R24)</f>
        <v>0</v>
      </c>
    </row>
    <row r="25" spans="1:20" x14ac:dyDescent="0.25">
      <c r="A25" s="22"/>
      <c r="B25" s="16" t="s">
        <v>322</v>
      </c>
      <c r="C25" s="21" t="str">
        <f>INDEX('Alloc Amt'!B:B,MATCH('Rate Base'!D:D,'Alloc Amt'!D:D,0))</f>
        <v>4 CP Winter Peak - No Interruptibles</v>
      </c>
      <c r="D25" s="21">
        <v>29</v>
      </c>
      <c r="E25" s="106">
        <v>0.36530000000000001</v>
      </c>
      <c r="F25" s="23">
        <f>E24*E25</f>
        <v>449917974.50859648</v>
      </c>
      <c r="G25" s="39">
        <f t="shared" ref="G25:R35" si="15">INDEX(Alloc,($D25),(G$1))*$F25</f>
        <v>240579742.07056889</v>
      </c>
      <c r="H25" s="39">
        <f t="shared" si="15"/>
        <v>55466379.462931029</v>
      </c>
      <c r="I25" s="39">
        <f t="shared" si="15"/>
        <v>59367774.11721576</v>
      </c>
      <c r="J25" s="39">
        <f t="shared" si="15"/>
        <v>31192888.388839755</v>
      </c>
      <c r="K25" s="39">
        <f t="shared" si="15"/>
        <v>22035362.117985528</v>
      </c>
      <c r="L25" s="39">
        <f>INDEX(Alloc,($D25),(L$1))*$F25</f>
        <v>753.04317883207398</v>
      </c>
      <c r="M25" s="39">
        <f t="shared" si="15"/>
        <v>0</v>
      </c>
      <c r="N25" s="39">
        <f t="shared" si="15"/>
        <v>5679333.7153645316</v>
      </c>
      <c r="O25" s="39">
        <f t="shared" si="15"/>
        <v>7484480.6605149079</v>
      </c>
      <c r="P25" s="39">
        <f t="shared" si="15"/>
        <v>27090661.169177663</v>
      </c>
      <c r="Q25" s="39">
        <f t="shared" si="15"/>
        <v>866943.85457285179</v>
      </c>
      <c r="R25" s="39">
        <f t="shared" si="15"/>
        <v>153655.90824681075</v>
      </c>
      <c r="T25" s="88">
        <f t="shared" si="14"/>
        <v>0</v>
      </c>
    </row>
    <row r="26" spans="1:20" x14ac:dyDescent="0.25">
      <c r="A26" s="22"/>
      <c r="B26" s="16" t="s">
        <v>323</v>
      </c>
      <c r="C26" s="21" t="str">
        <f>INDEX('Alloc Amt'!B:B,MATCH('Rate Base'!D:D,'Alloc Amt'!D:D,0))</f>
        <v>Annual kWhs</v>
      </c>
      <c r="D26" s="21">
        <v>51</v>
      </c>
      <c r="E26" s="106">
        <f>1-E25</f>
        <v>0.63470000000000004</v>
      </c>
      <c r="F26" s="23">
        <f>E24*E26</f>
        <v>781721703.86150074</v>
      </c>
      <c r="G26" s="39">
        <f t="shared" si="15"/>
        <v>366994488.13741076</v>
      </c>
      <c r="H26" s="39">
        <f t="shared" si="15"/>
        <v>93248993.172822267</v>
      </c>
      <c r="I26" s="39">
        <f t="shared" si="15"/>
        <v>103700021.40041514</v>
      </c>
      <c r="J26" s="39">
        <f t="shared" si="15"/>
        <v>66924449.143937036</v>
      </c>
      <c r="K26" s="39">
        <f t="shared" si="15"/>
        <v>46562202.907840997</v>
      </c>
      <c r="L26" s="39">
        <f>INDEX(Alloc,($D26),(L$1))*$F26</f>
        <v>147025.20131398382</v>
      </c>
      <c r="M26" s="39">
        <f t="shared" si="15"/>
        <v>4057824.2148077255</v>
      </c>
      <c r="N26" s="39">
        <f t="shared" si="15"/>
        <v>11195205.507094782</v>
      </c>
      <c r="O26" s="39">
        <f t="shared" si="15"/>
        <v>20154014.573381964</v>
      </c>
      <c r="P26" s="39">
        <f t="shared" si="15"/>
        <v>66073179.154930308</v>
      </c>
      <c r="Q26" s="39">
        <f t="shared" si="15"/>
        <v>2426793.2103132298</v>
      </c>
      <c r="R26" s="39">
        <f t="shared" si="15"/>
        <v>237507.23723268136</v>
      </c>
      <c r="T26" s="88">
        <f t="shared" si="14"/>
        <v>0</v>
      </c>
    </row>
    <row r="27" spans="1:20" x14ac:dyDescent="0.25">
      <c r="A27" s="22">
        <v>350.01</v>
      </c>
      <c r="B27" s="16" t="s">
        <v>194</v>
      </c>
      <c r="C27" s="21"/>
      <c r="D27" s="21"/>
      <c r="E27" s="23">
        <v>176912910.8499999</v>
      </c>
      <c r="F27" s="23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T27" s="88">
        <f t="shared" si="14"/>
        <v>0</v>
      </c>
    </row>
    <row r="28" spans="1:20" x14ac:dyDescent="0.25">
      <c r="A28" s="22"/>
      <c r="B28" s="16" t="s">
        <v>322</v>
      </c>
      <c r="C28" s="21" t="str">
        <f>INDEX('Alloc Amt'!B:B,MATCH('Rate Base'!D:D,'Alloc Amt'!D:D,0))</f>
        <v>4 CP Winter Peak - No Interruptibles or Transportation</v>
      </c>
      <c r="D28" s="21">
        <v>30</v>
      </c>
      <c r="E28" s="106">
        <v>0.36530000000000001</v>
      </c>
      <c r="F28" s="23">
        <f>E27*E28</f>
        <v>64626286.333504967</v>
      </c>
      <c r="G28" s="39">
        <f t="shared" ref="G28:R29" si="16">INDEX(Alloc,($D28),(G$1))*$F28</f>
        <v>37271606.376004636</v>
      </c>
      <c r="H28" s="39">
        <f t="shared" si="16"/>
        <v>8593080.3842913285</v>
      </c>
      <c r="I28" s="39">
        <f t="shared" si="16"/>
        <v>9197500.5429483131</v>
      </c>
      <c r="J28" s="39">
        <f t="shared" si="16"/>
        <v>4832530.9843355576</v>
      </c>
      <c r="K28" s="39">
        <f t="shared" si="15"/>
        <v>3413809.2266030102</v>
      </c>
      <c r="L28" s="39">
        <f>INDEX(Alloc,($D28),(L$1))*$F28</f>
        <v>116.66455664139605</v>
      </c>
      <c r="M28" s="39">
        <f t="shared" si="15"/>
        <v>0</v>
      </c>
      <c r="N28" s="39">
        <f t="shared" si="16"/>
        <v>0</v>
      </c>
      <c r="O28" s="39">
        <f t="shared" si="16"/>
        <v>1159526.6280803659</v>
      </c>
      <c r="P28" s="39">
        <f t="shared" si="16"/>
        <v>0</v>
      </c>
      <c r="Q28" s="39">
        <f t="shared" si="16"/>
        <v>134310.51932983365</v>
      </c>
      <c r="R28" s="39">
        <f t="shared" si="16"/>
        <v>23805.007355285645</v>
      </c>
      <c r="T28" s="88">
        <f t="shared" si="14"/>
        <v>0</v>
      </c>
    </row>
    <row r="29" spans="1:20" x14ac:dyDescent="0.25">
      <c r="A29" s="22"/>
      <c r="B29" s="16" t="s">
        <v>323</v>
      </c>
      <c r="C29" s="21" t="str">
        <f>INDEX('Alloc Amt'!B:B,MATCH('Rate Base'!D:D,'Alloc Amt'!D:D,0))</f>
        <v>Energy - NO RETAIL WHEELING</v>
      </c>
      <c r="D29" s="21">
        <v>52</v>
      </c>
      <c r="E29" s="106">
        <f>1-E28</f>
        <v>0.63470000000000004</v>
      </c>
      <c r="F29" s="23">
        <f>E27*E29</f>
        <v>112286624.51649494</v>
      </c>
      <c r="G29" s="39">
        <f t="shared" si="16"/>
        <v>58497236.319274023</v>
      </c>
      <c r="H29" s="39">
        <f t="shared" si="16"/>
        <v>14863461.350194868</v>
      </c>
      <c r="I29" s="39">
        <f t="shared" si="16"/>
        <v>16529307.262790695</v>
      </c>
      <c r="J29" s="39">
        <f t="shared" si="16"/>
        <v>10667449.903618984</v>
      </c>
      <c r="K29" s="39">
        <f t="shared" si="15"/>
        <v>7421801.3487606589</v>
      </c>
      <c r="L29" s="39">
        <f>INDEX(Alloc,($D29),(L$1))*$F29</f>
        <v>23435.142009360938</v>
      </c>
      <c r="M29" s="39">
        <f t="shared" si="15"/>
        <v>646798.54795749125</v>
      </c>
      <c r="N29" s="39">
        <f t="shared" si="16"/>
        <v>0</v>
      </c>
      <c r="O29" s="39">
        <f t="shared" si="16"/>
        <v>3212457.3839370338</v>
      </c>
      <c r="P29" s="39">
        <f t="shared" si="16"/>
        <v>0</v>
      </c>
      <c r="Q29" s="39">
        <f t="shared" si="16"/>
        <v>386819.69487386273</v>
      </c>
      <c r="R29" s="39">
        <f t="shared" si="16"/>
        <v>37857.563077993698</v>
      </c>
      <c r="T29" s="88">
        <f t="shared" si="14"/>
        <v>0</v>
      </c>
    </row>
    <row r="30" spans="1:20" x14ac:dyDescent="0.25">
      <c r="A30" s="22">
        <v>350.02</v>
      </c>
      <c r="B30" s="16" t="s">
        <v>195</v>
      </c>
      <c r="C30" s="21"/>
      <c r="D30" s="21"/>
      <c r="E30" s="23">
        <v>405246.36</v>
      </c>
      <c r="F30" s="23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T30" s="88">
        <f t="shared" si="14"/>
        <v>0</v>
      </c>
    </row>
    <row r="31" spans="1:20" x14ac:dyDescent="0.25">
      <c r="A31" s="22"/>
      <c r="B31" s="16" t="s">
        <v>322</v>
      </c>
      <c r="C31" s="21" t="str">
        <f>INDEX('Alloc Amt'!B:B,MATCH('Rate Base'!D:D,'Alloc Amt'!D:D,0))</f>
        <v>Schedule 449 / 459 Retail Revenue</v>
      </c>
      <c r="D31" s="21">
        <v>6</v>
      </c>
      <c r="E31" s="38">
        <v>1</v>
      </c>
      <c r="F31" s="23">
        <f>E30*E31</f>
        <v>405246.36</v>
      </c>
      <c r="G31" s="39">
        <f t="shared" ref="G31:R31" si="17">INDEX(Alloc,($D31),(G$1))*$F31</f>
        <v>0</v>
      </c>
      <c r="H31" s="39">
        <f t="shared" si="17"/>
        <v>0</v>
      </c>
      <c r="I31" s="39">
        <f t="shared" si="17"/>
        <v>0</v>
      </c>
      <c r="J31" s="39">
        <f t="shared" si="17"/>
        <v>0</v>
      </c>
      <c r="K31" s="39">
        <f t="shared" si="17"/>
        <v>0</v>
      </c>
      <c r="L31" s="39">
        <f t="shared" si="15"/>
        <v>0</v>
      </c>
      <c r="M31" s="39">
        <f t="shared" si="15"/>
        <v>0</v>
      </c>
      <c r="N31" s="39">
        <f t="shared" si="17"/>
        <v>0</v>
      </c>
      <c r="O31" s="39">
        <f t="shared" si="17"/>
        <v>0</v>
      </c>
      <c r="P31" s="39">
        <f t="shared" si="17"/>
        <v>405246.36</v>
      </c>
      <c r="Q31" s="39">
        <f t="shared" si="17"/>
        <v>0</v>
      </c>
      <c r="R31" s="39">
        <f t="shared" si="17"/>
        <v>0</v>
      </c>
      <c r="T31" s="88">
        <f t="shared" si="14"/>
        <v>0</v>
      </c>
    </row>
    <row r="32" spans="1:20" x14ac:dyDescent="0.25">
      <c r="A32" s="22"/>
      <c r="B32" s="16" t="s">
        <v>323</v>
      </c>
      <c r="C32" s="21"/>
      <c r="D32" s="21"/>
      <c r="E32" s="21"/>
      <c r="F32" s="23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T32" s="88">
        <f t="shared" si="14"/>
        <v>0</v>
      </c>
    </row>
    <row r="33" spans="1:20" x14ac:dyDescent="0.25">
      <c r="A33" s="22">
        <v>350.03</v>
      </c>
      <c r="B33" s="16" t="s">
        <v>196</v>
      </c>
      <c r="C33" s="21"/>
      <c r="D33" s="21"/>
      <c r="E33" s="23">
        <v>185779290.94</v>
      </c>
      <c r="F33" s="23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T33" s="88">
        <f t="shared" si="14"/>
        <v>0</v>
      </c>
    </row>
    <row r="34" spans="1:20" x14ac:dyDescent="0.25">
      <c r="A34" s="22"/>
      <c r="B34" s="16" t="s">
        <v>322</v>
      </c>
      <c r="C34" s="21" t="str">
        <f>INDEX('Alloc Amt'!B:B,MATCH('Rate Base'!D:D,'Alloc Amt'!D:D,0))</f>
        <v>4 CP Winter Peak - No Interruptibles or Transportation</v>
      </c>
      <c r="D34" s="21">
        <v>30</v>
      </c>
      <c r="E34" s="106">
        <v>0.36530000000000001</v>
      </c>
      <c r="F34" s="23">
        <f>E33*E34</f>
        <v>67865174.980381995</v>
      </c>
      <c r="G34" s="39">
        <f t="shared" ref="G34:R35" si="18">INDEX(Alloc,($D34),(G$1))*$F34</f>
        <v>39139555.001725458</v>
      </c>
      <c r="H34" s="39">
        <f t="shared" si="18"/>
        <v>9023741.5297384802</v>
      </c>
      <c r="I34" s="39">
        <f t="shared" si="18"/>
        <v>9658453.5355815347</v>
      </c>
      <c r="J34" s="39">
        <f t="shared" si="18"/>
        <v>5074723.915863038</v>
      </c>
      <c r="K34" s="39">
        <f t="shared" si="15"/>
        <v>3584899.7932122219</v>
      </c>
      <c r="L34" s="39">
        <f>INDEX(Alloc,($D34),(L$1))*$F34</f>
        <v>122.51145779317798</v>
      </c>
      <c r="M34" s="39">
        <f t="shared" si="15"/>
        <v>0</v>
      </c>
      <c r="N34" s="39">
        <f t="shared" si="18"/>
        <v>0</v>
      </c>
      <c r="O34" s="39">
        <f t="shared" si="18"/>
        <v>1217638.858327674</v>
      </c>
      <c r="P34" s="39">
        <f t="shared" si="18"/>
        <v>0</v>
      </c>
      <c r="Q34" s="39">
        <f t="shared" si="18"/>
        <v>141041.78675820862</v>
      </c>
      <c r="R34" s="39">
        <f t="shared" si="18"/>
        <v>24998.047717592308</v>
      </c>
      <c r="T34" s="88">
        <f t="shared" si="14"/>
        <v>0</v>
      </c>
    </row>
    <row r="35" spans="1:20" x14ac:dyDescent="0.25">
      <c r="A35" s="22"/>
      <c r="B35" s="16" t="s">
        <v>323</v>
      </c>
      <c r="C35" s="21" t="str">
        <f>INDEX('Alloc Amt'!B:B,MATCH('Rate Base'!D:D,'Alloc Amt'!D:D,0))</f>
        <v>Energy - NO RETAIL WHEELING</v>
      </c>
      <c r="D35" s="21">
        <v>52</v>
      </c>
      <c r="E35" s="106">
        <f>1-E34</f>
        <v>0.63470000000000004</v>
      </c>
      <c r="F35" s="23">
        <f>E33*E35</f>
        <v>117914115.959618</v>
      </c>
      <c r="G35" s="39">
        <f t="shared" si="18"/>
        <v>61428954.128501631</v>
      </c>
      <c r="H35" s="39">
        <f t="shared" si="18"/>
        <v>15608376.445145687</v>
      </c>
      <c r="I35" s="39">
        <f t="shared" si="18"/>
        <v>17357709.893848877</v>
      </c>
      <c r="J35" s="39">
        <f t="shared" si="18"/>
        <v>11202072.645295052</v>
      </c>
      <c r="K35" s="39">
        <f t="shared" si="15"/>
        <v>7793761.266182295</v>
      </c>
      <c r="L35" s="39">
        <f>INDEX(Alloc,($D35),(L$1))*$F35</f>
        <v>24609.645755411999</v>
      </c>
      <c r="M35" s="39">
        <f t="shared" si="15"/>
        <v>679214.28144069435</v>
      </c>
      <c r="N35" s="39">
        <f t="shared" si="18"/>
        <v>0</v>
      </c>
      <c r="O35" s="39">
        <f t="shared" si="18"/>
        <v>3373456.7595736878</v>
      </c>
      <c r="P35" s="39">
        <f t="shared" si="18"/>
        <v>0</v>
      </c>
      <c r="Q35" s="39">
        <f t="shared" si="18"/>
        <v>406206.01566057722</v>
      </c>
      <c r="R35" s="39">
        <f t="shared" si="18"/>
        <v>39754.878214113094</v>
      </c>
      <c r="T35" s="88">
        <f t="shared" si="14"/>
        <v>0</v>
      </c>
    </row>
    <row r="36" spans="1:20" x14ac:dyDescent="0.25">
      <c r="A36" s="25"/>
      <c r="B36" s="24" t="s">
        <v>189</v>
      </c>
      <c r="C36" s="26"/>
      <c r="D36" s="26"/>
      <c r="E36" s="26"/>
      <c r="F36" s="27">
        <f>SUM(F24:F35)</f>
        <v>1594737126.520097</v>
      </c>
      <c r="G36" s="27">
        <f t="shared" ref="G36:R36" si="19">SUM(G24:G35)</f>
        <v>803911582.03348553</v>
      </c>
      <c r="H36" s="27">
        <f t="shared" si="19"/>
        <v>196804032.34512368</v>
      </c>
      <c r="I36" s="27">
        <f t="shared" si="19"/>
        <v>215810766.75280032</v>
      </c>
      <c r="J36" s="27">
        <f t="shared" si="19"/>
        <v>129894114.98188943</v>
      </c>
      <c r="K36" s="27">
        <f t="shared" si="19"/>
        <v>90811836.660584718</v>
      </c>
      <c r="L36" s="27">
        <f t="shared" si="19"/>
        <v>196062.20827202342</v>
      </c>
      <c r="M36" s="27">
        <f t="shared" si="19"/>
        <v>5383837.0442059115</v>
      </c>
      <c r="N36" s="27">
        <f t="shared" si="19"/>
        <v>16874539.222459313</v>
      </c>
      <c r="O36" s="27">
        <f t="shared" si="19"/>
        <v>36601574.863815635</v>
      </c>
      <c r="P36" s="27">
        <f t="shared" si="19"/>
        <v>93569086.684107974</v>
      </c>
      <c r="Q36" s="27">
        <f t="shared" si="19"/>
        <v>4362115.0815085638</v>
      </c>
      <c r="R36" s="27">
        <f t="shared" si="19"/>
        <v>517578.64184447692</v>
      </c>
      <c r="T36" s="88">
        <f t="shared" si="14"/>
        <v>0</v>
      </c>
    </row>
    <row r="37" spans="1:20" x14ac:dyDescent="0.25">
      <c r="A37" s="22"/>
      <c r="B37" s="16"/>
      <c r="C37" s="21"/>
      <c r="D37" s="21"/>
      <c r="E37" s="21"/>
      <c r="F37" s="23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20" x14ac:dyDescent="0.25">
      <c r="A38" s="22"/>
      <c r="B38" s="20" t="s">
        <v>197</v>
      </c>
      <c r="C38" s="21"/>
      <c r="D38" s="21"/>
      <c r="E38" s="21"/>
      <c r="F38" s="23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20" x14ac:dyDescent="0.25">
      <c r="A39" s="22">
        <v>360.01</v>
      </c>
      <c r="B39" s="16" t="s">
        <v>198</v>
      </c>
      <c r="C39" s="21" t="str">
        <f>INDEX('Alloc Amt'!B:B,MATCH('Rate Base'!D:D,'Alloc Amt'!D:D,0))</f>
        <v>Direct Assign Substation Land</v>
      </c>
      <c r="D39" s="21">
        <v>36</v>
      </c>
      <c r="E39" s="21"/>
      <c r="F39" s="23">
        <v>4397948.3721314128</v>
      </c>
      <c r="G39" s="39">
        <f t="shared" ref="G39:R54" si="20">INDEX(Alloc,($D39),(G$1))*$F39</f>
        <v>0</v>
      </c>
      <c r="H39" s="39">
        <f t="shared" si="20"/>
        <v>0</v>
      </c>
      <c r="I39" s="39">
        <f t="shared" si="20"/>
        <v>0</v>
      </c>
      <c r="J39" s="39">
        <f t="shared" si="20"/>
        <v>0</v>
      </c>
      <c r="K39" s="39">
        <f t="shared" si="20"/>
        <v>0</v>
      </c>
      <c r="L39" s="39">
        <f t="shared" si="20"/>
        <v>0</v>
      </c>
      <c r="M39" s="39">
        <f t="shared" si="20"/>
        <v>0</v>
      </c>
      <c r="N39" s="39">
        <f t="shared" si="20"/>
        <v>4381901.8082543351</v>
      </c>
      <c r="O39" s="39">
        <f t="shared" si="20"/>
        <v>16046.563877077044</v>
      </c>
      <c r="P39" s="39">
        <f t="shared" si="20"/>
        <v>0</v>
      </c>
      <c r="Q39" s="39">
        <f t="shared" si="20"/>
        <v>0</v>
      </c>
      <c r="R39" s="39">
        <f t="shared" si="20"/>
        <v>0</v>
      </c>
      <c r="T39" s="88">
        <f t="shared" ref="T39:T60" si="21">F39-SUM(G39:R39)</f>
        <v>0</v>
      </c>
    </row>
    <row r="40" spans="1:20" x14ac:dyDescent="0.25">
      <c r="A40" s="22">
        <v>360.02</v>
      </c>
      <c r="B40" s="16" t="s">
        <v>199</v>
      </c>
      <c r="C40" s="21" t="str">
        <f>INDEX('Alloc Amt'!B:B,MATCH('Rate Base'!D:D,'Alloc Amt'!D:D,0))</f>
        <v>Allocate Substation Land - 12 NCP</v>
      </c>
      <c r="D40" s="21">
        <v>42</v>
      </c>
      <c r="E40" s="21"/>
      <c r="F40" s="23">
        <v>47090051.627868585</v>
      </c>
      <c r="G40" s="39">
        <f t="shared" si="20"/>
        <v>21372455.737104561</v>
      </c>
      <c r="H40" s="39">
        <f t="shared" si="20"/>
        <v>6889967.5375397019</v>
      </c>
      <c r="I40" s="39">
        <f t="shared" si="20"/>
        <v>8964074.9893805142</v>
      </c>
      <c r="J40" s="39">
        <f t="shared" si="20"/>
        <v>5268260.9435781874</v>
      </c>
      <c r="K40" s="39">
        <f t="shared" si="20"/>
        <v>4339290.7146512726</v>
      </c>
      <c r="L40" s="39">
        <f t="shared" si="20"/>
        <v>949.85422932245592</v>
      </c>
      <c r="M40" s="39">
        <f t="shared" si="20"/>
        <v>221834.13773903536</v>
      </c>
      <c r="N40" s="39">
        <f t="shared" si="20"/>
        <v>0</v>
      </c>
      <c r="O40" s="39">
        <f t="shared" si="20"/>
        <v>0</v>
      </c>
      <c r="P40" s="39">
        <f t="shared" si="20"/>
        <v>0</v>
      </c>
      <c r="Q40" s="39">
        <f t="shared" si="20"/>
        <v>30334.570252941056</v>
      </c>
      <c r="R40" s="39">
        <f t="shared" si="20"/>
        <v>2883.1433930444241</v>
      </c>
      <c r="T40" s="88">
        <f t="shared" si="21"/>
        <v>0</v>
      </c>
    </row>
    <row r="41" spans="1:20" x14ac:dyDescent="0.25">
      <c r="A41" s="22">
        <v>361.01</v>
      </c>
      <c r="B41" s="16" t="s">
        <v>200</v>
      </c>
      <c r="C41" s="21" t="str">
        <f>INDEX('Alloc Amt'!B:B,MATCH('Rate Base'!D:D,'Alloc Amt'!D:D,0))</f>
        <v>Direct Assign Substation Structures</v>
      </c>
      <c r="D41" s="21">
        <v>37</v>
      </c>
      <c r="E41" s="21"/>
      <c r="F41" s="23">
        <v>652394.54478603089</v>
      </c>
      <c r="G41" s="39">
        <f t="shared" si="20"/>
        <v>0</v>
      </c>
      <c r="H41" s="39">
        <f t="shared" si="20"/>
        <v>0</v>
      </c>
      <c r="I41" s="39">
        <f t="shared" si="20"/>
        <v>0</v>
      </c>
      <c r="J41" s="39">
        <f t="shared" si="20"/>
        <v>0</v>
      </c>
      <c r="K41" s="39">
        <f t="shared" si="20"/>
        <v>0</v>
      </c>
      <c r="L41" s="39">
        <f t="shared" si="20"/>
        <v>0</v>
      </c>
      <c r="M41" s="39">
        <f t="shared" si="20"/>
        <v>0</v>
      </c>
      <c r="N41" s="39">
        <f t="shared" si="20"/>
        <v>359066.02125357295</v>
      </c>
      <c r="O41" s="39">
        <f t="shared" si="20"/>
        <v>134228.77736994543</v>
      </c>
      <c r="P41" s="39">
        <f t="shared" si="20"/>
        <v>159099.74616251249</v>
      </c>
      <c r="Q41" s="39">
        <f t="shared" si="20"/>
        <v>0</v>
      </c>
      <c r="R41" s="39">
        <f t="shared" si="20"/>
        <v>0</v>
      </c>
      <c r="T41" s="88">
        <f t="shared" si="21"/>
        <v>0</v>
      </c>
    </row>
    <row r="42" spans="1:20" x14ac:dyDescent="0.25">
      <c r="A42" s="22">
        <v>361.02</v>
      </c>
      <c r="B42" s="16" t="s">
        <v>201</v>
      </c>
      <c r="C42" s="21" t="str">
        <f>INDEX('Alloc Amt'!B:B,MATCH('Rate Base'!D:D,'Alloc Amt'!D:D,0))</f>
        <v>Allocate Substation Structures - 12 NCP</v>
      </c>
      <c r="D42" s="21">
        <v>43</v>
      </c>
      <c r="E42" s="21"/>
      <c r="F42" s="23">
        <v>7450605.4552139696</v>
      </c>
      <c r="G42" s="39">
        <f t="shared" si="20"/>
        <v>3792899.44249753</v>
      </c>
      <c r="H42" s="39">
        <f t="shared" si="20"/>
        <v>1044125.5497413003</v>
      </c>
      <c r="I42" s="39">
        <f t="shared" si="20"/>
        <v>1296782.1146047371</v>
      </c>
      <c r="J42" s="39">
        <f t="shared" si="20"/>
        <v>754188.6889221567</v>
      </c>
      <c r="K42" s="39">
        <f t="shared" si="20"/>
        <v>495124.92649974383</v>
      </c>
      <c r="L42" s="39">
        <f t="shared" si="20"/>
        <v>1.0767494427319133</v>
      </c>
      <c r="M42" s="39">
        <f t="shared" si="20"/>
        <v>60872.41462068462</v>
      </c>
      <c r="N42" s="39">
        <f t="shared" si="20"/>
        <v>0</v>
      </c>
      <c r="O42" s="39">
        <f t="shared" si="20"/>
        <v>0</v>
      </c>
      <c r="P42" s="39">
        <f t="shared" si="20"/>
        <v>0</v>
      </c>
      <c r="Q42" s="39">
        <f t="shared" si="20"/>
        <v>5763.3013922225664</v>
      </c>
      <c r="R42" s="39">
        <f t="shared" si="20"/>
        <v>847.94018615138168</v>
      </c>
      <c r="T42" s="88">
        <f t="shared" si="21"/>
        <v>0</v>
      </c>
    </row>
    <row r="43" spans="1:20" x14ac:dyDescent="0.25">
      <c r="A43" s="22">
        <v>362.01</v>
      </c>
      <c r="B43" s="16" t="s">
        <v>202</v>
      </c>
      <c r="C43" s="21" t="str">
        <f>INDEX('Alloc Amt'!B:B,MATCH('Rate Base'!D:D,'Alloc Amt'!D:D,0))</f>
        <v>Direct Assign Substation Equipment</v>
      </c>
      <c r="D43" s="21">
        <v>38</v>
      </c>
      <c r="E43" s="21"/>
      <c r="F43" s="23">
        <v>33433473.231653392</v>
      </c>
      <c r="G43" s="39">
        <f t="shared" si="20"/>
        <v>0</v>
      </c>
      <c r="H43" s="39">
        <f t="shared" si="20"/>
        <v>0</v>
      </c>
      <c r="I43" s="39">
        <f t="shared" si="20"/>
        <v>0</v>
      </c>
      <c r="J43" s="39">
        <f t="shared" si="20"/>
        <v>0</v>
      </c>
      <c r="K43" s="39">
        <f t="shared" si="20"/>
        <v>654749.74004621</v>
      </c>
      <c r="L43" s="39">
        <f t="shared" si="20"/>
        <v>0</v>
      </c>
      <c r="M43" s="39">
        <f t="shared" si="20"/>
        <v>0</v>
      </c>
      <c r="N43" s="39">
        <f t="shared" si="20"/>
        <v>15160583.846818591</v>
      </c>
      <c r="O43" s="39">
        <f t="shared" si="20"/>
        <v>12313198.493169427</v>
      </c>
      <c r="P43" s="39">
        <f t="shared" si="20"/>
        <v>5304941.1516191633</v>
      </c>
      <c r="Q43" s="39">
        <f t="shared" si="20"/>
        <v>0</v>
      </c>
      <c r="R43" s="39">
        <f t="shared" si="20"/>
        <v>0</v>
      </c>
      <c r="T43" s="88">
        <f t="shared" si="21"/>
        <v>0</v>
      </c>
    </row>
    <row r="44" spans="1:20" x14ac:dyDescent="0.25">
      <c r="A44" s="22">
        <v>362.02</v>
      </c>
      <c r="B44" s="16" t="s">
        <v>203</v>
      </c>
      <c r="C44" s="21" t="str">
        <f>INDEX('Alloc Amt'!B:B,MATCH('Rate Base'!D:D,'Alloc Amt'!D:D,0))</f>
        <v>Allocate Substation Equipment - 12 NCP</v>
      </c>
      <c r="D44" s="21">
        <v>44</v>
      </c>
      <c r="E44" s="21"/>
      <c r="F44" s="23">
        <v>437752526.76834661</v>
      </c>
      <c r="G44" s="39">
        <f t="shared" si="20"/>
        <v>244351600.54763758</v>
      </c>
      <c r="H44" s="39">
        <f t="shared" si="20"/>
        <v>59077851.688851751</v>
      </c>
      <c r="I44" s="39">
        <f t="shared" si="20"/>
        <v>64914131.167985559</v>
      </c>
      <c r="J44" s="39">
        <f t="shared" si="20"/>
        <v>34540268.724038981</v>
      </c>
      <c r="K44" s="39">
        <f t="shared" si="20"/>
        <v>30750704.14466393</v>
      </c>
      <c r="L44" s="39">
        <f t="shared" si="20"/>
        <v>113070.2220244175</v>
      </c>
      <c r="M44" s="39">
        <f t="shared" si="20"/>
        <v>3531377.7871913705</v>
      </c>
      <c r="N44" s="39">
        <f t="shared" si="20"/>
        <v>0</v>
      </c>
      <c r="O44" s="39">
        <f t="shared" si="20"/>
        <v>0</v>
      </c>
      <c r="P44" s="39">
        <f t="shared" si="20"/>
        <v>0</v>
      </c>
      <c r="Q44" s="39">
        <f t="shared" si="20"/>
        <v>353145.04930748604</v>
      </c>
      <c r="R44" s="39">
        <f t="shared" si="20"/>
        <v>120377.43664552382</v>
      </c>
      <c r="T44" s="88">
        <f t="shared" si="21"/>
        <v>0</v>
      </c>
    </row>
    <row r="45" spans="1:20" x14ac:dyDescent="0.25">
      <c r="A45" s="22">
        <v>363.01</v>
      </c>
      <c r="B45" s="16" t="s">
        <v>204</v>
      </c>
      <c r="C45" s="21" t="str">
        <f>INDEX('Alloc Amt'!B:B,MATCH('Rate Base'!D:D,'Alloc Amt'!D:D,0))</f>
        <v>Allocate Substation Equipment - 12 NCP</v>
      </c>
      <c r="D45" s="21">
        <v>44</v>
      </c>
      <c r="E45" s="21"/>
      <c r="F45" s="23">
        <v>1101000</v>
      </c>
      <c r="G45" s="39">
        <f t="shared" si="20"/>
        <v>614573.52214283624</v>
      </c>
      <c r="H45" s="39">
        <f t="shared" si="20"/>
        <v>148587.86810349277</v>
      </c>
      <c r="I45" s="39">
        <f t="shared" si="20"/>
        <v>163266.80954550701</v>
      </c>
      <c r="J45" s="39">
        <f t="shared" si="20"/>
        <v>86872.910011302622</v>
      </c>
      <c r="K45" s="39">
        <f t="shared" si="20"/>
        <v>77341.701516188972</v>
      </c>
      <c r="L45" s="39">
        <f t="shared" si="20"/>
        <v>284.38514191549706</v>
      </c>
      <c r="M45" s="39">
        <f t="shared" si="20"/>
        <v>8881.837810053823</v>
      </c>
      <c r="N45" s="39">
        <f t="shared" si="20"/>
        <v>0</v>
      </c>
      <c r="O45" s="39">
        <f t="shared" si="20"/>
        <v>0</v>
      </c>
      <c r="P45" s="39">
        <f t="shared" si="20"/>
        <v>0</v>
      </c>
      <c r="Q45" s="39">
        <f t="shared" si="20"/>
        <v>888.20206740530625</v>
      </c>
      <c r="R45" s="39">
        <f t="shared" si="20"/>
        <v>302.76366129774038</v>
      </c>
      <c r="T45" s="88">
        <f t="shared" si="21"/>
        <v>0</v>
      </c>
    </row>
    <row r="46" spans="1:20" x14ac:dyDescent="0.25">
      <c r="A46" s="22">
        <v>364.01</v>
      </c>
      <c r="B46" s="16" t="s">
        <v>205</v>
      </c>
      <c r="C46" s="21" t="str">
        <f>INDEX('Alloc Amt'!B:B,MATCH('Rate Base'!D:D,'Alloc Amt'!D:D,0))</f>
        <v>Allocate Overhead Lines - 12 NCP</v>
      </c>
      <c r="D46" s="21">
        <v>45</v>
      </c>
      <c r="E46" s="21"/>
      <c r="F46" s="23">
        <v>372360470.93214625</v>
      </c>
      <c r="G46" s="39">
        <f t="shared" si="20"/>
        <v>256635696.29111663</v>
      </c>
      <c r="H46" s="39">
        <f t="shared" si="20"/>
        <v>46891765.305053428</v>
      </c>
      <c r="I46" s="39">
        <f t="shared" si="20"/>
        <v>36455041.284208007</v>
      </c>
      <c r="J46" s="39">
        <f t="shared" si="20"/>
        <v>14421042.995726857</v>
      </c>
      <c r="K46" s="39">
        <f t="shared" si="20"/>
        <v>13498736.547584774</v>
      </c>
      <c r="L46" s="39">
        <f t="shared" si="20"/>
        <v>338104.22916481865</v>
      </c>
      <c r="M46" s="39">
        <f t="shared" si="20"/>
        <v>3637612.5363462684</v>
      </c>
      <c r="N46" s="39">
        <f t="shared" si="20"/>
        <v>0</v>
      </c>
      <c r="O46" s="39">
        <f t="shared" si="20"/>
        <v>0</v>
      </c>
      <c r="P46" s="39">
        <f t="shared" si="20"/>
        <v>0</v>
      </c>
      <c r="Q46" s="39">
        <f t="shared" si="20"/>
        <v>225527.48914423192</v>
      </c>
      <c r="R46" s="39">
        <f t="shared" si="20"/>
        <v>256944.25380113986</v>
      </c>
      <c r="T46" s="88">
        <f t="shared" si="21"/>
        <v>0</v>
      </c>
    </row>
    <row r="47" spans="1:20" x14ac:dyDescent="0.25">
      <c r="A47" s="22">
        <v>365.01</v>
      </c>
      <c r="B47" s="16" t="s">
        <v>206</v>
      </c>
      <c r="C47" s="21"/>
      <c r="D47" s="21" t="s">
        <v>324</v>
      </c>
      <c r="E47" s="21"/>
      <c r="F47" s="23">
        <v>71791.370995891833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/>
      <c r="M47" s="39"/>
      <c r="N47" s="39">
        <v>71791.370995891833</v>
      </c>
      <c r="O47" s="39">
        <v>0</v>
      </c>
      <c r="P47" s="39">
        <v>0</v>
      </c>
      <c r="Q47" s="39">
        <v>0</v>
      </c>
      <c r="R47" s="39">
        <v>0</v>
      </c>
      <c r="T47" s="88">
        <f t="shared" si="21"/>
        <v>0</v>
      </c>
    </row>
    <row r="48" spans="1:20" x14ac:dyDescent="0.25">
      <c r="A48" s="22">
        <v>365.02</v>
      </c>
      <c r="B48" s="16" t="s">
        <v>207</v>
      </c>
      <c r="C48" s="21" t="str">
        <f>INDEX('Alloc Amt'!B:B,MATCH('Rate Base'!D:D,'Alloc Amt'!D:D,0))</f>
        <v>Allocate Overhead Lines - 12 NCP</v>
      </c>
      <c r="D48" s="21">
        <v>45</v>
      </c>
      <c r="E48" s="21"/>
      <c r="F48" s="23">
        <v>471990557.83454573</v>
      </c>
      <c r="G48" s="39">
        <f t="shared" ref="G48:R59" si="22">INDEX(Alloc,($D48),(G$1))*$F48</f>
        <v>325302052.46940446</v>
      </c>
      <c r="H48" s="39">
        <f t="shared" si="22"/>
        <v>59438292.170953557</v>
      </c>
      <c r="I48" s="39">
        <f t="shared" si="22"/>
        <v>46209081.293030679</v>
      </c>
      <c r="J48" s="39">
        <f t="shared" si="22"/>
        <v>18279588.354450829</v>
      </c>
      <c r="K48" s="39">
        <f t="shared" si="22"/>
        <v>17110506.325246107</v>
      </c>
      <c r="L48" s="39">
        <f t="shared" si="20"/>
        <v>428568.594647636</v>
      </c>
      <c r="M48" s="39">
        <f t="shared" si="20"/>
        <v>4610905.0348925982</v>
      </c>
      <c r="N48" s="39">
        <f t="shared" si="22"/>
        <v>0</v>
      </c>
      <c r="O48" s="39">
        <f t="shared" si="22"/>
        <v>0</v>
      </c>
      <c r="P48" s="39">
        <f t="shared" si="22"/>
        <v>0</v>
      </c>
      <c r="Q48" s="39">
        <f t="shared" si="22"/>
        <v>285870.4231996953</v>
      </c>
      <c r="R48" s="39">
        <f t="shared" si="22"/>
        <v>325693.16872005083</v>
      </c>
      <c r="T48" s="88">
        <f t="shared" si="21"/>
        <v>0</v>
      </c>
    </row>
    <row r="49" spans="1:20" x14ac:dyDescent="0.25">
      <c r="A49" s="22">
        <v>366.01</v>
      </c>
      <c r="B49" s="16" t="s">
        <v>208</v>
      </c>
      <c r="C49" s="21" t="str">
        <f>INDEX('Alloc Amt'!B:B,MATCH('Rate Base'!D:D,'Alloc Amt'!D:D,0))</f>
        <v>Direct Assign UG Dist Lines</v>
      </c>
      <c r="D49" s="21">
        <v>40</v>
      </c>
      <c r="E49" s="21"/>
      <c r="F49" s="23">
        <v>28743419.414837807</v>
      </c>
      <c r="G49" s="39">
        <f t="shared" si="22"/>
        <v>0</v>
      </c>
      <c r="H49" s="39">
        <f t="shared" si="22"/>
        <v>0</v>
      </c>
      <c r="I49" s="39">
        <f t="shared" si="22"/>
        <v>0</v>
      </c>
      <c r="J49" s="39">
        <f t="shared" si="22"/>
        <v>0</v>
      </c>
      <c r="K49" s="39">
        <f t="shared" si="22"/>
        <v>0</v>
      </c>
      <c r="L49" s="39">
        <f t="shared" si="20"/>
        <v>0</v>
      </c>
      <c r="M49" s="39">
        <f t="shared" si="20"/>
        <v>0</v>
      </c>
      <c r="N49" s="39">
        <f t="shared" si="22"/>
        <v>23101629.51589638</v>
      </c>
      <c r="O49" s="39">
        <f t="shared" si="22"/>
        <v>5608088.4825534066</v>
      </c>
      <c r="P49" s="39">
        <f t="shared" si="22"/>
        <v>33701.416388018217</v>
      </c>
      <c r="Q49" s="39">
        <f t="shared" si="22"/>
        <v>0</v>
      </c>
      <c r="R49" s="39">
        <f t="shared" si="22"/>
        <v>0</v>
      </c>
      <c r="T49" s="88">
        <f t="shared" si="21"/>
        <v>0</v>
      </c>
    </row>
    <row r="50" spans="1:20" x14ac:dyDescent="0.25">
      <c r="A50" s="22">
        <v>366.02</v>
      </c>
      <c r="B50" s="16" t="s">
        <v>209</v>
      </c>
      <c r="C50" s="21" t="str">
        <f>INDEX('Alloc Amt'!B:B,MATCH('Rate Base'!D:D,'Alloc Amt'!D:D,0))</f>
        <v>Allocate Underground Lines - 12 NCP</v>
      </c>
      <c r="D50" s="21">
        <v>47</v>
      </c>
      <c r="E50" s="21"/>
      <c r="F50" s="23">
        <v>718024871.41305971</v>
      </c>
      <c r="G50" s="39">
        <f t="shared" si="22"/>
        <v>483226813.4581219</v>
      </c>
      <c r="H50" s="39">
        <f t="shared" si="22"/>
        <v>86105106.443105906</v>
      </c>
      <c r="I50" s="39">
        <f t="shared" si="22"/>
        <v>80351473.792921528</v>
      </c>
      <c r="J50" s="39">
        <f t="shared" si="22"/>
        <v>34886382.524484321</v>
      </c>
      <c r="K50" s="39">
        <f t="shared" si="22"/>
        <v>24883749.128798679</v>
      </c>
      <c r="L50" s="39">
        <f t="shared" si="20"/>
        <v>295514.54824585636</v>
      </c>
      <c r="M50" s="39">
        <f t="shared" si="20"/>
        <v>7748177.8300317181</v>
      </c>
      <c r="N50" s="39">
        <f t="shared" si="22"/>
        <v>0</v>
      </c>
      <c r="O50" s="39">
        <f t="shared" si="22"/>
        <v>0</v>
      </c>
      <c r="P50" s="39">
        <f t="shared" si="22"/>
        <v>0</v>
      </c>
      <c r="Q50" s="39">
        <f t="shared" si="22"/>
        <v>331118.71068511618</v>
      </c>
      <c r="R50" s="39">
        <f t="shared" si="22"/>
        <v>196534.97666471408</v>
      </c>
      <c r="T50" s="88">
        <f t="shared" si="21"/>
        <v>0</v>
      </c>
    </row>
    <row r="51" spans="1:20" x14ac:dyDescent="0.25">
      <c r="A51" s="22">
        <v>367.01</v>
      </c>
      <c r="B51" s="16" t="s">
        <v>210</v>
      </c>
      <c r="C51" s="21" t="str">
        <f>INDEX('Alloc Amt'!B:B,MATCH('Rate Base'!D:D,'Alloc Amt'!D:D,0))</f>
        <v>Allocate Underground Lines - 12 NCP</v>
      </c>
      <c r="D51" s="21">
        <v>47</v>
      </c>
      <c r="E51" s="21"/>
      <c r="F51" s="23">
        <v>986578386.56156349</v>
      </c>
      <c r="G51" s="39">
        <f t="shared" si="22"/>
        <v>663961861.13523018</v>
      </c>
      <c r="H51" s="39">
        <f t="shared" si="22"/>
        <v>118309880.85715218</v>
      </c>
      <c r="I51" s="39">
        <f t="shared" si="22"/>
        <v>110404291.72941658</v>
      </c>
      <c r="J51" s="39">
        <f t="shared" si="22"/>
        <v>47934482.988369167</v>
      </c>
      <c r="K51" s="39">
        <f t="shared" si="22"/>
        <v>34190694.562960498</v>
      </c>
      <c r="L51" s="39">
        <f t="shared" si="20"/>
        <v>406042.01584285608</v>
      </c>
      <c r="M51" s="39">
        <f t="shared" si="20"/>
        <v>10646128.131050883</v>
      </c>
      <c r="N51" s="39">
        <f t="shared" si="22"/>
        <v>0</v>
      </c>
      <c r="O51" s="39">
        <f t="shared" si="22"/>
        <v>0</v>
      </c>
      <c r="P51" s="39">
        <f t="shared" si="22"/>
        <v>0</v>
      </c>
      <c r="Q51" s="39">
        <f t="shared" si="22"/>
        <v>454962.74064320017</v>
      </c>
      <c r="R51" s="39">
        <f t="shared" si="22"/>
        <v>270042.40089789941</v>
      </c>
      <c r="T51" s="88">
        <f t="shared" si="21"/>
        <v>0</v>
      </c>
    </row>
    <row r="52" spans="1:20" x14ac:dyDescent="0.25">
      <c r="A52" s="22" t="s">
        <v>211</v>
      </c>
      <c r="B52" s="16" t="s">
        <v>212</v>
      </c>
      <c r="C52" s="21" t="str">
        <f>INDEX('Alloc Amt'!B:B,MATCH('Rate Base'!D:D,'Alloc Amt'!D:D,0))</f>
        <v>Allocate Overhead Transformers</v>
      </c>
      <c r="D52" s="21">
        <v>46</v>
      </c>
      <c r="E52" s="21"/>
      <c r="F52" s="23">
        <v>173605063.30048591</v>
      </c>
      <c r="G52" s="39">
        <f t="shared" si="22"/>
        <v>129622783.85526644</v>
      </c>
      <c r="H52" s="39">
        <f t="shared" si="22"/>
        <v>21229564.703891553</v>
      </c>
      <c r="I52" s="39">
        <f t="shared" si="22"/>
        <v>3103642.0998950875</v>
      </c>
      <c r="J52" s="39">
        <f t="shared" si="22"/>
        <v>34997.8638195979</v>
      </c>
      <c r="K52" s="39">
        <f t="shared" si="22"/>
        <v>0</v>
      </c>
      <c r="L52" s="39">
        <f t="shared" si="20"/>
        <v>0</v>
      </c>
      <c r="M52" s="39">
        <f t="shared" si="20"/>
        <v>0</v>
      </c>
      <c r="N52" s="39">
        <f t="shared" si="22"/>
        <v>0</v>
      </c>
      <c r="O52" s="39">
        <f t="shared" si="22"/>
        <v>0</v>
      </c>
      <c r="P52" s="39">
        <f t="shared" si="22"/>
        <v>0</v>
      </c>
      <c r="Q52" s="39">
        <f t="shared" si="22"/>
        <v>19614074.777613256</v>
      </c>
      <c r="R52" s="39">
        <f t="shared" si="22"/>
        <v>0</v>
      </c>
      <c r="T52" s="88">
        <f t="shared" si="21"/>
        <v>0</v>
      </c>
    </row>
    <row r="53" spans="1:20" x14ac:dyDescent="0.25">
      <c r="A53" s="22" t="s">
        <v>213</v>
      </c>
      <c r="B53" s="16" t="s">
        <v>214</v>
      </c>
      <c r="C53" s="21" t="str">
        <f>INDEX('Alloc Amt'!B:B,MATCH('Rate Base'!D:D,'Alloc Amt'!D:D,0))</f>
        <v>Allocate Underground Transformers</v>
      </c>
      <c r="D53" s="21">
        <v>48</v>
      </c>
      <c r="E53" s="21"/>
      <c r="F53" s="23">
        <v>318350548.27234882</v>
      </c>
      <c r="G53" s="39">
        <f t="shared" si="22"/>
        <v>254323105.00839216</v>
      </c>
      <c r="H53" s="39">
        <f t="shared" si="22"/>
        <v>39317021.423054866</v>
      </c>
      <c r="I53" s="39">
        <f t="shared" si="22"/>
        <v>18739241.351015534</v>
      </c>
      <c r="J53" s="39">
        <f t="shared" si="22"/>
        <v>5178058.4964268021</v>
      </c>
      <c r="K53" s="39">
        <f t="shared" si="22"/>
        <v>0</v>
      </c>
      <c r="L53" s="39">
        <f t="shared" si="20"/>
        <v>0</v>
      </c>
      <c r="M53" s="39">
        <f t="shared" si="20"/>
        <v>0</v>
      </c>
      <c r="N53" s="39">
        <f t="shared" si="22"/>
        <v>0</v>
      </c>
      <c r="O53" s="39">
        <f t="shared" si="22"/>
        <v>0</v>
      </c>
      <c r="P53" s="39">
        <f t="shared" si="22"/>
        <v>0</v>
      </c>
      <c r="Q53" s="39">
        <f t="shared" si="22"/>
        <v>793121.9934594743</v>
      </c>
      <c r="R53" s="39">
        <f t="shared" si="22"/>
        <v>0</v>
      </c>
      <c r="T53" s="88">
        <f t="shared" si="21"/>
        <v>0</v>
      </c>
    </row>
    <row r="54" spans="1:20" x14ac:dyDescent="0.25">
      <c r="A54" s="22">
        <v>368.03</v>
      </c>
      <c r="B54" s="16" t="s">
        <v>215</v>
      </c>
      <c r="C54" s="21" t="str">
        <f>INDEX('Alloc Amt'!B:B,MATCH('Rate Base'!D:D,'Alloc Amt'!D:D,0))</f>
        <v>Line Transformers</v>
      </c>
      <c r="D54" s="21">
        <v>41</v>
      </c>
      <c r="E54" s="21"/>
      <c r="F54" s="23">
        <v>7577844.9767851122</v>
      </c>
      <c r="G54" s="39">
        <f t="shared" si="22"/>
        <v>0</v>
      </c>
      <c r="H54" s="39">
        <f t="shared" si="22"/>
        <v>0</v>
      </c>
      <c r="I54" s="39">
        <f t="shared" si="22"/>
        <v>0</v>
      </c>
      <c r="J54" s="39">
        <f t="shared" si="22"/>
        <v>0</v>
      </c>
      <c r="K54" s="39">
        <f t="shared" si="22"/>
        <v>2507661.8666352136</v>
      </c>
      <c r="L54" s="39">
        <f t="shared" si="20"/>
        <v>0</v>
      </c>
      <c r="M54" s="39">
        <f t="shared" si="20"/>
        <v>143717.78811025881</v>
      </c>
      <c r="N54" s="39">
        <f t="shared" si="22"/>
        <v>4867465.4686576258</v>
      </c>
      <c r="O54" s="39">
        <f t="shared" si="22"/>
        <v>0</v>
      </c>
      <c r="P54" s="39">
        <f t="shared" si="22"/>
        <v>0</v>
      </c>
      <c r="Q54" s="39">
        <f t="shared" si="22"/>
        <v>0</v>
      </c>
      <c r="R54" s="39">
        <f t="shared" si="22"/>
        <v>58999.853382014429</v>
      </c>
      <c r="T54" s="88">
        <f t="shared" si="21"/>
        <v>0</v>
      </c>
    </row>
    <row r="55" spans="1:20" x14ac:dyDescent="0.25">
      <c r="A55" s="22" t="s">
        <v>216</v>
      </c>
      <c r="B55" s="16" t="s">
        <v>217</v>
      </c>
      <c r="C55" s="21" t="str">
        <f>INDEX('Alloc Amt'!B:B,MATCH('Rate Base'!D:D,'Alloc Amt'!D:D,0))</f>
        <v>Dist OH Services (Sec Voltage Only)</v>
      </c>
      <c r="D55" s="21">
        <v>20</v>
      </c>
      <c r="E55" s="21"/>
      <c r="F55" s="23">
        <v>40889975.452172115</v>
      </c>
      <c r="G55" s="39">
        <f t="shared" si="22"/>
        <v>35287388.224718876</v>
      </c>
      <c r="H55" s="39">
        <f t="shared" si="22"/>
        <v>5391540.3962266576</v>
      </c>
      <c r="I55" s="39">
        <f t="shared" si="22"/>
        <v>206571.28579529174</v>
      </c>
      <c r="J55" s="39">
        <f t="shared" si="22"/>
        <v>4475.5454312894217</v>
      </c>
      <c r="K55" s="39">
        <f t="shared" si="22"/>
        <v>0</v>
      </c>
      <c r="L55" s="39">
        <f t="shared" si="22"/>
        <v>0</v>
      </c>
      <c r="M55" s="39">
        <f t="shared" si="22"/>
        <v>0</v>
      </c>
      <c r="N55" s="39">
        <f t="shared" si="22"/>
        <v>0</v>
      </c>
      <c r="O55" s="39">
        <f t="shared" si="22"/>
        <v>0</v>
      </c>
      <c r="P55" s="39">
        <f t="shared" si="22"/>
        <v>0</v>
      </c>
      <c r="Q55" s="39">
        <f t="shared" si="22"/>
        <v>0</v>
      </c>
      <c r="R55" s="39">
        <f t="shared" si="22"/>
        <v>0</v>
      </c>
      <c r="T55" s="88">
        <f t="shared" si="21"/>
        <v>0</v>
      </c>
    </row>
    <row r="56" spans="1:20" x14ac:dyDescent="0.25">
      <c r="A56" s="22" t="s">
        <v>218</v>
      </c>
      <c r="B56" s="16" t="s">
        <v>219</v>
      </c>
      <c r="C56" s="21" t="str">
        <f>INDEX('Alloc Amt'!B:B,MATCH('Rate Base'!D:D,'Alloc Amt'!D:D,0))</f>
        <v>Residential Allocation Only</v>
      </c>
      <c r="D56" s="21">
        <v>24</v>
      </c>
      <c r="E56" s="21"/>
      <c r="F56" s="23">
        <v>148141818.81021541</v>
      </c>
      <c r="G56" s="39">
        <f t="shared" si="22"/>
        <v>148141818.81021541</v>
      </c>
      <c r="H56" s="39">
        <f t="shared" si="22"/>
        <v>0</v>
      </c>
      <c r="I56" s="39">
        <f t="shared" si="22"/>
        <v>0</v>
      </c>
      <c r="J56" s="39">
        <f t="shared" si="22"/>
        <v>0</v>
      </c>
      <c r="K56" s="39">
        <f t="shared" si="22"/>
        <v>0</v>
      </c>
      <c r="L56" s="39">
        <f t="shared" si="22"/>
        <v>0</v>
      </c>
      <c r="M56" s="39">
        <f t="shared" si="22"/>
        <v>0</v>
      </c>
      <c r="N56" s="39">
        <f t="shared" si="22"/>
        <v>0</v>
      </c>
      <c r="O56" s="39">
        <f t="shared" si="22"/>
        <v>0</v>
      </c>
      <c r="P56" s="39">
        <f t="shared" si="22"/>
        <v>0</v>
      </c>
      <c r="Q56" s="39">
        <f t="shared" si="22"/>
        <v>0</v>
      </c>
      <c r="R56" s="39">
        <f t="shared" si="22"/>
        <v>0</v>
      </c>
      <c r="T56" s="88">
        <f t="shared" si="21"/>
        <v>0</v>
      </c>
    </row>
    <row r="57" spans="1:20" x14ac:dyDescent="0.25">
      <c r="A57" s="22">
        <v>370.01</v>
      </c>
      <c r="B57" s="16" t="s">
        <v>220</v>
      </c>
      <c r="C57" s="21" t="str">
        <f>INDEX('Alloc Amt'!B:B,MATCH('Rate Base'!D:D,'Alloc Amt'!D:D,0))</f>
        <v>Meter Investment</v>
      </c>
      <c r="D57" s="21">
        <v>19</v>
      </c>
      <c r="E57" s="21"/>
      <c r="F57" s="23">
        <v>206004867.61000001</v>
      </c>
      <c r="G57" s="39">
        <f t="shared" si="22"/>
        <v>133743709.16973646</v>
      </c>
      <c r="H57" s="39">
        <f t="shared" si="22"/>
        <v>37539912.318899311</v>
      </c>
      <c r="I57" s="39">
        <f t="shared" si="22"/>
        <v>11094399.206289688</v>
      </c>
      <c r="J57" s="39">
        <f t="shared" si="22"/>
        <v>1246915.3080466578</v>
      </c>
      <c r="K57" s="39">
        <f t="shared" si="22"/>
        <v>14935303.536787456</v>
      </c>
      <c r="L57" s="39">
        <f t="shared" si="22"/>
        <v>48424.959903730029</v>
      </c>
      <c r="M57" s="39">
        <f t="shared" si="22"/>
        <v>4826816.6046611229</v>
      </c>
      <c r="N57" s="39">
        <f t="shared" si="22"/>
        <v>976230.67360039195</v>
      </c>
      <c r="O57" s="39">
        <f t="shared" si="22"/>
        <v>606236.92276222247</v>
      </c>
      <c r="P57" s="39">
        <f t="shared" si="22"/>
        <v>976036.22035163466</v>
      </c>
      <c r="Q57" s="39">
        <f t="shared" si="22"/>
        <v>0</v>
      </c>
      <c r="R57" s="39">
        <f t="shared" si="22"/>
        <v>10882.688961321393</v>
      </c>
      <c r="T57" s="88">
        <f t="shared" si="21"/>
        <v>0</v>
      </c>
    </row>
    <row r="58" spans="1:20" x14ac:dyDescent="0.25">
      <c r="A58" s="22">
        <v>373</v>
      </c>
      <c r="B58" s="16" t="s">
        <v>221</v>
      </c>
      <c r="C58" s="21" t="str">
        <f>INDEX('Alloc Amt'!B:B,MATCH('Rate Base'!D:D,'Alloc Amt'!D:D,0))</f>
        <v>Str. &amp; Signal Systems</v>
      </c>
      <c r="D58" s="21">
        <v>12</v>
      </c>
      <c r="E58" s="21"/>
      <c r="F58" s="23">
        <v>57279322.090746596</v>
      </c>
      <c r="G58" s="39">
        <f t="shared" si="22"/>
        <v>0</v>
      </c>
      <c r="H58" s="39">
        <f t="shared" si="22"/>
        <v>0</v>
      </c>
      <c r="I58" s="39">
        <f t="shared" si="22"/>
        <v>0</v>
      </c>
      <c r="J58" s="39">
        <f t="shared" si="22"/>
        <v>0</v>
      </c>
      <c r="K58" s="39">
        <f t="shared" si="22"/>
        <v>0</v>
      </c>
      <c r="L58" s="39">
        <f t="shared" si="22"/>
        <v>0</v>
      </c>
      <c r="M58" s="39">
        <f t="shared" si="22"/>
        <v>0</v>
      </c>
      <c r="N58" s="39">
        <f t="shared" si="22"/>
        <v>0</v>
      </c>
      <c r="O58" s="39">
        <f t="shared" si="22"/>
        <v>0</v>
      </c>
      <c r="P58" s="39">
        <f t="shared" si="22"/>
        <v>0</v>
      </c>
      <c r="Q58" s="39">
        <f t="shared" si="22"/>
        <v>57279322.090746596</v>
      </c>
      <c r="R58" s="39">
        <f t="shared" si="22"/>
        <v>0</v>
      </c>
      <c r="T58" s="88">
        <f t="shared" si="21"/>
        <v>0</v>
      </c>
    </row>
    <row r="59" spans="1:20" x14ac:dyDescent="0.25">
      <c r="A59" s="22">
        <v>374</v>
      </c>
      <c r="B59" s="16" t="s">
        <v>222</v>
      </c>
      <c r="C59" s="21" t="str">
        <f>INDEX('Alloc Amt'!B:B,MATCH('Rate Base'!D:D,'Alloc Amt'!D:D,0))</f>
        <v>Total Distribution OH &amp; UG Lines</v>
      </c>
      <c r="D59" s="21">
        <v>71</v>
      </c>
      <c r="E59" s="21"/>
      <c r="F59" s="23">
        <v>27779665.853999924</v>
      </c>
      <c r="G59" s="39">
        <f t="shared" si="22"/>
        <v>18634154.181036007</v>
      </c>
      <c r="H59" s="39">
        <f t="shared" si="22"/>
        <v>3348784.1011199537</v>
      </c>
      <c r="I59" s="39">
        <f t="shared" si="22"/>
        <v>2946544.7304464811</v>
      </c>
      <c r="J59" s="39">
        <f t="shared" si="22"/>
        <v>1244932.3280795426</v>
      </c>
      <c r="K59" s="39">
        <f t="shared" si="22"/>
        <v>966487.82899679535</v>
      </c>
      <c r="L59" s="39">
        <f t="shared" si="22"/>
        <v>15822.563589197602</v>
      </c>
      <c r="M59" s="39">
        <f t="shared" si="22"/>
        <v>287119.82814793207</v>
      </c>
      <c r="N59" s="39">
        <f t="shared" si="22"/>
        <v>249731.36254017986</v>
      </c>
      <c r="O59" s="39">
        <f t="shared" si="22"/>
        <v>60436.289697138956</v>
      </c>
      <c r="P59" s="39">
        <f t="shared" si="22"/>
        <v>363.18766552392367</v>
      </c>
      <c r="Q59" s="39">
        <f t="shared" si="22"/>
        <v>13982.453904374266</v>
      </c>
      <c r="R59" s="39">
        <f t="shared" si="22"/>
        <v>11306.998776795182</v>
      </c>
      <c r="T59" s="88">
        <f t="shared" si="21"/>
        <v>0</v>
      </c>
    </row>
    <row r="60" spans="1:20" x14ac:dyDescent="0.25">
      <c r="A60" s="25"/>
      <c r="B60" s="24" t="s">
        <v>189</v>
      </c>
      <c r="C60" s="26"/>
      <c r="D60" s="26"/>
      <c r="E60" s="26"/>
      <c r="F60" s="27">
        <f>SUM(F39:F59)</f>
        <v>4089276603.8939037</v>
      </c>
      <c r="G60" s="27">
        <f t="shared" ref="G60:R60" si="23">SUM(G39:G59)</f>
        <v>2719010911.8526211</v>
      </c>
      <c r="H60" s="27">
        <f t="shared" si="23"/>
        <v>484732400.36369371</v>
      </c>
      <c r="I60" s="27">
        <f t="shared" si="23"/>
        <v>384848541.8545351</v>
      </c>
      <c r="J60" s="27">
        <f t="shared" si="23"/>
        <v>163880467.67138571</v>
      </c>
      <c r="K60" s="27">
        <f t="shared" si="23"/>
        <v>144410351.02438688</v>
      </c>
      <c r="L60" s="27">
        <f t="shared" si="23"/>
        <v>1646782.449539193</v>
      </c>
      <c r="M60" s="27">
        <f t="shared" si="23"/>
        <v>35723443.930601932</v>
      </c>
      <c r="N60" s="27">
        <f t="shared" si="23"/>
        <v>49168400.068016969</v>
      </c>
      <c r="O60" s="27">
        <f t="shared" si="23"/>
        <v>18738235.52942922</v>
      </c>
      <c r="P60" s="27">
        <f t="shared" si="23"/>
        <v>6474141.7221868522</v>
      </c>
      <c r="Q60" s="27">
        <f t="shared" si="23"/>
        <v>79388111.802415997</v>
      </c>
      <c r="R60" s="27">
        <f t="shared" si="23"/>
        <v>1254815.6250899525</v>
      </c>
      <c r="T60" s="88">
        <f t="shared" si="21"/>
        <v>0</v>
      </c>
    </row>
    <row r="61" spans="1:20" x14ac:dyDescent="0.25">
      <c r="A61" s="22"/>
      <c r="B61" s="16"/>
      <c r="C61" s="21"/>
      <c r="D61" s="21"/>
      <c r="E61" s="21"/>
      <c r="F61" s="23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</row>
    <row r="62" spans="1:20" x14ac:dyDescent="0.25">
      <c r="A62" s="22"/>
      <c r="B62" s="20" t="s">
        <v>223</v>
      </c>
      <c r="C62" s="21"/>
      <c r="D62" s="21"/>
      <c r="E62" s="21"/>
      <c r="F62" s="23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</row>
    <row r="63" spans="1:20" x14ac:dyDescent="0.25">
      <c r="A63" s="22">
        <v>389</v>
      </c>
      <c r="B63" s="16" t="s">
        <v>224</v>
      </c>
      <c r="C63" s="21" t="str">
        <f>INDEX('Alloc Amt'!B:B,MATCH('Rate Base'!D:D,'Alloc Amt'!D:D,0))</f>
        <v>Salary &amp; Wages - Total</v>
      </c>
      <c r="D63" s="21">
        <v>78</v>
      </c>
      <c r="E63" s="21"/>
      <c r="F63" s="23">
        <v>36039223.299999997</v>
      </c>
      <c r="G63" s="39">
        <f t="shared" ref="G63:R73" si="24">INDEX(Alloc,($D63),(G$1))*$F63</f>
        <v>22265094.359132227</v>
      </c>
      <c r="H63" s="39">
        <f t="shared" si="24"/>
        <v>4359039.8295405107</v>
      </c>
      <c r="I63" s="39">
        <f t="shared" si="24"/>
        <v>3914677.2091269013</v>
      </c>
      <c r="J63" s="39">
        <f t="shared" si="24"/>
        <v>2147836.3328969888</v>
      </c>
      <c r="K63" s="39">
        <f t="shared" si="24"/>
        <v>1613447.6503158538</v>
      </c>
      <c r="L63" s="39">
        <f t="shared" si="24"/>
        <v>7816.2627786591729</v>
      </c>
      <c r="M63" s="39">
        <f t="shared" si="24"/>
        <v>184364.17402033243</v>
      </c>
      <c r="N63" s="39">
        <f t="shared" si="24"/>
        <v>216779.34732719627</v>
      </c>
      <c r="O63" s="39">
        <f t="shared" si="24"/>
        <v>511961.47165819746</v>
      </c>
      <c r="P63" s="39">
        <f t="shared" si="24"/>
        <v>312747.09573117254</v>
      </c>
      <c r="Q63" s="39">
        <f t="shared" si="24"/>
        <v>495058.39069114614</v>
      </c>
      <c r="R63" s="39">
        <f t="shared" si="24"/>
        <v>10401.176780812009</v>
      </c>
      <c r="T63" s="88">
        <f t="shared" ref="T63:T76" si="25">F63-SUM(G63:R63)</f>
        <v>0</v>
      </c>
    </row>
    <row r="64" spans="1:20" x14ac:dyDescent="0.25">
      <c r="A64" s="22">
        <v>390</v>
      </c>
      <c r="B64" s="16" t="s">
        <v>225</v>
      </c>
      <c r="C64" s="21" t="str">
        <f>INDEX('Alloc Amt'!B:B,MATCH('Rate Base'!D:D,'Alloc Amt'!D:D,0))</f>
        <v>Salary &amp; Wages - Total</v>
      </c>
      <c r="D64" s="21">
        <v>78</v>
      </c>
      <c r="E64" s="21"/>
      <c r="F64" s="23">
        <v>202454183.79999998</v>
      </c>
      <c r="G64" s="39">
        <f t="shared" si="24"/>
        <v>125076544.19145319</v>
      </c>
      <c r="H64" s="39">
        <f t="shared" si="24"/>
        <v>24487371.536703322</v>
      </c>
      <c r="I64" s="39">
        <f t="shared" si="24"/>
        <v>21991117.08420888</v>
      </c>
      <c r="J64" s="39">
        <f t="shared" si="24"/>
        <v>12065699.865197843</v>
      </c>
      <c r="K64" s="39">
        <f t="shared" si="24"/>
        <v>9063714.3988817316</v>
      </c>
      <c r="L64" s="39">
        <f t="shared" si="24"/>
        <v>43908.690485562234</v>
      </c>
      <c r="M64" s="39">
        <f t="shared" si="24"/>
        <v>1035685.4270288219</v>
      </c>
      <c r="N64" s="39">
        <f t="shared" si="24"/>
        <v>1217781.1231526798</v>
      </c>
      <c r="O64" s="39">
        <f t="shared" si="24"/>
        <v>2875998.2150227749</v>
      </c>
      <c r="P64" s="39">
        <f t="shared" si="24"/>
        <v>1756890.1936373028</v>
      </c>
      <c r="Q64" s="39">
        <f t="shared" si="24"/>
        <v>2781043.3534153746</v>
      </c>
      <c r="R64" s="39">
        <f t="shared" si="24"/>
        <v>58429.720812512816</v>
      </c>
      <c r="T64" s="88">
        <f t="shared" si="25"/>
        <v>0</v>
      </c>
    </row>
    <row r="65" spans="1:20" x14ac:dyDescent="0.25">
      <c r="A65" s="22">
        <v>391</v>
      </c>
      <c r="B65" s="16" t="s">
        <v>226</v>
      </c>
      <c r="C65" s="21" t="str">
        <f>INDEX('Alloc Amt'!B:B,MATCH('Rate Base'!D:D,'Alloc Amt'!D:D,0))</f>
        <v>Salary &amp; Wages - Total</v>
      </c>
      <c r="D65" s="21">
        <v>78</v>
      </c>
      <c r="E65" s="21"/>
      <c r="F65" s="23">
        <v>109384337.50000001</v>
      </c>
      <c r="G65" s="39">
        <f t="shared" si="24"/>
        <v>67577832.506969333</v>
      </c>
      <c r="H65" s="39">
        <f t="shared" si="24"/>
        <v>13230326.300911201</v>
      </c>
      <c r="I65" s="39">
        <f t="shared" si="24"/>
        <v>11881620.463410353</v>
      </c>
      <c r="J65" s="39">
        <f t="shared" si="24"/>
        <v>6518998.8246047087</v>
      </c>
      <c r="K65" s="39">
        <f t="shared" si="24"/>
        <v>4897050.6620416362</v>
      </c>
      <c r="L65" s="39">
        <f t="shared" si="24"/>
        <v>23723.505877262978</v>
      </c>
      <c r="M65" s="39">
        <f t="shared" si="24"/>
        <v>559572.35443386424</v>
      </c>
      <c r="N65" s="39">
        <f t="shared" si="24"/>
        <v>657957.16776914452</v>
      </c>
      <c r="O65" s="39">
        <f t="shared" si="24"/>
        <v>1553878.2824672298</v>
      </c>
      <c r="P65" s="39">
        <f t="shared" si="24"/>
        <v>949233.38349534839</v>
      </c>
      <c r="Q65" s="39">
        <f t="shared" si="24"/>
        <v>1502574.9483776251</v>
      </c>
      <c r="R65" s="39">
        <f t="shared" si="24"/>
        <v>31569.099642319554</v>
      </c>
      <c r="T65" s="88">
        <f t="shared" si="25"/>
        <v>0</v>
      </c>
    </row>
    <row r="66" spans="1:20" x14ac:dyDescent="0.25">
      <c r="A66" s="22">
        <v>392</v>
      </c>
      <c r="B66" s="16" t="s">
        <v>227</v>
      </c>
      <c r="C66" s="21" t="str">
        <f>INDEX('Alloc Amt'!B:B,MATCH('Rate Base'!D:D,'Alloc Amt'!D:D,0))</f>
        <v>Salary &amp; Wages - Total</v>
      </c>
      <c r="D66" s="21">
        <v>78</v>
      </c>
      <c r="E66" s="21"/>
      <c r="F66" s="23">
        <v>15439498.100000001</v>
      </c>
      <c r="G66" s="39">
        <f t="shared" si="24"/>
        <v>9538548.5750505291</v>
      </c>
      <c r="H66" s="39">
        <f t="shared" si="24"/>
        <v>1867448.3244486304</v>
      </c>
      <c r="I66" s="39">
        <f t="shared" si="24"/>
        <v>1677079.7425156527</v>
      </c>
      <c r="J66" s="39">
        <f t="shared" si="24"/>
        <v>920150.65654519899</v>
      </c>
      <c r="K66" s="39">
        <f t="shared" si="24"/>
        <v>691214.17307295557</v>
      </c>
      <c r="L66" s="39">
        <f t="shared" si="24"/>
        <v>3348.5509195257555</v>
      </c>
      <c r="M66" s="39">
        <f t="shared" si="24"/>
        <v>78983.120440750252</v>
      </c>
      <c r="N66" s="39">
        <f t="shared" si="24"/>
        <v>92870.045875197524</v>
      </c>
      <c r="O66" s="39">
        <f t="shared" si="24"/>
        <v>219328.48283497678</v>
      </c>
      <c r="P66" s="39">
        <f t="shared" si="24"/>
        <v>133983.41440732317</v>
      </c>
      <c r="Q66" s="39">
        <f t="shared" si="24"/>
        <v>212087.06466393269</v>
      </c>
      <c r="R66" s="39">
        <f t="shared" si="24"/>
        <v>4455.9492253294802</v>
      </c>
      <c r="T66" s="88">
        <f t="shared" si="25"/>
        <v>0</v>
      </c>
    </row>
    <row r="67" spans="1:20" x14ac:dyDescent="0.25">
      <c r="A67" s="22">
        <v>393</v>
      </c>
      <c r="B67" s="16" t="s">
        <v>228</v>
      </c>
      <c r="C67" s="21" t="str">
        <f>INDEX('Alloc Amt'!B:B,MATCH('Rate Base'!D:D,'Alloc Amt'!D:D,0))</f>
        <v>Prod Trans Dist Allocation Factor</v>
      </c>
      <c r="D67" s="21">
        <v>75</v>
      </c>
      <c r="E67" s="21"/>
      <c r="F67" s="23">
        <v>232556.7</v>
      </c>
      <c r="G67" s="39">
        <f t="shared" si="24"/>
        <v>136493.46728518567</v>
      </c>
      <c r="H67" s="39">
        <f t="shared" si="24"/>
        <v>29120.212106030347</v>
      </c>
      <c r="I67" s="39">
        <f t="shared" si="24"/>
        <v>28447.614656512236</v>
      </c>
      <c r="J67" s="39">
        <f t="shared" si="24"/>
        <v>15519.887105003852</v>
      </c>
      <c r="K67" s="39">
        <f t="shared" si="24"/>
        <v>11559.247905531545</v>
      </c>
      <c r="L67" s="39">
        <f t="shared" si="24"/>
        <v>56.78197423573873</v>
      </c>
      <c r="M67" s="39">
        <f t="shared" si="24"/>
        <v>1333.4791591317869</v>
      </c>
      <c r="N67" s="39">
        <f t="shared" si="24"/>
        <v>1570.1252843892096</v>
      </c>
      <c r="O67" s="39">
        <f t="shared" si="24"/>
        <v>3723.2496154052787</v>
      </c>
      <c r="P67" s="39">
        <f t="shared" si="24"/>
        <v>2378.458683702167</v>
      </c>
      <c r="Q67" s="39">
        <f t="shared" si="24"/>
        <v>2278.0821530836593</v>
      </c>
      <c r="R67" s="39">
        <f t="shared" si="24"/>
        <v>76.094071788616361</v>
      </c>
      <c r="T67" s="88">
        <f t="shared" si="25"/>
        <v>0</v>
      </c>
    </row>
    <row r="68" spans="1:20" x14ac:dyDescent="0.25">
      <c r="A68" s="22">
        <v>394</v>
      </c>
      <c r="B68" s="16" t="s">
        <v>229</v>
      </c>
      <c r="C68" s="21" t="str">
        <f>INDEX('Alloc Amt'!B:B,MATCH('Rate Base'!D:D,'Alloc Amt'!D:D,0))</f>
        <v>Salary &amp; Wages - PTD Subtotal</v>
      </c>
      <c r="D68" s="21">
        <v>79</v>
      </c>
      <c r="E68" s="21"/>
      <c r="F68" s="23">
        <v>14232778.5</v>
      </c>
      <c r="G68" s="39">
        <f t="shared" si="24"/>
        <v>8380084.4457493601</v>
      </c>
      <c r="H68" s="39">
        <f t="shared" si="24"/>
        <v>1782841.9624960928</v>
      </c>
      <c r="I68" s="39">
        <f t="shared" si="24"/>
        <v>1736999.724132491</v>
      </c>
      <c r="J68" s="39">
        <f t="shared" si="24"/>
        <v>945231.55810733361</v>
      </c>
      <c r="K68" s="39">
        <f t="shared" si="24"/>
        <v>705185.5139747872</v>
      </c>
      <c r="L68" s="39">
        <f t="shared" si="24"/>
        <v>3513.5657480206</v>
      </c>
      <c r="M68" s="39">
        <f t="shared" si="24"/>
        <v>82358.966340573257</v>
      </c>
      <c r="N68" s="39">
        <f t="shared" si="24"/>
        <v>94796.835590907314</v>
      </c>
      <c r="O68" s="39">
        <f t="shared" si="24"/>
        <v>225685.89499031537</v>
      </c>
      <c r="P68" s="39">
        <f t="shared" si="24"/>
        <v>129764.81289874342</v>
      </c>
      <c r="Q68" s="39">
        <f t="shared" si="24"/>
        <v>141657.12941311166</v>
      </c>
      <c r="R68" s="39">
        <f t="shared" si="24"/>
        <v>4658.0905582611149</v>
      </c>
      <c r="T68" s="88">
        <f t="shared" si="25"/>
        <v>0</v>
      </c>
    </row>
    <row r="69" spans="1:20" x14ac:dyDescent="0.25">
      <c r="A69" s="22">
        <v>395</v>
      </c>
      <c r="B69" s="16" t="s">
        <v>230</v>
      </c>
      <c r="C69" s="21" t="str">
        <f>INDEX('Alloc Amt'!B:B,MATCH('Rate Base'!D:D,'Alloc Amt'!D:D,0))</f>
        <v>Salary &amp; Wages - PTD Subtotal</v>
      </c>
      <c r="D69" s="21">
        <v>79</v>
      </c>
      <c r="E69" s="21"/>
      <c r="F69" s="23">
        <v>7820000</v>
      </c>
      <c r="G69" s="39">
        <f t="shared" si="24"/>
        <v>4604319.554734868</v>
      </c>
      <c r="H69" s="39">
        <f t="shared" si="24"/>
        <v>979557.44528163958</v>
      </c>
      <c r="I69" s="39">
        <f t="shared" si="24"/>
        <v>954370.07206400915</v>
      </c>
      <c r="J69" s="39">
        <f t="shared" si="24"/>
        <v>519344.18739105295</v>
      </c>
      <c r="K69" s="39">
        <f t="shared" si="24"/>
        <v>387454.26406255359</v>
      </c>
      <c r="L69" s="39">
        <f t="shared" si="24"/>
        <v>1930.4792911321631</v>
      </c>
      <c r="M69" s="39">
        <f t="shared" si="24"/>
        <v>45250.975892253424</v>
      </c>
      <c r="N69" s="39">
        <f t="shared" si="24"/>
        <v>52084.788245731157</v>
      </c>
      <c r="O69" s="39">
        <f t="shared" si="24"/>
        <v>123999.94132026056</v>
      </c>
      <c r="P69" s="39">
        <f t="shared" si="24"/>
        <v>71297.451644327462</v>
      </c>
      <c r="Q69" s="39">
        <f t="shared" si="24"/>
        <v>77831.51771880193</v>
      </c>
      <c r="R69" s="39">
        <f t="shared" si="24"/>
        <v>2559.3223533691553</v>
      </c>
      <c r="T69" s="88">
        <f t="shared" si="25"/>
        <v>0</v>
      </c>
    </row>
    <row r="70" spans="1:20" x14ac:dyDescent="0.25">
      <c r="A70" s="22">
        <v>396</v>
      </c>
      <c r="B70" s="16" t="s">
        <v>231</v>
      </c>
      <c r="C70" s="21" t="str">
        <f>INDEX('Alloc Amt'!B:B,MATCH('Rate Base'!D:D,'Alloc Amt'!D:D,0))</f>
        <v>Salary &amp; Wages - PTD Subtotal</v>
      </c>
      <c r="D70" s="21">
        <v>79</v>
      </c>
      <c r="E70" s="21"/>
      <c r="F70" s="23">
        <v>5307201.3</v>
      </c>
      <c r="G70" s="39">
        <f t="shared" si="24"/>
        <v>3124814.6709084795</v>
      </c>
      <c r="H70" s="39">
        <f t="shared" si="24"/>
        <v>664796.48938918114</v>
      </c>
      <c r="I70" s="39">
        <f t="shared" si="24"/>
        <v>647702.56868787762</v>
      </c>
      <c r="J70" s="39">
        <f t="shared" si="24"/>
        <v>352463.44584005623</v>
      </c>
      <c r="K70" s="39">
        <f t="shared" si="24"/>
        <v>262953.67952983727</v>
      </c>
      <c r="L70" s="39">
        <f t="shared" si="24"/>
        <v>1310.1588495549481</v>
      </c>
      <c r="M70" s="39">
        <f t="shared" si="24"/>
        <v>30710.490803278266</v>
      </c>
      <c r="N70" s="39">
        <f t="shared" si="24"/>
        <v>35348.395893602188</v>
      </c>
      <c r="O70" s="39">
        <f t="shared" si="24"/>
        <v>84155.070303684217</v>
      </c>
      <c r="P70" s="39">
        <f t="shared" si="24"/>
        <v>48387.458830365962</v>
      </c>
      <c r="Q70" s="39">
        <f t="shared" si="24"/>
        <v>52821.935040690369</v>
      </c>
      <c r="R70" s="39">
        <f t="shared" si="24"/>
        <v>1736.9359233912839</v>
      </c>
      <c r="T70" s="88">
        <f t="shared" si="25"/>
        <v>0</v>
      </c>
    </row>
    <row r="71" spans="1:20" x14ac:dyDescent="0.25">
      <c r="A71" s="22">
        <v>397</v>
      </c>
      <c r="B71" s="16" t="s">
        <v>232</v>
      </c>
      <c r="C71" s="21" t="str">
        <f>INDEX('Alloc Amt'!B:B,MATCH('Rate Base'!D:D,'Alloc Amt'!D:D,0))</f>
        <v>Salary &amp; Wages - Total</v>
      </c>
      <c r="D71" s="21">
        <v>78</v>
      </c>
      <c r="E71" s="21"/>
      <c r="F71" s="23">
        <v>146940395.59999999</v>
      </c>
      <c r="G71" s="39">
        <f t="shared" si="24"/>
        <v>90780030.023627564</v>
      </c>
      <c r="H71" s="39">
        <f t="shared" si="24"/>
        <v>17772831.330381062</v>
      </c>
      <c r="I71" s="39">
        <f t="shared" si="24"/>
        <v>15961060.34159207</v>
      </c>
      <c r="J71" s="39">
        <f t="shared" si="24"/>
        <v>8757234.2448328193</v>
      </c>
      <c r="K71" s="39">
        <f t="shared" si="24"/>
        <v>6578405.8120170981</v>
      </c>
      <c r="L71" s="39">
        <f t="shared" si="24"/>
        <v>31868.74298730334</v>
      </c>
      <c r="M71" s="39">
        <f t="shared" si="24"/>
        <v>751696.12950606772</v>
      </c>
      <c r="N71" s="39">
        <f t="shared" si="24"/>
        <v>883860.42032620672</v>
      </c>
      <c r="O71" s="39">
        <f t="shared" si="24"/>
        <v>2087387.4154056401</v>
      </c>
      <c r="P71" s="39">
        <f t="shared" si="24"/>
        <v>1275143.5175765723</v>
      </c>
      <c r="Q71" s="39">
        <f t="shared" si="24"/>
        <v>2018469.5759871267</v>
      </c>
      <c r="R71" s="39">
        <f t="shared" si="24"/>
        <v>42408.04576046596</v>
      </c>
      <c r="T71" s="88">
        <f t="shared" si="25"/>
        <v>0</v>
      </c>
    </row>
    <row r="72" spans="1:20" x14ac:dyDescent="0.25">
      <c r="A72" s="22">
        <v>398</v>
      </c>
      <c r="B72" s="16" t="s">
        <v>233</v>
      </c>
      <c r="C72" s="21" t="str">
        <f>INDEX('Alloc Amt'!B:B,MATCH('Rate Base'!D:D,'Alloc Amt'!D:D,0))</f>
        <v>Salary &amp; Wages - Total</v>
      </c>
      <c r="D72" s="21">
        <v>78</v>
      </c>
      <c r="E72" s="21"/>
      <c r="F72" s="23">
        <v>977290.20000000007</v>
      </c>
      <c r="G72" s="39">
        <f t="shared" si="24"/>
        <v>603771.57238167257</v>
      </c>
      <c r="H72" s="39">
        <f t="shared" si="24"/>
        <v>118205.84676195316</v>
      </c>
      <c r="I72" s="39">
        <f t="shared" si="24"/>
        <v>106155.88579133092</v>
      </c>
      <c r="J72" s="39">
        <f t="shared" si="24"/>
        <v>58243.746871874602</v>
      </c>
      <c r="K72" s="39">
        <f t="shared" si="24"/>
        <v>43752.512748151014</v>
      </c>
      <c r="L72" s="39">
        <f t="shared" si="24"/>
        <v>211.95676029478636</v>
      </c>
      <c r="M72" s="39">
        <f t="shared" si="24"/>
        <v>4999.4779022101047</v>
      </c>
      <c r="N72" s="39">
        <f t="shared" si="24"/>
        <v>5878.4932722250187</v>
      </c>
      <c r="O72" s="39">
        <f t="shared" si="24"/>
        <v>13883.066370887471</v>
      </c>
      <c r="P72" s="39">
        <f t="shared" si="24"/>
        <v>8480.8895350565672</v>
      </c>
      <c r="Q72" s="39">
        <f t="shared" si="24"/>
        <v>13424.698685174728</v>
      </c>
      <c r="R72" s="39">
        <f t="shared" si="24"/>
        <v>282.05291916918549</v>
      </c>
      <c r="T72" s="88">
        <f t="shared" si="25"/>
        <v>0</v>
      </c>
    </row>
    <row r="73" spans="1:20" x14ac:dyDescent="0.25">
      <c r="A73" s="22">
        <v>399</v>
      </c>
      <c r="B73" s="16" t="s">
        <v>234</v>
      </c>
      <c r="C73" s="21" t="str">
        <f>INDEX('Alloc Amt'!B:B,MATCH('Rate Base'!D:D,'Alloc Amt'!D:D,0))</f>
        <v>Salary &amp; Wages - Total</v>
      </c>
      <c r="D73" s="21">
        <v>78</v>
      </c>
      <c r="E73" s="21"/>
      <c r="F73" s="23">
        <v>1250391.3638000034</v>
      </c>
      <c r="G73" s="39">
        <f t="shared" si="24"/>
        <v>772493.94275517343</v>
      </c>
      <c r="H73" s="39">
        <f t="shared" si="24"/>
        <v>151238.15826845783</v>
      </c>
      <c r="I73" s="39">
        <f t="shared" si="24"/>
        <v>135820.86754785801</v>
      </c>
      <c r="J73" s="39">
        <f t="shared" si="24"/>
        <v>74519.808020120792</v>
      </c>
      <c r="K73" s="39">
        <f t="shared" si="24"/>
        <v>55979.036815101157</v>
      </c>
      <c r="L73" s="39">
        <f t="shared" si="24"/>
        <v>271.18751684159764</v>
      </c>
      <c r="M73" s="39">
        <f t="shared" si="24"/>
        <v>6396.5687903475064</v>
      </c>
      <c r="N73" s="39">
        <f t="shared" si="24"/>
        <v>7521.2226826244496</v>
      </c>
      <c r="O73" s="39">
        <f t="shared" si="24"/>
        <v>17762.652580799386</v>
      </c>
      <c r="P73" s="39">
        <f t="shared" si="24"/>
        <v>10850.85170400415</v>
      </c>
      <c r="Q73" s="39">
        <f t="shared" si="24"/>
        <v>17176.195256598032</v>
      </c>
      <c r="R73" s="39">
        <f t="shared" si="24"/>
        <v>360.87186207712909</v>
      </c>
      <c r="T73" s="88">
        <f t="shared" si="25"/>
        <v>0</v>
      </c>
    </row>
    <row r="74" spans="1:20" x14ac:dyDescent="0.25">
      <c r="A74" s="25"/>
      <c r="B74" s="24" t="s">
        <v>189</v>
      </c>
      <c r="C74" s="26"/>
      <c r="D74" s="26"/>
      <c r="E74" s="26"/>
      <c r="F74" s="27">
        <f>SUM(F63:F73)</f>
        <v>540077856.36380005</v>
      </c>
      <c r="G74" s="27">
        <f t="shared" ref="G74:R74" si="26">SUM(G63:G73)</f>
        <v>332860027.31004757</v>
      </c>
      <c r="H74" s="27">
        <f t="shared" si="26"/>
        <v>65442777.436288081</v>
      </c>
      <c r="I74" s="27">
        <f t="shared" si="26"/>
        <v>59035051.573733941</v>
      </c>
      <c r="J74" s="27">
        <f t="shared" si="26"/>
        <v>32375242.557413004</v>
      </c>
      <c r="K74" s="27">
        <f t="shared" si="26"/>
        <v>24310716.951365236</v>
      </c>
      <c r="L74" s="27">
        <f t="shared" si="26"/>
        <v>117959.88318839332</v>
      </c>
      <c r="M74" s="27">
        <f t="shared" si="26"/>
        <v>2781351.1643176307</v>
      </c>
      <c r="N74" s="27">
        <f t="shared" si="26"/>
        <v>3266447.9654199043</v>
      </c>
      <c r="O74" s="27">
        <f t="shared" si="26"/>
        <v>7717763.742570173</v>
      </c>
      <c r="P74" s="27">
        <f t="shared" si="26"/>
        <v>4699157.5281439191</v>
      </c>
      <c r="Q74" s="27">
        <f t="shared" si="26"/>
        <v>7314422.8914026665</v>
      </c>
      <c r="R74" s="27">
        <f t="shared" si="26"/>
        <v>156937.3599094963</v>
      </c>
      <c r="T74" s="88">
        <f t="shared" si="25"/>
        <v>0</v>
      </c>
    </row>
    <row r="75" spans="1:20" x14ac:dyDescent="0.25">
      <c r="A75" s="22"/>
      <c r="B75" s="16"/>
      <c r="C75" s="21"/>
      <c r="D75" s="21"/>
      <c r="E75" s="21"/>
      <c r="F75" s="23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T75" s="88">
        <f t="shared" si="25"/>
        <v>0</v>
      </c>
    </row>
    <row r="76" spans="1:20" x14ac:dyDescent="0.25">
      <c r="A76" s="25"/>
      <c r="B76" s="24" t="s">
        <v>235</v>
      </c>
      <c r="C76" s="26"/>
      <c r="D76" s="26"/>
      <c r="E76" s="26"/>
      <c r="F76" s="27">
        <f t="shared" ref="F76:R76" si="27">F16+F21+F36+F60+F74</f>
        <v>10754417110.815201</v>
      </c>
      <c r="G76" s="27">
        <f t="shared" si="27"/>
        <v>6337165314.3401642</v>
      </c>
      <c r="H76" s="27">
        <f t="shared" si="27"/>
        <v>1343468356.6289742</v>
      </c>
      <c r="I76" s="27">
        <f t="shared" si="27"/>
        <v>1304946744.632833</v>
      </c>
      <c r="J76" s="27">
        <f t="shared" si="27"/>
        <v>712285448.51166141</v>
      </c>
      <c r="K76" s="27">
        <f t="shared" si="27"/>
        <v>530775960.87052572</v>
      </c>
      <c r="L76" s="27">
        <f t="shared" si="27"/>
        <v>2603135.7561466326</v>
      </c>
      <c r="M76" s="27">
        <f t="shared" si="27"/>
        <v>61156103.19905059</v>
      </c>
      <c r="N76" s="27">
        <f t="shared" si="27"/>
        <v>71745831.734148249</v>
      </c>
      <c r="O76" s="27">
        <f t="shared" si="27"/>
        <v>170843892.89222786</v>
      </c>
      <c r="P76" s="27">
        <f t="shared" si="27"/>
        <v>107482822.56439598</v>
      </c>
      <c r="Q76" s="27">
        <f t="shared" si="27"/>
        <v>108454906.12433451</v>
      </c>
      <c r="R76" s="27">
        <f t="shared" si="27"/>
        <v>3488593.5607386129</v>
      </c>
      <c r="T76" s="88">
        <f t="shared" si="25"/>
        <v>0</v>
      </c>
    </row>
    <row r="77" spans="1:20" x14ac:dyDescent="0.25">
      <c r="A77" s="22"/>
      <c r="B77" s="16"/>
      <c r="C77" s="21"/>
      <c r="D77" s="21"/>
      <c r="E77" s="21"/>
      <c r="F77" s="23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20" x14ac:dyDescent="0.25">
      <c r="A78" s="22"/>
      <c r="B78" s="20" t="s">
        <v>236</v>
      </c>
      <c r="C78" s="21"/>
      <c r="D78" s="21"/>
      <c r="E78" s="21"/>
      <c r="F78" s="23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</row>
    <row r="79" spans="1:20" x14ac:dyDescent="0.25">
      <c r="A79" s="22"/>
      <c r="B79" s="20" t="s">
        <v>184</v>
      </c>
      <c r="C79" s="21"/>
      <c r="D79" s="21"/>
      <c r="E79" s="21"/>
      <c r="F79" s="23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</row>
    <row r="80" spans="1:20" x14ac:dyDescent="0.25">
      <c r="A80" s="22">
        <v>111</v>
      </c>
      <c r="B80" s="16" t="s">
        <v>237</v>
      </c>
      <c r="C80" s="21" t="str">
        <f>INDEX('Alloc Amt'!B:B,MATCH('Rate Base'!D:D,'Alloc Amt'!D:D,0))</f>
        <v>Total Production Plant</v>
      </c>
      <c r="D80" s="21">
        <v>73</v>
      </c>
      <c r="E80" s="21"/>
      <c r="F80" s="23">
        <v>-11848339.393578827</v>
      </c>
      <c r="G80" s="39">
        <f t="shared" ref="G80:R82" si="28">INDEX(Alloc,($D80),(G$1))*$F80</f>
        <v>-6413900.1847412335</v>
      </c>
      <c r="H80" s="39">
        <f t="shared" si="28"/>
        <v>-1570948.4747864502</v>
      </c>
      <c r="I80" s="39">
        <f t="shared" si="28"/>
        <v>-1722994.3757706753</v>
      </c>
      <c r="J80" s="39">
        <f t="shared" si="28"/>
        <v>-1038075.9282751398</v>
      </c>
      <c r="K80" s="39">
        <f t="shared" si="28"/>
        <v>-725690.34683067468</v>
      </c>
      <c r="L80" s="39">
        <f t="shared" si="28"/>
        <v>-1577.3286199700444</v>
      </c>
      <c r="M80" s="39">
        <f t="shared" si="28"/>
        <v>-43317.860062638443</v>
      </c>
      <c r="N80" s="39">
        <f t="shared" si="28"/>
        <v>0</v>
      </c>
      <c r="O80" s="39">
        <f t="shared" si="28"/>
        <v>-292803.67469394661</v>
      </c>
      <c r="P80" s="39">
        <f t="shared" si="28"/>
        <v>0</v>
      </c>
      <c r="Q80" s="39">
        <f t="shared" si="28"/>
        <v>-34901.509541997511</v>
      </c>
      <c r="R80" s="39">
        <f t="shared" si="28"/>
        <v>-4129.710256101147</v>
      </c>
      <c r="T80" s="88">
        <f t="shared" ref="T80:T83" si="29">F80-SUM(G80:R80)</f>
        <v>0</v>
      </c>
    </row>
    <row r="81" spans="1:20" x14ac:dyDescent="0.25">
      <c r="A81" s="22">
        <v>111.01</v>
      </c>
      <c r="B81" s="16" t="s">
        <v>238</v>
      </c>
      <c r="C81" s="21" t="str">
        <f>INDEX('Alloc Amt'!B:B,MATCH('Rate Base'!D:D,'Alloc Amt'!D:D,0))</f>
        <v>Total Distribution Plant</v>
      </c>
      <c r="D81" s="21">
        <v>68</v>
      </c>
      <c r="E81" s="21"/>
      <c r="F81" s="23">
        <v>-15836820.280835493</v>
      </c>
      <c r="G81" s="39">
        <f t="shared" si="28"/>
        <v>-10530098.920585956</v>
      </c>
      <c r="H81" s="39">
        <f t="shared" si="28"/>
        <v>-1877256.2123941337</v>
      </c>
      <c r="I81" s="39">
        <f t="shared" si="28"/>
        <v>-1490429.1841956305</v>
      </c>
      <c r="J81" s="39">
        <f t="shared" si="28"/>
        <v>-634671.0593212645</v>
      </c>
      <c r="K81" s="39">
        <f t="shared" si="28"/>
        <v>-559267.81125244696</v>
      </c>
      <c r="L81" s="39">
        <f t="shared" si="28"/>
        <v>-6377.6066578994587</v>
      </c>
      <c r="M81" s="39">
        <f t="shared" si="28"/>
        <v>-138348.61667286829</v>
      </c>
      <c r="N81" s="39">
        <f t="shared" si="28"/>
        <v>-190417.81488489572</v>
      </c>
      <c r="O81" s="39">
        <f t="shared" si="28"/>
        <v>-72568.842170510252</v>
      </c>
      <c r="P81" s="39">
        <f t="shared" si="28"/>
        <v>-25072.850007089448</v>
      </c>
      <c r="Q81" s="39">
        <f t="shared" si="28"/>
        <v>-307451.75267736841</v>
      </c>
      <c r="R81" s="39">
        <f t="shared" si="28"/>
        <v>-4859.6100154269279</v>
      </c>
      <c r="T81" s="88">
        <f t="shared" si="29"/>
        <v>0</v>
      </c>
    </row>
    <row r="82" spans="1:20" x14ac:dyDescent="0.25">
      <c r="A82" s="22">
        <v>111.02</v>
      </c>
      <c r="B82" s="16" t="s">
        <v>239</v>
      </c>
      <c r="C82" s="21" t="str">
        <f>INDEX('Alloc Amt'!B:B,MATCH('Rate Base'!D:D,'Alloc Amt'!D:D,0))</f>
        <v>Total General Plant</v>
      </c>
      <c r="D82" s="21">
        <v>70</v>
      </c>
      <c r="E82" s="21"/>
      <c r="F82" s="23">
        <v>-157655053.77670544</v>
      </c>
      <c r="G82" s="39">
        <f t="shared" si="28"/>
        <v>-97165741.730266944</v>
      </c>
      <c r="H82" s="39">
        <f t="shared" si="28"/>
        <v>-19103513.455410227</v>
      </c>
      <c r="I82" s="39">
        <f t="shared" si="28"/>
        <v>-17233023.203784585</v>
      </c>
      <c r="J82" s="39">
        <f t="shared" si="28"/>
        <v>-9450712.6079701018</v>
      </c>
      <c r="K82" s="39">
        <f t="shared" si="28"/>
        <v>-7096583.1003002925</v>
      </c>
      <c r="L82" s="39">
        <f t="shared" si="28"/>
        <v>-34433.871910188078</v>
      </c>
      <c r="M82" s="39">
        <f t="shared" si="28"/>
        <v>-811908.99092708959</v>
      </c>
      <c r="N82" s="39">
        <f t="shared" si="28"/>
        <v>-953514.43051980389</v>
      </c>
      <c r="O82" s="39">
        <f t="shared" si="28"/>
        <v>-2252905.6570895608</v>
      </c>
      <c r="P82" s="39">
        <f t="shared" si="28"/>
        <v>-1371739.1373767066</v>
      </c>
      <c r="Q82" s="39">
        <f t="shared" si="28"/>
        <v>-2135165.7371282401</v>
      </c>
      <c r="R82" s="39">
        <f t="shared" si="28"/>
        <v>-45811.854021727318</v>
      </c>
      <c r="T82" s="88">
        <f t="shared" si="29"/>
        <v>0</v>
      </c>
    </row>
    <row r="83" spans="1:20" x14ac:dyDescent="0.25">
      <c r="A83" s="25"/>
      <c r="B83" s="24" t="s">
        <v>189</v>
      </c>
      <c r="C83" s="26"/>
      <c r="D83" s="26"/>
      <c r="E83" s="26"/>
      <c r="F83" s="27">
        <f>SUM(F80:F82)</f>
        <v>-185340213.45111978</v>
      </c>
      <c r="G83" s="27">
        <f t="shared" ref="G83:R83" si="30">SUM(G80:G82)</f>
        <v>-114109740.83559413</v>
      </c>
      <c r="H83" s="27">
        <f t="shared" si="30"/>
        <v>-22551718.14259081</v>
      </c>
      <c r="I83" s="27">
        <f t="shared" si="30"/>
        <v>-20446446.763750892</v>
      </c>
      <c r="J83" s="27">
        <f t="shared" si="30"/>
        <v>-11123459.595566506</v>
      </c>
      <c r="K83" s="27">
        <f t="shared" si="30"/>
        <v>-8381541.2583834138</v>
      </c>
      <c r="L83" s="27">
        <f t="shared" si="30"/>
        <v>-42388.807188057581</v>
      </c>
      <c r="M83" s="27">
        <f t="shared" si="30"/>
        <v>-993575.46766259638</v>
      </c>
      <c r="N83" s="27">
        <f t="shared" si="30"/>
        <v>-1143932.2454046996</v>
      </c>
      <c r="O83" s="27">
        <f t="shared" si="30"/>
        <v>-2618278.1739540175</v>
      </c>
      <c r="P83" s="27">
        <f t="shared" si="30"/>
        <v>-1396811.9873837961</v>
      </c>
      <c r="Q83" s="27">
        <f t="shared" si="30"/>
        <v>-2477518.9993476057</v>
      </c>
      <c r="R83" s="27">
        <f t="shared" si="30"/>
        <v>-54801.17429325539</v>
      </c>
      <c r="T83" s="88">
        <f t="shared" si="29"/>
        <v>0</v>
      </c>
    </row>
    <row r="84" spans="1:20" x14ac:dyDescent="0.25">
      <c r="A84" s="22"/>
      <c r="B84" s="16"/>
      <c r="C84" s="21"/>
      <c r="D84" s="21"/>
      <c r="E84" s="21"/>
      <c r="F84" s="23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</row>
    <row r="85" spans="1:20" x14ac:dyDescent="0.25">
      <c r="A85" s="22"/>
      <c r="B85" s="20" t="s">
        <v>190</v>
      </c>
      <c r="C85" s="21"/>
      <c r="D85" s="21"/>
      <c r="E85" s="21"/>
      <c r="F85" s="23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</row>
    <row r="86" spans="1:20" x14ac:dyDescent="0.25">
      <c r="A86" s="22">
        <v>108.01</v>
      </c>
      <c r="B86" s="16" t="s">
        <v>240</v>
      </c>
      <c r="C86" s="21" t="str">
        <f>INDEX('Alloc Amt'!B:B,MATCH('Rate Base'!D:D,'Alloc Amt'!D:D,0))</f>
        <v>Total Production Plant</v>
      </c>
      <c r="D86" s="21">
        <v>73</v>
      </c>
      <c r="E86" s="21"/>
      <c r="F86" s="23">
        <v>-945433620.17765331</v>
      </c>
      <c r="G86" s="39">
        <f t="shared" ref="G86:R88" si="31">INDEX(Alloc,($D86),(G$1))*$F86</f>
        <v>-511794663.3436535</v>
      </c>
      <c r="H86" s="39">
        <f t="shared" si="31"/>
        <v>-125353220.7589218</v>
      </c>
      <c r="I86" s="39">
        <f t="shared" si="31"/>
        <v>-137485664.11875615</v>
      </c>
      <c r="J86" s="39">
        <f t="shared" si="31"/>
        <v>-82832863.76994969</v>
      </c>
      <c r="K86" s="39">
        <f t="shared" si="31"/>
        <v>-57906178.15218284</v>
      </c>
      <c r="L86" s="39">
        <f t="shared" si="31"/>
        <v>-125862.3219551159</v>
      </c>
      <c r="M86" s="39">
        <f t="shared" si="31"/>
        <v>-3456531.7465132913</v>
      </c>
      <c r="N86" s="39">
        <f t="shared" si="31"/>
        <v>0</v>
      </c>
      <c r="O86" s="39">
        <f t="shared" si="31"/>
        <v>-23364155.007008251</v>
      </c>
      <c r="P86" s="39">
        <f t="shared" si="31"/>
        <v>0</v>
      </c>
      <c r="Q86" s="39">
        <f t="shared" si="31"/>
        <v>-2784952.3397209803</v>
      </c>
      <c r="R86" s="39">
        <f t="shared" si="31"/>
        <v>-329528.61899165815</v>
      </c>
      <c r="T86" s="88">
        <f t="shared" ref="T86:T89" si="32">F86-SUM(G86:R86)</f>
        <v>0</v>
      </c>
    </row>
    <row r="87" spans="1:20" x14ac:dyDescent="0.25">
      <c r="A87" s="22">
        <v>108.02</v>
      </c>
      <c r="B87" s="16" t="s">
        <v>241</v>
      </c>
      <c r="C87" s="21" t="str">
        <f>INDEX('Alloc Amt'!B:B,MATCH('Rate Base'!D:D,'Alloc Amt'!D:D,0))</f>
        <v>Total Production Plant</v>
      </c>
      <c r="D87" s="21">
        <v>73</v>
      </c>
      <c r="E87" s="21"/>
      <c r="F87" s="23">
        <v>-183522621.94999999</v>
      </c>
      <c r="G87" s="39">
        <f t="shared" si="31"/>
        <v>-99346899.150038198</v>
      </c>
      <c r="H87" s="39">
        <f t="shared" si="31"/>
        <v>-24332910.584702577</v>
      </c>
      <c r="I87" s="39">
        <f t="shared" si="31"/>
        <v>-26687996.937183119</v>
      </c>
      <c r="J87" s="39">
        <f t="shared" si="31"/>
        <v>-16079081.617418921</v>
      </c>
      <c r="K87" s="39">
        <f t="shared" si="31"/>
        <v>-11240443.977013953</v>
      </c>
      <c r="L87" s="39">
        <f t="shared" si="31"/>
        <v>-24431.734642118547</v>
      </c>
      <c r="M87" s="39">
        <f t="shared" si="31"/>
        <v>-670963.83652438014</v>
      </c>
      <c r="N87" s="39">
        <f t="shared" si="31"/>
        <v>0</v>
      </c>
      <c r="O87" s="39">
        <f t="shared" si="31"/>
        <v>-4535327.383139452</v>
      </c>
      <c r="P87" s="39">
        <f t="shared" si="31"/>
        <v>0</v>
      </c>
      <c r="Q87" s="39">
        <f t="shared" si="31"/>
        <v>-540600.35996534792</v>
      </c>
      <c r="R87" s="39">
        <f t="shared" si="31"/>
        <v>-63966.369371916167</v>
      </c>
      <c r="T87" s="88">
        <f t="shared" si="32"/>
        <v>0</v>
      </c>
    </row>
    <row r="88" spans="1:20" x14ac:dyDescent="0.25">
      <c r="A88" s="22">
        <v>108.03</v>
      </c>
      <c r="B88" s="16" t="s">
        <v>242</v>
      </c>
      <c r="C88" s="21" t="str">
        <f>INDEX('Alloc Amt'!B:B,MATCH('Rate Base'!D:D,'Alloc Amt'!D:D,0))</f>
        <v>Total Production Plant</v>
      </c>
      <c r="D88" s="21">
        <v>73</v>
      </c>
      <c r="E88" s="21"/>
      <c r="F88" s="23">
        <v>-789161667.84000003</v>
      </c>
      <c r="G88" s="39">
        <f t="shared" si="31"/>
        <v>-427199458.00107628</v>
      </c>
      <c r="H88" s="39">
        <f t="shared" si="31"/>
        <v>-104633423.91466676</v>
      </c>
      <c r="I88" s="39">
        <f t="shared" si="31"/>
        <v>-114760479.93687813</v>
      </c>
      <c r="J88" s="39">
        <f t="shared" si="31"/>
        <v>-69141312.017626181</v>
      </c>
      <c r="K88" s="39">
        <f t="shared" si="31"/>
        <v>-48334790.675446838</v>
      </c>
      <c r="L88" s="39">
        <f t="shared" si="31"/>
        <v>-105058.3751122055</v>
      </c>
      <c r="M88" s="39">
        <f t="shared" si="31"/>
        <v>-2885197.1199287078</v>
      </c>
      <c r="N88" s="39">
        <f t="shared" si="31"/>
        <v>0</v>
      </c>
      <c r="O88" s="39">
        <f t="shared" si="31"/>
        <v>-19502263.447684754</v>
      </c>
      <c r="P88" s="39">
        <f t="shared" si="31"/>
        <v>0</v>
      </c>
      <c r="Q88" s="39">
        <f t="shared" si="31"/>
        <v>-2324623.9464766886</v>
      </c>
      <c r="R88" s="39">
        <f t="shared" si="31"/>
        <v>-275060.4051034312</v>
      </c>
      <c r="T88" s="88">
        <f t="shared" si="32"/>
        <v>0</v>
      </c>
    </row>
    <row r="89" spans="1:20" x14ac:dyDescent="0.25">
      <c r="A89" s="25"/>
      <c r="B89" s="24" t="s">
        <v>189</v>
      </c>
      <c r="C89" s="26"/>
      <c r="D89" s="26"/>
      <c r="E89" s="26"/>
      <c r="F89" s="27">
        <f>SUM(F86:F88)</f>
        <v>-1918117909.9676533</v>
      </c>
      <c r="G89" s="27">
        <f t="shared" ref="G89:R89" si="33">SUM(G86:G88)</f>
        <v>-1038341020.4947679</v>
      </c>
      <c r="H89" s="27">
        <f t="shared" si="33"/>
        <v>-254319555.25829113</v>
      </c>
      <c r="I89" s="27">
        <f t="shared" si="33"/>
        <v>-278934140.9928174</v>
      </c>
      <c r="J89" s="27">
        <f t="shared" si="33"/>
        <v>-168053257.40499479</v>
      </c>
      <c r="K89" s="27">
        <f t="shared" si="33"/>
        <v>-117481412.80464363</v>
      </c>
      <c r="L89" s="27">
        <f t="shared" si="33"/>
        <v>-255352.43170943996</v>
      </c>
      <c r="M89" s="27">
        <f t="shared" si="33"/>
        <v>-7012692.702966379</v>
      </c>
      <c r="N89" s="27">
        <f t="shared" si="33"/>
        <v>0</v>
      </c>
      <c r="O89" s="27">
        <f t="shared" si="33"/>
        <v>-47401745.837832451</v>
      </c>
      <c r="P89" s="27">
        <f t="shared" si="33"/>
        <v>0</v>
      </c>
      <c r="Q89" s="27">
        <f t="shared" si="33"/>
        <v>-5650176.6461630166</v>
      </c>
      <c r="R89" s="27">
        <f t="shared" si="33"/>
        <v>-668555.39346700558</v>
      </c>
      <c r="T89" s="88">
        <f t="shared" si="32"/>
        <v>0</v>
      </c>
    </row>
    <row r="90" spans="1:20" x14ac:dyDescent="0.25">
      <c r="A90" s="22"/>
      <c r="B90" s="16"/>
      <c r="C90" s="21"/>
      <c r="D90" s="21"/>
      <c r="E90" s="21"/>
      <c r="F90" s="23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</row>
    <row r="91" spans="1:20" x14ac:dyDescent="0.25">
      <c r="A91" s="22"/>
      <c r="B91" s="20" t="s">
        <v>243</v>
      </c>
      <c r="C91" s="21"/>
      <c r="D91" s="21"/>
      <c r="E91" s="21"/>
      <c r="F91" s="23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</row>
    <row r="92" spans="1:20" s="63" customFormat="1" x14ac:dyDescent="0.25">
      <c r="A92" s="22" t="s">
        <v>244</v>
      </c>
      <c r="B92" s="16" t="s">
        <v>245</v>
      </c>
      <c r="C92" s="21"/>
      <c r="E92" s="37">
        <v>-348915488.81225431</v>
      </c>
      <c r="F92" s="23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</row>
    <row r="93" spans="1:20" s="63" customFormat="1" x14ac:dyDescent="0.25">
      <c r="A93" s="22"/>
      <c r="B93" s="16" t="s">
        <v>322</v>
      </c>
      <c r="C93" s="21" t="str">
        <f>INDEX('Alloc Amt'!B:B,MATCH('Rate Base'!D:D,'Alloc Amt'!D:D,0))</f>
        <v>4 CP Winter Peak - No Interruptibles</v>
      </c>
      <c r="D93" s="21">
        <v>29</v>
      </c>
      <c r="E93" s="106">
        <v>0.36530000000000001</v>
      </c>
      <c r="F93" s="23">
        <f>E92*E93</f>
        <v>-127458828.06311651</v>
      </c>
      <c r="G93" s="59">
        <f t="shared" ref="G93:R97" si="34">INDEX(Alloc,($D93),(G$1))*$F93</f>
        <v>-68154672.001119763</v>
      </c>
      <c r="H93" s="59">
        <f t="shared" si="34"/>
        <v>-15713263.580924625</v>
      </c>
      <c r="I93" s="59">
        <f t="shared" si="34"/>
        <v>-16818503.243754182</v>
      </c>
      <c r="J93" s="59">
        <f t="shared" si="34"/>
        <v>-8836741.8578631263</v>
      </c>
      <c r="K93" s="59">
        <f t="shared" si="34"/>
        <v>-6242474.3856308516</v>
      </c>
      <c r="L93" s="39">
        <f t="shared" si="34"/>
        <v>-213.33222163371494</v>
      </c>
      <c r="M93" s="39">
        <f t="shared" si="34"/>
        <v>0</v>
      </c>
      <c r="N93" s="59">
        <f t="shared" si="34"/>
        <v>-1608918.2041022845</v>
      </c>
      <c r="O93" s="59">
        <f t="shared" si="34"/>
        <v>-2120304.5614974941</v>
      </c>
      <c r="P93" s="59">
        <f t="shared" si="34"/>
        <v>-7674607.6389806205</v>
      </c>
      <c r="Q93" s="59">
        <f t="shared" si="34"/>
        <v>-245599.54027412456</v>
      </c>
      <c r="R93" s="59">
        <f t="shared" si="34"/>
        <v>-43529.716747820341</v>
      </c>
      <c r="T93" s="88">
        <f t="shared" ref="T93:T97" si="35">F93-SUM(G93:R93)</f>
        <v>0</v>
      </c>
    </row>
    <row r="94" spans="1:20" s="63" customFormat="1" x14ac:dyDescent="0.25">
      <c r="A94" s="22"/>
      <c r="B94" s="16" t="s">
        <v>323</v>
      </c>
      <c r="C94" s="21" t="str">
        <f>INDEX('Alloc Amt'!B:B,MATCH('Rate Base'!D:D,'Alloc Amt'!D:D,0))</f>
        <v>Annual kWhs</v>
      </c>
      <c r="D94" s="21">
        <v>51</v>
      </c>
      <c r="E94" s="106">
        <f>1-E93</f>
        <v>0.63470000000000004</v>
      </c>
      <c r="F94" s="23">
        <f>E92*E94</f>
        <v>-221456660.74913782</v>
      </c>
      <c r="G94" s="59">
        <f t="shared" si="34"/>
        <v>-103967145.15508634</v>
      </c>
      <c r="H94" s="59">
        <f t="shared" si="34"/>
        <v>-26416831.647712678</v>
      </c>
      <c r="I94" s="59">
        <f t="shared" si="34"/>
        <v>-29377539.788787588</v>
      </c>
      <c r="J94" s="59">
        <f t="shared" si="34"/>
        <v>-18959259.998386376</v>
      </c>
      <c r="K94" s="59">
        <f t="shared" si="34"/>
        <v>-13190768.430962196</v>
      </c>
      <c r="L94" s="39">
        <f t="shared" si="34"/>
        <v>-41651.280715538735</v>
      </c>
      <c r="M94" s="39">
        <f t="shared" si="34"/>
        <v>-1149555.1371790024</v>
      </c>
      <c r="N94" s="59">
        <f t="shared" si="34"/>
        <v>-3171528.7112468644</v>
      </c>
      <c r="O94" s="59">
        <f t="shared" si="34"/>
        <v>-5709500.8953485461</v>
      </c>
      <c r="P94" s="59">
        <f t="shared" si="34"/>
        <v>-18718100.762010887</v>
      </c>
      <c r="Q94" s="59">
        <f t="shared" si="34"/>
        <v>-687494.69028413401</v>
      </c>
      <c r="R94" s="59">
        <f t="shared" si="34"/>
        <v>-67284.25141771647</v>
      </c>
      <c r="T94" s="88">
        <f t="shared" si="35"/>
        <v>0</v>
      </c>
    </row>
    <row r="95" spans="1:20" x14ac:dyDescent="0.25">
      <c r="A95" s="22" t="s">
        <v>246</v>
      </c>
      <c r="B95" s="16" t="s">
        <v>247</v>
      </c>
      <c r="C95" s="21" t="str">
        <f>INDEX('Alloc Amt'!B:B,MATCH('Rate Base'!D:D,'Alloc Amt'!D:D,0))</f>
        <v>Total Production Plant</v>
      </c>
      <c r="D95" s="21">
        <v>73</v>
      </c>
      <c r="E95" s="21"/>
      <c r="F95" s="23">
        <v>-54709537.547322765</v>
      </c>
      <c r="G95" s="39">
        <f t="shared" si="34"/>
        <v>-29616092.291553613</v>
      </c>
      <c r="H95" s="39">
        <f t="shared" si="34"/>
        <v>-7253832.0950543359</v>
      </c>
      <c r="I95" s="39">
        <f t="shared" si="34"/>
        <v>-7955901.8663947051</v>
      </c>
      <c r="J95" s="39">
        <f t="shared" si="34"/>
        <v>-4793300.739318735</v>
      </c>
      <c r="K95" s="39">
        <f t="shared" si="34"/>
        <v>-3350864.7886284348</v>
      </c>
      <c r="L95" s="39">
        <f t="shared" si="34"/>
        <v>-7283.2923241112785</v>
      </c>
      <c r="M95" s="39">
        <f t="shared" si="34"/>
        <v>-200019.59876765107</v>
      </c>
      <c r="N95" s="39">
        <f t="shared" si="34"/>
        <v>0</v>
      </c>
      <c r="O95" s="39">
        <f t="shared" si="34"/>
        <v>-1352016.776574115</v>
      </c>
      <c r="P95" s="39">
        <f t="shared" si="34"/>
        <v>0</v>
      </c>
      <c r="Q95" s="39">
        <f t="shared" si="34"/>
        <v>-161157.22071406688</v>
      </c>
      <c r="R95" s="39">
        <f t="shared" si="34"/>
        <v>-19068.877992993192</v>
      </c>
      <c r="T95" s="88">
        <f t="shared" si="35"/>
        <v>0</v>
      </c>
    </row>
    <row r="96" spans="1:20" x14ac:dyDescent="0.25">
      <c r="A96" s="22" t="s">
        <v>248</v>
      </c>
      <c r="B96" s="16" t="s">
        <v>249</v>
      </c>
      <c r="C96" s="21" t="str">
        <f>INDEX('Alloc Amt'!B:B,MATCH('Rate Base'!D:D,'Alloc Amt'!D:D,0))</f>
        <v>Schedule 449 / 459 Retail Revenue</v>
      </c>
      <c r="D96" s="21">
        <v>6</v>
      </c>
      <c r="E96" s="21"/>
      <c r="F96" s="23">
        <v>-290302.21785940375</v>
      </c>
      <c r="G96" s="39">
        <f t="shared" si="34"/>
        <v>0</v>
      </c>
      <c r="H96" s="39">
        <f t="shared" si="34"/>
        <v>0</v>
      </c>
      <c r="I96" s="39">
        <f t="shared" si="34"/>
        <v>0</v>
      </c>
      <c r="J96" s="39">
        <f t="shared" si="34"/>
        <v>0</v>
      </c>
      <c r="K96" s="39">
        <f t="shared" si="34"/>
        <v>0</v>
      </c>
      <c r="L96" s="39"/>
      <c r="M96" s="39"/>
      <c r="N96" s="39">
        <f t="shared" si="34"/>
        <v>0</v>
      </c>
      <c r="O96" s="39">
        <f t="shared" si="34"/>
        <v>0</v>
      </c>
      <c r="P96" s="39">
        <f t="shared" si="34"/>
        <v>-290302.21785940375</v>
      </c>
      <c r="Q96" s="39">
        <f t="shared" si="34"/>
        <v>0</v>
      </c>
      <c r="R96" s="39">
        <f t="shared" si="34"/>
        <v>0</v>
      </c>
      <c r="T96" s="88">
        <f t="shared" si="35"/>
        <v>0</v>
      </c>
    </row>
    <row r="97" spans="1:20" x14ac:dyDescent="0.25">
      <c r="A97" s="22" t="s">
        <v>250</v>
      </c>
      <c r="B97" s="16" t="s">
        <v>251</v>
      </c>
      <c r="C97" s="21" t="str">
        <f>INDEX('Alloc Amt'!B:B,MATCH('Rate Base'!D:D,'Alloc Amt'!D:D,0))</f>
        <v>Total Production Plant</v>
      </c>
      <c r="D97" s="21">
        <v>73</v>
      </c>
      <c r="E97" s="21"/>
      <c r="F97" s="23">
        <v>-115786862.48999999</v>
      </c>
      <c r="G97" s="39">
        <f t="shared" si="34"/>
        <v>-62679279.690257117</v>
      </c>
      <c r="H97" s="39">
        <f t="shared" si="34"/>
        <v>-15351956.842791952</v>
      </c>
      <c r="I97" s="39">
        <f t="shared" si="34"/>
        <v>-16837812.138173643</v>
      </c>
      <c r="J97" s="39">
        <f t="shared" si="34"/>
        <v>-10144506.396104109</v>
      </c>
      <c r="K97" s="39">
        <f t="shared" si="34"/>
        <v>-7091745.5693699196</v>
      </c>
      <c r="L97" s="39">
        <f t="shared" si="34"/>
        <v>-15414.306254679954</v>
      </c>
      <c r="M97" s="39">
        <f t="shared" si="34"/>
        <v>-423320.00627463381</v>
      </c>
      <c r="N97" s="39">
        <f t="shared" si="34"/>
        <v>0</v>
      </c>
      <c r="O97" s="39">
        <f t="shared" si="34"/>
        <v>-2861398.3523065029</v>
      </c>
      <c r="P97" s="39">
        <f t="shared" si="34"/>
        <v>0</v>
      </c>
      <c r="Q97" s="39">
        <f t="shared" si="34"/>
        <v>-341071.95546936902</v>
      </c>
      <c r="R97" s="39">
        <f t="shared" si="34"/>
        <v>-40357.232998057683</v>
      </c>
      <c r="T97" s="88">
        <f t="shared" si="35"/>
        <v>0</v>
      </c>
    </row>
    <row r="98" spans="1:20" x14ac:dyDescent="0.25">
      <c r="A98" s="25"/>
      <c r="B98" s="24" t="s">
        <v>189</v>
      </c>
      <c r="C98" s="26"/>
      <c r="D98" s="26"/>
      <c r="E98" s="26"/>
      <c r="F98" s="27">
        <f>SUM(F92:F97)</f>
        <v>-519702191.06743646</v>
      </c>
      <c r="G98" s="27">
        <f t="shared" ref="G98:R98" si="36">SUM(G92:G97)</f>
        <v>-264417189.13801682</v>
      </c>
      <c r="H98" s="27">
        <f t="shared" si="36"/>
        <v>-64735884.166483589</v>
      </c>
      <c r="I98" s="27">
        <f t="shared" si="36"/>
        <v>-70989757.03711012</v>
      </c>
      <c r="J98" s="27">
        <f t="shared" si="36"/>
        <v>-42733808.991672352</v>
      </c>
      <c r="K98" s="27">
        <f t="shared" si="36"/>
        <v>-29875853.1745914</v>
      </c>
      <c r="L98" s="27">
        <f t="shared" si="36"/>
        <v>-64562.211515963689</v>
      </c>
      <c r="M98" s="27">
        <f t="shared" si="36"/>
        <v>-1772894.7422212872</v>
      </c>
      <c r="N98" s="27">
        <f t="shared" si="36"/>
        <v>-4780446.9153491491</v>
      </c>
      <c r="O98" s="27">
        <f t="shared" si="36"/>
        <v>-12043220.585726656</v>
      </c>
      <c r="P98" s="27">
        <f t="shared" si="36"/>
        <v>-26683010.618850909</v>
      </c>
      <c r="Q98" s="27">
        <f t="shared" si="36"/>
        <v>-1435323.4067416945</v>
      </c>
      <c r="R98" s="27">
        <f t="shared" si="36"/>
        <v>-170240.07915658769</v>
      </c>
      <c r="T98" s="88">
        <f>F98-SUM(G98:R98)</f>
        <v>0</v>
      </c>
    </row>
    <row r="99" spans="1:20" x14ac:dyDescent="0.25">
      <c r="A99" s="22"/>
      <c r="B99" s="16"/>
      <c r="C99" s="21"/>
      <c r="D99" s="21"/>
      <c r="E99" s="21"/>
      <c r="F99" s="23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</row>
    <row r="100" spans="1:20" x14ac:dyDescent="0.25">
      <c r="A100" s="22"/>
      <c r="B100" s="20" t="s">
        <v>197</v>
      </c>
      <c r="C100" s="21"/>
      <c r="D100" s="21"/>
      <c r="E100" s="21"/>
      <c r="F100" s="23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</row>
    <row r="101" spans="1:20" x14ac:dyDescent="0.25">
      <c r="A101" s="22" t="s">
        <v>252</v>
      </c>
      <c r="B101" s="16" t="s">
        <v>253</v>
      </c>
      <c r="C101" s="21" t="str">
        <f>INDEX('Alloc Amt'!B:B,MATCH('Rate Base'!D:D,'Alloc Amt'!D:D,0))</f>
        <v>Direct Assign Substation Ease - Accum Depr</v>
      </c>
      <c r="D101" s="21">
        <v>31</v>
      </c>
      <c r="E101" s="21"/>
      <c r="F101" s="23">
        <v>-12148.752</v>
      </c>
      <c r="G101" s="39">
        <f t="shared" ref="G101:R116" si="37">INDEX(Alloc,($D101),(G$1))*$F101</f>
        <v>0</v>
      </c>
      <c r="H101" s="39">
        <f t="shared" si="37"/>
        <v>0</v>
      </c>
      <c r="I101" s="39">
        <f t="shared" si="37"/>
        <v>0</v>
      </c>
      <c r="J101" s="39">
        <f t="shared" si="37"/>
        <v>0</v>
      </c>
      <c r="K101" s="39">
        <f t="shared" si="37"/>
        <v>0</v>
      </c>
      <c r="L101" s="39">
        <f t="shared" si="37"/>
        <v>0</v>
      </c>
      <c r="M101" s="39">
        <f t="shared" si="37"/>
        <v>0</v>
      </c>
      <c r="N101" s="39">
        <f t="shared" si="37"/>
        <v>0</v>
      </c>
      <c r="O101" s="39">
        <f t="shared" si="37"/>
        <v>-12148.752</v>
      </c>
      <c r="P101" s="39">
        <f t="shared" si="37"/>
        <v>0</v>
      </c>
      <c r="Q101" s="39">
        <f t="shared" si="37"/>
        <v>0</v>
      </c>
      <c r="R101" s="39">
        <f t="shared" si="37"/>
        <v>0</v>
      </c>
      <c r="T101" s="88">
        <f t="shared" ref="T101:T164" si="38">F101-SUM(G101:R101)</f>
        <v>0</v>
      </c>
    </row>
    <row r="102" spans="1:20" x14ac:dyDescent="0.25">
      <c r="A102" s="22" t="s">
        <v>254</v>
      </c>
      <c r="B102" s="16" t="s">
        <v>255</v>
      </c>
      <c r="C102" s="21" t="str">
        <f>INDEX('Alloc Amt'!B:B,MATCH('Rate Base'!D:D,'Alloc Amt'!D:D,0))</f>
        <v>Allocate Substation Land - 12 NCP</v>
      </c>
      <c r="D102" s="21">
        <v>42</v>
      </c>
      <c r="E102" s="21"/>
      <c r="F102" s="23">
        <v>-3385851.2480000001</v>
      </c>
      <c r="G102" s="39">
        <f t="shared" si="37"/>
        <v>-1536714.3043749435</v>
      </c>
      <c r="H102" s="39">
        <f t="shared" si="37"/>
        <v>-495399.86428581859</v>
      </c>
      <c r="I102" s="39">
        <f t="shared" si="37"/>
        <v>-644531.56114183192</v>
      </c>
      <c r="J102" s="39">
        <f t="shared" si="37"/>
        <v>-378796.5244031999</v>
      </c>
      <c r="K102" s="39">
        <f t="shared" si="37"/>
        <v>-312002.0550782698</v>
      </c>
      <c r="L102" s="39">
        <f t="shared" si="37"/>
        <v>-68.296062896354968</v>
      </c>
      <c r="M102" s="39">
        <f t="shared" si="37"/>
        <v>-15950.235052794173</v>
      </c>
      <c r="N102" s="39">
        <f t="shared" si="37"/>
        <v>0</v>
      </c>
      <c r="O102" s="39">
        <f t="shared" si="37"/>
        <v>0</v>
      </c>
      <c r="P102" s="39">
        <f t="shared" si="37"/>
        <v>0</v>
      </c>
      <c r="Q102" s="39">
        <f t="shared" si="37"/>
        <v>-2181.1049042825821</v>
      </c>
      <c r="R102" s="39">
        <f t="shared" si="37"/>
        <v>-207.30269596317845</v>
      </c>
      <c r="T102" s="88">
        <f t="shared" si="38"/>
        <v>0</v>
      </c>
    </row>
    <row r="103" spans="1:20" x14ac:dyDescent="0.25">
      <c r="A103" s="22" t="s">
        <v>256</v>
      </c>
      <c r="B103" s="16" t="s">
        <v>200</v>
      </c>
      <c r="C103" s="21" t="str">
        <f>INDEX('Alloc Amt'!B:B,MATCH('Rate Base'!D:D,'Alloc Amt'!D:D,0))</f>
        <v>Direct Assign Substation Structures - Accum Depr</v>
      </c>
      <c r="D103" s="21">
        <v>32</v>
      </c>
      <c r="E103" s="21"/>
      <c r="F103" s="23">
        <v>-233909.65067088912</v>
      </c>
      <c r="G103" s="39">
        <f t="shared" si="37"/>
        <v>0</v>
      </c>
      <c r="H103" s="39">
        <f t="shared" si="37"/>
        <v>0</v>
      </c>
      <c r="I103" s="39">
        <f t="shared" si="37"/>
        <v>0</v>
      </c>
      <c r="J103" s="39">
        <f t="shared" si="37"/>
        <v>0</v>
      </c>
      <c r="K103" s="39">
        <f t="shared" si="37"/>
        <v>-10967.308000000001</v>
      </c>
      <c r="L103" s="39">
        <f t="shared" si="37"/>
        <v>0</v>
      </c>
      <c r="M103" s="39">
        <f t="shared" si="37"/>
        <v>0</v>
      </c>
      <c r="N103" s="39">
        <f t="shared" si="37"/>
        <v>-64314.79908808913</v>
      </c>
      <c r="O103" s="39">
        <f t="shared" si="37"/>
        <v>-57917.228582800002</v>
      </c>
      <c r="P103" s="39">
        <f t="shared" si="37"/>
        <v>-100710.315</v>
      </c>
      <c r="Q103" s="39">
        <f t="shared" si="37"/>
        <v>0</v>
      </c>
      <c r="R103" s="39">
        <f t="shared" si="37"/>
        <v>0</v>
      </c>
      <c r="T103" s="88">
        <f t="shared" si="38"/>
        <v>0</v>
      </c>
    </row>
    <row r="104" spans="1:20" x14ac:dyDescent="0.25">
      <c r="A104" s="22" t="s">
        <v>257</v>
      </c>
      <c r="B104" s="16" t="s">
        <v>201</v>
      </c>
      <c r="C104" s="21" t="str">
        <f>INDEX('Alloc Amt'!B:B,MATCH('Rate Base'!D:D,'Alloc Amt'!D:D,0))</f>
        <v>Allocate Substation Structures - 12 NCP</v>
      </c>
      <c r="D104" s="21">
        <v>43</v>
      </c>
      <c r="E104" s="21"/>
      <c r="F104" s="23">
        <v>-2350398.6893291106</v>
      </c>
      <c r="G104" s="39">
        <f t="shared" si="37"/>
        <v>-1196523.6828054921</v>
      </c>
      <c r="H104" s="39">
        <f t="shared" si="37"/>
        <v>-329384.14714868448</v>
      </c>
      <c r="I104" s="39">
        <f t="shared" si="37"/>
        <v>-409088.22790763038</v>
      </c>
      <c r="J104" s="39">
        <f t="shared" si="37"/>
        <v>-237919.47065308262</v>
      </c>
      <c r="K104" s="39">
        <f t="shared" si="37"/>
        <v>-156194.14895802576</v>
      </c>
      <c r="L104" s="39">
        <f t="shared" si="37"/>
        <v>-0.33967581482413345</v>
      </c>
      <c r="M104" s="39">
        <f t="shared" si="37"/>
        <v>-19203.062677360151</v>
      </c>
      <c r="N104" s="39">
        <f t="shared" si="37"/>
        <v>0</v>
      </c>
      <c r="O104" s="39">
        <f t="shared" si="37"/>
        <v>0</v>
      </c>
      <c r="P104" s="39">
        <f t="shared" si="37"/>
        <v>0</v>
      </c>
      <c r="Q104" s="39">
        <f t="shared" si="37"/>
        <v>-1818.1147988461746</v>
      </c>
      <c r="R104" s="39">
        <f t="shared" si="37"/>
        <v>-267.49470417400511</v>
      </c>
      <c r="T104" s="88">
        <f t="shared" si="38"/>
        <v>0</v>
      </c>
    </row>
    <row r="105" spans="1:20" x14ac:dyDescent="0.25">
      <c r="A105" s="22" t="s">
        <v>258</v>
      </c>
      <c r="B105" s="16" t="s">
        <v>202</v>
      </c>
      <c r="C105" s="21" t="str">
        <f>INDEX('Alloc Amt'!B:B,MATCH('Rate Base'!D:D,'Alloc Amt'!D:D,0))</f>
        <v>Direct Assign Substation Equipment - Accum Depr</v>
      </c>
      <c r="D105" s="21">
        <v>33</v>
      </c>
      <c r="E105" s="21"/>
      <c r="F105" s="23">
        <v>-11586662.121254718</v>
      </c>
      <c r="G105" s="39">
        <f t="shared" si="37"/>
        <v>0</v>
      </c>
      <c r="H105" s="39">
        <f t="shared" si="37"/>
        <v>0</v>
      </c>
      <c r="I105" s="39">
        <f t="shared" si="37"/>
        <v>0</v>
      </c>
      <c r="J105" s="39">
        <f t="shared" si="37"/>
        <v>0</v>
      </c>
      <c r="K105" s="39">
        <f t="shared" si="37"/>
        <v>-698898.21200000006</v>
      </c>
      <c r="L105" s="39">
        <f t="shared" si="37"/>
        <v>0</v>
      </c>
      <c r="M105" s="39">
        <f t="shared" si="37"/>
        <v>0</v>
      </c>
      <c r="N105" s="39">
        <f t="shared" si="37"/>
        <v>-3115650.3046919182</v>
      </c>
      <c r="O105" s="39">
        <f t="shared" si="37"/>
        <v>-4407970.1745627997</v>
      </c>
      <c r="P105" s="39">
        <f t="shared" si="37"/>
        <v>-3364143.4299999997</v>
      </c>
      <c r="Q105" s="39">
        <f t="shared" si="37"/>
        <v>0</v>
      </c>
      <c r="R105" s="39">
        <f t="shared" si="37"/>
        <v>0</v>
      </c>
      <c r="T105" s="88">
        <f t="shared" si="38"/>
        <v>0</v>
      </c>
    </row>
    <row r="106" spans="1:20" x14ac:dyDescent="0.25">
      <c r="A106" s="22" t="s">
        <v>259</v>
      </c>
      <c r="B106" s="16" t="s">
        <v>203</v>
      </c>
      <c r="C106" s="21" t="str">
        <f>INDEX('Alloc Amt'!B:B,MATCH('Rate Base'!D:D,'Alloc Amt'!D:D,0))</f>
        <v>Allocate Substation Equipment - 12 NCP</v>
      </c>
      <c r="D106" s="21">
        <v>44</v>
      </c>
      <c r="E106" s="21"/>
      <c r="F106" s="23">
        <v>-125501319.31874529</v>
      </c>
      <c r="G106" s="39">
        <f t="shared" si="37"/>
        <v>-70054303.221883804</v>
      </c>
      <c r="H106" s="39">
        <f t="shared" si="37"/>
        <v>-16937305.614666715</v>
      </c>
      <c r="I106" s="39">
        <f t="shared" si="37"/>
        <v>-18610535.875498135</v>
      </c>
      <c r="J106" s="39">
        <f t="shared" si="37"/>
        <v>-9902511.1893525105</v>
      </c>
      <c r="K106" s="39">
        <f t="shared" si="37"/>
        <v>-8816063.1958567835</v>
      </c>
      <c r="L106" s="39">
        <f t="shared" si="37"/>
        <v>-32416.630794771561</v>
      </c>
      <c r="M106" s="39">
        <f t="shared" si="37"/>
        <v>-1012427.2144749047</v>
      </c>
      <c r="N106" s="39">
        <f t="shared" si="37"/>
        <v>0</v>
      </c>
      <c r="O106" s="39">
        <f t="shared" si="37"/>
        <v>0</v>
      </c>
      <c r="P106" s="39">
        <f t="shared" si="37"/>
        <v>0</v>
      </c>
      <c r="Q106" s="39">
        <f t="shared" si="37"/>
        <v>-101244.80588646964</v>
      </c>
      <c r="R106" s="39">
        <f t="shared" si="37"/>
        <v>-34511.570331189971</v>
      </c>
      <c r="T106" s="88">
        <f t="shared" si="38"/>
        <v>0</v>
      </c>
    </row>
    <row r="107" spans="1:20" x14ac:dyDescent="0.25">
      <c r="A107" s="22" t="s">
        <v>260</v>
      </c>
      <c r="B107" s="16" t="s">
        <v>204</v>
      </c>
      <c r="C107" s="21" t="str">
        <f>INDEX('Alloc Amt'!B:B,MATCH('Rate Base'!D:D,'Alloc Amt'!D:D,0))</f>
        <v>Allocate Substation Equipment - 12 NCP</v>
      </c>
      <c r="D107" s="21">
        <v>44</v>
      </c>
      <c r="E107" s="21"/>
      <c r="F107" s="23">
        <v>-124550.5</v>
      </c>
      <c r="G107" s="39">
        <f t="shared" si="37"/>
        <v>-69523.559917939448</v>
      </c>
      <c r="H107" s="39">
        <f t="shared" si="37"/>
        <v>-16808.985709558652</v>
      </c>
      <c r="I107" s="39">
        <f t="shared" si="37"/>
        <v>-18469.539293640028</v>
      </c>
      <c r="J107" s="39">
        <f t="shared" si="37"/>
        <v>-9827.4880820733397</v>
      </c>
      <c r="K107" s="39">
        <f t="shared" si="37"/>
        <v>-8749.2712031717492</v>
      </c>
      <c r="L107" s="39">
        <f t="shared" si="37"/>
        <v>-32.171036892049152</v>
      </c>
      <c r="M107" s="39">
        <f t="shared" si="37"/>
        <v>-1004.7568938792994</v>
      </c>
      <c r="N107" s="39">
        <f t="shared" si="37"/>
        <v>0</v>
      </c>
      <c r="O107" s="39">
        <f t="shared" si="37"/>
        <v>0</v>
      </c>
      <c r="P107" s="39">
        <f t="shared" si="37"/>
        <v>0</v>
      </c>
      <c r="Q107" s="39">
        <f t="shared" si="37"/>
        <v>-100.47775803484522</v>
      </c>
      <c r="R107" s="39">
        <f t="shared" si="37"/>
        <v>-34.250104810594202</v>
      </c>
      <c r="T107" s="88">
        <f t="shared" si="38"/>
        <v>0</v>
      </c>
    </row>
    <row r="108" spans="1:20" x14ac:dyDescent="0.25">
      <c r="A108" s="22" t="s">
        <v>261</v>
      </c>
      <c r="B108" s="16" t="s">
        <v>205</v>
      </c>
      <c r="C108" s="21" t="str">
        <f>INDEX('Alloc Amt'!B:B,MATCH('Rate Base'!D:D,'Alloc Amt'!D:D,0))</f>
        <v>Allocate Overhead Lines - 12 NCP</v>
      </c>
      <c r="D108" s="21">
        <v>45</v>
      </c>
      <c r="E108" s="21"/>
      <c r="F108" s="23">
        <v>-149346565.32902548</v>
      </c>
      <c r="G108" s="39">
        <f t="shared" si="37"/>
        <v>-102931601.96611065</v>
      </c>
      <c r="H108" s="39">
        <f t="shared" si="37"/>
        <v>-18807377.896459486</v>
      </c>
      <c r="I108" s="39">
        <f t="shared" si="37"/>
        <v>-14621410.245547814</v>
      </c>
      <c r="J108" s="39">
        <f t="shared" si="37"/>
        <v>-5784000.7412238782</v>
      </c>
      <c r="K108" s="39">
        <f t="shared" si="37"/>
        <v>-5414081.5071386537</v>
      </c>
      <c r="L108" s="39">
        <f t="shared" si="37"/>
        <v>-135607.05093797357</v>
      </c>
      <c r="M108" s="39">
        <f t="shared" si="37"/>
        <v>-1458975.8599808973</v>
      </c>
      <c r="N108" s="39">
        <f t="shared" si="37"/>
        <v>0</v>
      </c>
      <c r="O108" s="39">
        <f t="shared" si="37"/>
        <v>0</v>
      </c>
      <c r="P108" s="39">
        <f t="shared" si="37"/>
        <v>0</v>
      </c>
      <c r="Q108" s="39">
        <f t="shared" si="37"/>
        <v>-90454.703225219113</v>
      </c>
      <c r="R108" s="39">
        <f t="shared" si="37"/>
        <v>-103055.35840087153</v>
      </c>
      <c r="T108" s="88">
        <f t="shared" si="38"/>
        <v>0</v>
      </c>
    </row>
    <row r="109" spans="1:20" x14ac:dyDescent="0.25">
      <c r="A109" s="22" t="s">
        <v>262</v>
      </c>
      <c r="B109" s="16" t="s">
        <v>263</v>
      </c>
      <c r="C109" s="21" t="str">
        <f>INDEX('Alloc Amt'!B:B,MATCH('Rate Base'!D:D,'Alloc Amt'!D:D,0))</f>
        <v>Direct Assign OH Dist Lines - Accum Depr</v>
      </c>
      <c r="D109" s="21">
        <v>34</v>
      </c>
      <c r="E109" s="21"/>
      <c r="F109" s="23">
        <v>-55883.055832029437</v>
      </c>
      <c r="G109" s="39">
        <f t="shared" si="37"/>
        <v>0</v>
      </c>
      <c r="H109" s="39">
        <f t="shared" si="37"/>
        <v>0</v>
      </c>
      <c r="I109" s="39">
        <f t="shared" si="37"/>
        <v>0</v>
      </c>
      <c r="J109" s="39">
        <f t="shared" si="37"/>
        <v>0</v>
      </c>
      <c r="K109" s="39">
        <f t="shared" si="37"/>
        <v>0</v>
      </c>
      <c r="L109" s="39">
        <f t="shared" si="37"/>
        <v>0</v>
      </c>
      <c r="M109" s="39">
        <f t="shared" si="37"/>
        <v>0</v>
      </c>
      <c r="N109" s="39">
        <f t="shared" si="37"/>
        <v>-55883.055832029437</v>
      </c>
      <c r="O109" s="39">
        <f t="shared" si="37"/>
        <v>0</v>
      </c>
      <c r="P109" s="39">
        <f t="shared" si="37"/>
        <v>0</v>
      </c>
      <c r="Q109" s="39">
        <f t="shared" si="37"/>
        <v>0</v>
      </c>
      <c r="R109" s="39">
        <f t="shared" si="37"/>
        <v>0</v>
      </c>
      <c r="T109" s="88">
        <f t="shared" si="38"/>
        <v>0</v>
      </c>
    </row>
    <row r="110" spans="1:20" x14ac:dyDescent="0.25">
      <c r="A110" s="22" t="s">
        <v>264</v>
      </c>
      <c r="B110" s="16" t="s">
        <v>207</v>
      </c>
      <c r="C110" s="21" t="str">
        <f>INDEX('Alloc Amt'!B:B,MATCH('Rate Base'!D:D,'Alloc Amt'!D:D,0))</f>
        <v>Allocate Overhead Lines - 12 NCP</v>
      </c>
      <c r="D110" s="21">
        <v>45</v>
      </c>
      <c r="E110" s="21"/>
      <c r="F110" s="23">
        <v>-132596941.81008512</v>
      </c>
      <c r="G110" s="39">
        <f t="shared" si="37"/>
        <v>-91387542.835353374</v>
      </c>
      <c r="H110" s="39">
        <f t="shared" si="37"/>
        <v>-16698079.309979618</v>
      </c>
      <c r="I110" s="39">
        <f t="shared" si="37"/>
        <v>-12981579.316799255</v>
      </c>
      <c r="J110" s="39">
        <f t="shared" si="37"/>
        <v>-5135309.3258214826</v>
      </c>
      <c r="K110" s="39">
        <f t="shared" si="37"/>
        <v>-4806877.5400059372</v>
      </c>
      <c r="L110" s="39">
        <f t="shared" si="37"/>
        <v>-120398.35132897504</v>
      </c>
      <c r="M110" s="39">
        <f t="shared" si="37"/>
        <v>-1295347.7489221364</v>
      </c>
      <c r="N110" s="39">
        <f t="shared" si="37"/>
        <v>0</v>
      </c>
      <c r="O110" s="39">
        <f t="shared" si="37"/>
        <v>0</v>
      </c>
      <c r="P110" s="39">
        <f t="shared" si="37"/>
        <v>0</v>
      </c>
      <c r="Q110" s="39">
        <f t="shared" si="37"/>
        <v>-80309.962224968986</v>
      </c>
      <c r="R110" s="39">
        <f t="shared" si="37"/>
        <v>-91497.419649342759</v>
      </c>
      <c r="T110" s="88">
        <f t="shared" si="38"/>
        <v>0</v>
      </c>
    </row>
    <row r="111" spans="1:20" x14ac:dyDescent="0.25">
      <c r="A111" s="22" t="s">
        <v>265</v>
      </c>
      <c r="B111" s="16" t="s">
        <v>266</v>
      </c>
      <c r="C111" s="21" t="str">
        <f>INDEX('Alloc Amt'!B:B,MATCH('Rate Base'!D:D,'Alloc Amt'!D:D,0))</f>
        <v>Direct Assign UG Dist Lines</v>
      </c>
      <c r="D111" s="21">
        <v>35</v>
      </c>
      <c r="E111" s="21"/>
      <c r="F111" s="23">
        <v>-16526870.952044467</v>
      </c>
      <c r="G111" s="39">
        <f t="shared" ref="G111:R121" si="39">INDEX(Alloc,($D111),(G$1))*$F111</f>
        <v>0</v>
      </c>
      <c r="H111" s="39">
        <f t="shared" si="39"/>
        <v>0</v>
      </c>
      <c r="I111" s="39">
        <f t="shared" si="39"/>
        <v>0</v>
      </c>
      <c r="J111" s="39">
        <f t="shared" si="39"/>
        <v>0</v>
      </c>
      <c r="K111" s="39">
        <f t="shared" si="39"/>
        <v>0</v>
      </c>
      <c r="L111" s="39">
        <f t="shared" si="37"/>
        <v>0</v>
      </c>
      <c r="M111" s="39">
        <f t="shared" si="37"/>
        <v>0</v>
      </c>
      <c r="N111" s="39">
        <f t="shared" si="39"/>
        <v>-14546761.500330182</v>
      </c>
      <c r="O111" s="39">
        <f t="shared" si="39"/>
        <v>-1954966.5945714284</v>
      </c>
      <c r="P111" s="39">
        <f t="shared" si="39"/>
        <v>-25142.857142857145</v>
      </c>
      <c r="Q111" s="39">
        <f t="shared" si="39"/>
        <v>0</v>
      </c>
      <c r="R111" s="39">
        <f t="shared" si="39"/>
        <v>0</v>
      </c>
      <c r="T111" s="88">
        <f t="shared" si="38"/>
        <v>0</v>
      </c>
    </row>
    <row r="112" spans="1:20" x14ac:dyDescent="0.25">
      <c r="A112" s="22" t="s">
        <v>267</v>
      </c>
      <c r="B112" s="16" t="s">
        <v>268</v>
      </c>
      <c r="C112" s="21" t="str">
        <f>INDEX('Alloc Amt'!B:B,MATCH('Rate Base'!D:D,'Alloc Amt'!D:D,0))</f>
        <v>Allocate Underground Lines - 12 NCP</v>
      </c>
      <c r="D112" s="21">
        <v>47</v>
      </c>
      <c r="E112" s="21"/>
      <c r="F112" s="23">
        <v>-274285943.71102428</v>
      </c>
      <c r="G112" s="39">
        <f t="shared" si="39"/>
        <v>-184592940.76400334</v>
      </c>
      <c r="H112" s="39">
        <f t="shared" si="39"/>
        <v>-32892203.765319232</v>
      </c>
      <c r="I112" s="39">
        <f t="shared" si="39"/>
        <v>-30694312.544480834</v>
      </c>
      <c r="J112" s="39">
        <f t="shared" si="39"/>
        <v>-13326619.640014224</v>
      </c>
      <c r="K112" s="39">
        <f t="shared" si="39"/>
        <v>-9505607.5138858818</v>
      </c>
      <c r="L112" s="39">
        <f t="shared" si="37"/>
        <v>-112886.73968415053</v>
      </c>
      <c r="M112" s="39">
        <f t="shared" si="37"/>
        <v>-2959808.7096463661</v>
      </c>
      <c r="N112" s="39">
        <f t="shared" si="39"/>
        <v>0</v>
      </c>
      <c r="O112" s="39">
        <f t="shared" si="39"/>
        <v>0</v>
      </c>
      <c r="P112" s="39">
        <f t="shared" si="39"/>
        <v>0</v>
      </c>
      <c r="Q112" s="39">
        <f t="shared" si="39"/>
        <v>-126487.55169428916</v>
      </c>
      <c r="R112" s="39">
        <f t="shared" si="39"/>
        <v>-75076.482295965165</v>
      </c>
      <c r="T112" s="88">
        <f t="shared" si="38"/>
        <v>0</v>
      </c>
    </row>
    <row r="113" spans="1:20" x14ac:dyDescent="0.25">
      <c r="A113" s="22" t="s">
        <v>269</v>
      </c>
      <c r="B113" s="16" t="s">
        <v>270</v>
      </c>
      <c r="C113" s="21" t="str">
        <f>INDEX('Alloc Amt'!B:B,MATCH('Rate Base'!D:D,'Alloc Amt'!D:D,0))</f>
        <v>Allocate Underground Lines - 12 NCP</v>
      </c>
      <c r="D113" s="21">
        <v>47</v>
      </c>
      <c r="E113" s="21"/>
      <c r="F113" s="23">
        <v>-387170816.60218024</v>
      </c>
      <c r="G113" s="39">
        <f t="shared" si="39"/>
        <v>-260563843.14718542</v>
      </c>
      <c r="H113" s="39">
        <f t="shared" si="39"/>
        <v>-46429289.154827751</v>
      </c>
      <c r="I113" s="39">
        <f t="shared" si="39"/>
        <v>-43326835.827247471</v>
      </c>
      <c r="J113" s="39">
        <f t="shared" si="39"/>
        <v>-18811311.0674274</v>
      </c>
      <c r="K113" s="39">
        <f t="shared" si="39"/>
        <v>-13417726.674788753</v>
      </c>
      <c r="L113" s="39">
        <f t="shared" si="37"/>
        <v>-159346.30333487858</v>
      </c>
      <c r="M113" s="39">
        <f t="shared" si="37"/>
        <v>-4177944.8833417199</v>
      </c>
      <c r="N113" s="39">
        <f t="shared" si="39"/>
        <v>0</v>
      </c>
      <c r="O113" s="39">
        <f t="shared" si="39"/>
        <v>0</v>
      </c>
      <c r="P113" s="39">
        <f t="shared" si="39"/>
        <v>0</v>
      </c>
      <c r="Q113" s="39">
        <f t="shared" si="39"/>
        <v>-178544.65313426155</v>
      </c>
      <c r="R113" s="39">
        <f t="shared" si="39"/>
        <v>-105974.89089259393</v>
      </c>
      <c r="T113" s="88">
        <f t="shared" si="38"/>
        <v>0</v>
      </c>
    </row>
    <row r="114" spans="1:20" x14ac:dyDescent="0.25">
      <c r="A114" s="22" t="s">
        <v>271</v>
      </c>
      <c r="B114" s="16" t="s">
        <v>272</v>
      </c>
      <c r="C114" s="21" t="str">
        <f>INDEX('Alloc Amt'!B:B,MATCH('Rate Base'!D:D,'Alloc Amt'!D:D,0))</f>
        <v>Line Transformers</v>
      </c>
      <c r="D114" s="21">
        <v>41</v>
      </c>
      <c r="E114" s="21"/>
      <c r="F114" s="23">
        <v>-1245672</v>
      </c>
      <c r="G114" s="39">
        <f t="shared" si="39"/>
        <v>0</v>
      </c>
      <c r="H114" s="39">
        <f t="shared" si="39"/>
        <v>0</v>
      </c>
      <c r="I114" s="39">
        <f t="shared" si="39"/>
        <v>0</v>
      </c>
      <c r="J114" s="39">
        <f t="shared" si="39"/>
        <v>0</v>
      </c>
      <c r="K114" s="39">
        <f t="shared" si="39"/>
        <v>-412218.0095138941</v>
      </c>
      <c r="L114" s="39">
        <f t="shared" si="37"/>
        <v>0</v>
      </c>
      <c r="M114" s="39">
        <f t="shared" si="37"/>
        <v>-23624.820130172873</v>
      </c>
      <c r="N114" s="39">
        <f t="shared" si="39"/>
        <v>-800130.57324986497</v>
      </c>
      <c r="O114" s="39">
        <f t="shared" si="39"/>
        <v>0</v>
      </c>
      <c r="P114" s="39">
        <f t="shared" si="39"/>
        <v>0</v>
      </c>
      <c r="Q114" s="39">
        <f t="shared" si="39"/>
        <v>0</v>
      </c>
      <c r="R114" s="39">
        <f t="shared" si="39"/>
        <v>-9698.5971060680858</v>
      </c>
      <c r="T114" s="88">
        <f t="shared" si="38"/>
        <v>0</v>
      </c>
    </row>
    <row r="115" spans="1:20" x14ac:dyDescent="0.25">
      <c r="A115" s="22" t="s">
        <v>273</v>
      </c>
      <c r="B115" s="16" t="s">
        <v>274</v>
      </c>
      <c r="C115" s="21" t="str">
        <f>INDEX('Alloc Amt'!B:B,MATCH('Rate Base'!D:D,'Alloc Amt'!D:D,0))</f>
        <v>Allocate Overhead Transformers</v>
      </c>
      <c r="D115" s="21">
        <v>46</v>
      </c>
      <c r="E115" s="21"/>
      <c r="F115" s="23">
        <v>-72954566.067123711</v>
      </c>
      <c r="G115" s="39">
        <f t="shared" si="39"/>
        <v>-54471763.488865152</v>
      </c>
      <c r="H115" s="39">
        <f t="shared" si="39"/>
        <v>-8921362.3803448081</v>
      </c>
      <c r="I115" s="39">
        <f t="shared" si="39"/>
        <v>-1304252.6428713268</v>
      </c>
      <c r="J115" s="39">
        <f t="shared" si="39"/>
        <v>-14707.255189992533</v>
      </c>
      <c r="K115" s="39">
        <f t="shared" si="39"/>
        <v>0</v>
      </c>
      <c r="L115" s="39">
        <f t="shared" si="37"/>
        <v>0</v>
      </c>
      <c r="M115" s="39">
        <f t="shared" si="37"/>
        <v>0</v>
      </c>
      <c r="N115" s="39">
        <f t="shared" si="39"/>
        <v>0</v>
      </c>
      <c r="O115" s="39">
        <f t="shared" si="39"/>
        <v>0</v>
      </c>
      <c r="P115" s="39">
        <f t="shared" si="39"/>
        <v>0</v>
      </c>
      <c r="Q115" s="39">
        <f t="shared" si="39"/>
        <v>-8242480.2998524411</v>
      </c>
      <c r="R115" s="39">
        <f t="shared" si="39"/>
        <v>0</v>
      </c>
      <c r="T115" s="88">
        <f t="shared" si="38"/>
        <v>0</v>
      </c>
    </row>
    <row r="116" spans="1:20" x14ac:dyDescent="0.25">
      <c r="A116" s="22" t="s">
        <v>275</v>
      </c>
      <c r="B116" s="16" t="s">
        <v>276</v>
      </c>
      <c r="C116" s="21" t="str">
        <f>INDEX('Alloc Amt'!B:B,MATCH('Rate Base'!D:D,'Alloc Amt'!D:D,0))</f>
        <v>Allocate Underground Transformers</v>
      </c>
      <c r="D116" s="21">
        <v>48</v>
      </c>
      <c r="E116" s="21"/>
      <c r="F116" s="23">
        <v>-134960859.27036494</v>
      </c>
      <c r="G116" s="39">
        <f t="shared" si="39"/>
        <v>-107817200.16035898</v>
      </c>
      <c r="H116" s="39">
        <f t="shared" si="39"/>
        <v>-16667975.048270775</v>
      </c>
      <c r="I116" s="39">
        <f t="shared" si="39"/>
        <v>-7944274.4123820299</v>
      </c>
      <c r="J116" s="39">
        <f t="shared" si="39"/>
        <v>-2195175.1860408979</v>
      </c>
      <c r="K116" s="39">
        <f t="shared" si="39"/>
        <v>0</v>
      </c>
      <c r="L116" s="39">
        <f t="shared" si="37"/>
        <v>0</v>
      </c>
      <c r="M116" s="39">
        <f t="shared" si="37"/>
        <v>0</v>
      </c>
      <c r="N116" s="39">
        <f t="shared" si="39"/>
        <v>0</v>
      </c>
      <c r="O116" s="39">
        <f t="shared" si="39"/>
        <v>0</v>
      </c>
      <c r="P116" s="39">
        <f t="shared" si="39"/>
        <v>0</v>
      </c>
      <c r="Q116" s="39">
        <f t="shared" si="39"/>
        <v>-336234.46331225522</v>
      </c>
      <c r="R116" s="39">
        <f t="shared" si="39"/>
        <v>0</v>
      </c>
      <c r="T116" s="88">
        <f t="shared" si="38"/>
        <v>0</v>
      </c>
    </row>
    <row r="117" spans="1:20" x14ac:dyDescent="0.25">
      <c r="A117" s="22" t="s">
        <v>277</v>
      </c>
      <c r="B117" s="16" t="s">
        <v>278</v>
      </c>
      <c r="C117" s="21" t="str">
        <f>INDEX('Alloc Amt'!B:B,MATCH('Rate Base'!D:D,'Alloc Amt'!D:D,0))</f>
        <v>Dist OH Services (Sec Voltage Only)</v>
      </c>
      <c r="D117" s="21">
        <v>20</v>
      </c>
      <c r="E117" s="21"/>
      <c r="F117" s="23">
        <v>-33106913.110664558</v>
      </c>
      <c r="G117" s="39">
        <f t="shared" si="39"/>
        <v>-28570731.161835331</v>
      </c>
      <c r="H117" s="39">
        <f t="shared" si="39"/>
        <v>-4365306.1039201962</v>
      </c>
      <c r="I117" s="39">
        <f t="shared" si="39"/>
        <v>-167252.18184545738</v>
      </c>
      <c r="J117" s="39">
        <f t="shared" si="39"/>
        <v>-3623.6630635751485</v>
      </c>
      <c r="K117" s="39">
        <f t="shared" si="39"/>
        <v>0</v>
      </c>
      <c r="L117" s="39">
        <f t="shared" si="39"/>
        <v>0</v>
      </c>
      <c r="M117" s="39">
        <f t="shared" si="39"/>
        <v>0</v>
      </c>
      <c r="N117" s="39">
        <f t="shared" si="39"/>
        <v>0</v>
      </c>
      <c r="O117" s="39">
        <f t="shared" si="39"/>
        <v>0</v>
      </c>
      <c r="P117" s="39">
        <f t="shared" si="39"/>
        <v>0</v>
      </c>
      <c r="Q117" s="39">
        <f t="shared" si="39"/>
        <v>0</v>
      </c>
      <c r="R117" s="39">
        <f t="shared" si="39"/>
        <v>0</v>
      </c>
      <c r="T117" s="88">
        <f t="shared" si="38"/>
        <v>0</v>
      </c>
    </row>
    <row r="118" spans="1:20" x14ac:dyDescent="0.25">
      <c r="A118" s="22" t="s">
        <v>279</v>
      </c>
      <c r="B118" s="16" t="s">
        <v>280</v>
      </c>
      <c r="C118" s="21" t="str">
        <f>INDEX('Alloc Amt'!B:B,MATCH('Rate Base'!D:D,'Alloc Amt'!D:D,0))</f>
        <v>Residential Allocation Only</v>
      </c>
      <c r="D118" s="21">
        <v>24</v>
      </c>
      <c r="E118" s="21"/>
      <c r="F118" s="23">
        <v>-93641215.226628304</v>
      </c>
      <c r="G118" s="39">
        <f t="shared" si="39"/>
        <v>-93641215.226628304</v>
      </c>
      <c r="H118" s="39">
        <f t="shared" si="39"/>
        <v>0</v>
      </c>
      <c r="I118" s="39">
        <f t="shared" si="39"/>
        <v>0</v>
      </c>
      <c r="J118" s="39">
        <f t="shared" si="39"/>
        <v>0</v>
      </c>
      <c r="K118" s="39">
        <f t="shared" si="39"/>
        <v>0</v>
      </c>
      <c r="L118" s="39">
        <f t="shared" si="39"/>
        <v>0</v>
      </c>
      <c r="M118" s="39">
        <f t="shared" si="39"/>
        <v>0</v>
      </c>
      <c r="N118" s="39">
        <f t="shared" si="39"/>
        <v>0</v>
      </c>
      <c r="O118" s="39">
        <f t="shared" si="39"/>
        <v>0</v>
      </c>
      <c r="P118" s="39">
        <f t="shared" si="39"/>
        <v>0</v>
      </c>
      <c r="Q118" s="39">
        <f t="shared" si="39"/>
        <v>0</v>
      </c>
      <c r="R118" s="39">
        <f t="shared" si="39"/>
        <v>0</v>
      </c>
      <c r="T118" s="88">
        <f t="shared" si="38"/>
        <v>0</v>
      </c>
    </row>
    <row r="119" spans="1:20" x14ac:dyDescent="0.25">
      <c r="A119" s="22" t="s">
        <v>281</v>
      </c>
      <c r="B119" s="16" t="s">
        <v>220</v>
      </c>
      <c r="C119" s="21" t="str">
        <f>INDEX('Alloc Amt'!B:B,MATCH('Rate Base'!D:D,'Alloc Amt'!D:D,0))</f>
        <v>Meter Investment</v>
      </c>
      <c r="D119" s="21">
        <v>19</v>
      </c>
      <c r="E119" s="21"/>
      <c r="F119" s="23">
        <v>-39213863.239287503</v>
      </c>
      <c r="G119" s="39">
        <f t="shared" si="39"/>
        <v>-25458658.24115362</v>
      </c>
      <c r="H119" s="39">
        <f t="shared" si="39"/>
        <v>-7145874.7784302495</v>
      </c>
      <c r="I119" s="39">
        <f t="shared" si="39"/>
        <v>-2111863.9488710072</v>
      </c>
      <c r="J119" s="39">
        <f t="shared" si="39"/>
        <v>-237355.39323898061</v>
      </c>
      <c r="K119" s="39">
        <f t="shared" si="39"/>
        <v>-2842995.6880319864</v>
      </c>
      <c r="L119" s="39">
        <f t="shared" si="39"/>
        <v>-9217.8877958739613</v>
      </c>
      <c r="M119" s="39">
        <f t="shared" si="39"/>
        <v>-918804.14483524207</v>
      </c>
      <c r="N119" s="39">
        <f t="shared" si="39"/>
        <v>-185829.47368523726</v>
      </c>
      <c r="O119" s="39">
        <f t="shared" si="39"/>
        <v>-115399.66048185888</v>
      </c>
      <c r="P119" s="39">
        <f t="shared" si="39"/>
        <v>-185792.45871956355</v>
      </c>
      <c r="Q119" s="39">
        <f t="shared" si="39"/>
        <v>0</v>
      </c>
      <c r="R119" s="39">
        <f t="shared" si="39"/>
        <v>-2071.5640438791515</v>
      </c>
      <c r="T119" s="88">
        <f t="shared" si="38"/>
        <v>0</v>
      </c>
    </row>
    <row r="120" spans="1:20" x14ac:dyDescent="0.25">
      <c r="A120" s="22" t="s">
        <v>282</v>
      </c>
      <c r="B120" s="16" t="s">
        <v>221</v>
      </c>
      <c r="C120" s="21" t="str">
        <f>INDEX('Alloc Amt'!B:B,MATCH('Rate Base'!D:D,'Alloc Amt'!D:D,0))</f>
        <v>Str. &amp; Signal Systems</v>
      </c>
      <c r="D120" s="21">
        <v>12</v>
      </c>
      <c r="E120" s="21"/>
      <c r="F120" s="23">
        <v>-20006963.143007282</v>
      </c>
      <c r="G120" s="39">
        <f t="shared" si="39"/>
        <v>0</v>
      </c>
      <c r="H120" s="39">
        <f t="shared" si="39"/>
        <v>0</v>
      </c>
      <c r="I120" s="39">
        <f t="shared" si="39"/>
        <v>0</v>
      </c>
      <c r="J120" s="39">
        <f t="shared" si="39"/>
        <v>0</v>
      </c>
      <c r="K120" s="39">
        <f t="shared" si="39"/>
        <v>0</v>
      </c>
      <c r="L120" s="39">
        <f t="shared" si="39"/>
        <v>0</v>
      </c>
      <c r="M120" s="39">
        <f t="shared" si="39"/>
        <v>0</v>
      </c>
      <c r="N120" s="39">
        <f t="shared" si="39"/>
        <v>0</v>
      </c>
      <c r="O120" s="39">
        <f t="shared" si="39"/>
        <v>0</v>
      </c>
      <c r="P120" s="39">
        <f t="shared" si="39"/>
        <v>0</v>
      </c>
      <c r="Q120" s="39">
        <f t="shared" si="39"/>
        <v>-20006963.143007282</v>
      </c>
      <c r="R120" s="39">
        <f t="shared" si="39"/>
        <v>0</v>
      </c>
      <c r="T120" s="88">
        <f t="shared" si="38"/>
        <v>0</v>
      </c>
    </row>
    <row r="121" spans="1:20" x14ac:dyDescent="0.25">
      <c r="A121" s="22" t="s">
        <v>283</v>
      </c>
      <c r="B121" s="16" t="s">
        <v>222</v>
      </c>
      <c r="C121" s="21" t="str">
        <f>INDEX('Alloc Amt'!B:B,MATCH('Rate Base'!D:D,'Alloc Amt'!D:D,0))</f>
        <v>Total Distribution OH &amp; UG Lines</v>
      </c>
      <c r="D121" s="21">
        <v>71</v>
      </c>
      <c r="E121" s="21"/>
      <c r="F121" s="23">
        <v>-444030</v>
      </c>
      <c r="G121" s="39">
        <f t="shared" si="39"/>
        <v>-297848.20035241882</v>
      </c>
      <c r="H121" s="39">
        <f t="shared" si="39"/>
        <v>-53526.943492957427</v>
      </c>
      <c r="I121" s="39">
        <f t="shared" si="39"/>
        <v>-47097.551984116624</v>
      </c>
      <c r="J121" s="39">
        <f t="shared" si="39"/>
        <v>-19898.990309761586</v>
      </c>
      <c r="K121" s="39">
        <f t="shared" si="39"/>
        <v>-15448.335230700943</v>
      </c>
      <c r="L121" s="39">
        <f t="shared" si="39"/>
        <v>-252.90775445017812</v>
      </c>
      <c r="M121" s="39">
        <f t="shared" si="39"/>
        <v>-4589.3214829353083</v>
      </c>
      <c r="N121" s="39">
        <f t="shared" si="39"/>
        <v>-3991.7044895898039</v>
      </c>
      <c r="O121" s="39">
        <f t="shared" si="39"/>
        <v>-966.01326507160377</v>
      </c>
      <c r="P121" s="39">
        <f t="shared" si="39"/>
        <v>-5.8051893053770307</v>
      </c>
      <c r="Q121" s="39">
        <f t="shared" si="39"/>
        <v>-223.49545310550741</v>
      </c>
      <c r="R121" s="39">
        <f t="shared" si="39"/>
        <v>-180.73099558673977</v>
      </c>
      <c r="T121" s="88">
        <f t="shared" si="38"/>
        <v>0</v>
      </c>
    </row>
    <row r="122" spans="1:20" x14ac:dyDescent="0.25">
      <c r="A122" s="25"/>
      <c r="B122" s="24" t="s">
        <v>189</v>
      </c>
      <c r="C122" s="26"/>
      <c r="D122" s="26"/>
      <c r="E122" s="26"/>
      <c r="F122" s="27">
        <f>SUM(F101:F121)</f>
        <v>-1498751943.7972682</v>
      </c>
      <c r="G122" s="27">
        <f t="shared" ref="G122:R122" si="40">SUM(G101:G121)</f>
        <v>-1022590409.9608288</v>
      </c>
      <c r="H122" s="27">
        <f t="shared" si="40"/>
        <v>-169759893.99285582</v>
      </c>
      <c r="I122" s="27">
        <f t="shared" si="40"/>
        <v>-132881503.87587054</v>
      </c>
      <c r="J122" s="27">
        <f t="shared" si="40"/>
        <v>-56057055.934821069</v>
      </c>
      <c r="K122" s="27">
        <f t="shared" si="40"/>
        <v>-46417829.459692053</v>
      </c>
      <c r="L122" s="27">
        <f t="shared" si="40"/>
        <v>-570226.67840667663</v>
      </c>
      <c r="M122" s="27">
        <f t="shared" si="40"/>
        <v>-11887680.757438408</v>
      </c>
      <c r="N122" s="27">
        <f t="shared" si="40"/>
        <v>-18772561.41136691</v>
      </c>
      <c r="O122" s="27">
        <f t="shared" si="40"/>
        <v>-6549368.4234639583</v>
      </c>
      <c r="P122" s="27">
        <f t="shared" si="40"/>
        <v>-3675794.866051726</v>
      </c>
      <c r="Q122" s="27">
        <f t="shared" si="40"/>
        <v>-29167042.775251456</v>
      </c>
      <c r="R122" s="27">
        <f t="shared" si="40"/>
        <v>-422575.66122044518</v>
      </c>
      <c r="T122" s="88">
        <f t="shared" si="38"/>
        <v>0</v>
      </c>
    </row>
    <row r="123" spans="1:20" x14ac:dyDescent="0.25">
      <c r="A123" s="22"/>
      <c r="B123" s="16"/>
      <c r="C123" s="21"/>
      <c r="D123" s="21"/>
      <c r="E123" s="21"/>
      <c r="F123" s="23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T123" s="88">
        <f t="shared" si="38"/>
        <v>0</v>
      </c>
    </row>
    <row r="124" spans="1:20" x14ac:dyDescent="0.25">
      <c r="A124" s="22"/>
      <c r="B124" s="20" t="s">
        <v>223</v>
      </c>
      <c r="C124" s="21"/>
      <c r="D124" s="21"/>
      <c r="E124" s="21"/>
      <c r="F124" s="23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T124" s="88">
        <f t="shared" si="38"/>
        <v>0</v>
      </c>
    </row>
    <row r="125" spans="1:20" x14ac:dyDescent="0.25">
      <c r="A125" s="22">
        <v>108.06</v>
      </c>
      <c r="B125" s="16" t="s">
        <v>284</v>
      </c>
      <c r="C125" s="21" t="str">
        <f>INDEX('Alloc Amt'!B:B,MATCH('Rate Base'!D:D,'Alloc Amt'!D:D,0))</f>
        <v>Total General Plant</v>
      </c>
      <c r="D125" s="21">
        <v>70</v>
      </c>
      <c r="E125" s="21"/>
      <c r="F125" s="23">
        <v>-185099491.55969805</v>
      </c>
      <c r="G125" s="39">
        <f t="shared" ref="G125:R126" si="41">INDEX(Alloc,($D125),(G$1))*$F125</f>
        <v>-114080259.15088549</v>
      </c>
      <c r="H125" s="39">
        <f t="shared" si="41"/>
        <v>-22429034.419718407</v>
      </c>
      <c r="I125" s="39">
        <f t="shared" si="41"/>
        <v>-20232931.051959228</v>
      </c>
      <c r="J125" s="39">
        <f t="shared" si="41"/>
        <v>-11095883.428448442</v>
      </c>
      <c r="K125" s="39">
        <f t="shared" si="41"/>
        <v>-8331949.3553134594</v>
      </c>
      <c r="L125" s="39">
        <f t="shared" si="41"/>
        <v>-40428.086701457432</v>
      </c>
      <c r="M125" s="39">
        <f t="shared" si="41"/>
        <v>-953245.31509282452</v>
      </c>
      <c r="N125" s="39">
        <f t="shared" si="41"/>
        <v>-1119501.291306711</v>
      </c>
      <c r="O125" s="39">
        <f t="shared" si="41"/>
        <v>-2645089.2735089809</v>
      </c>
      <c r="P125" s="39">
        <f t="shared" si="41"/>
        <v>-1610530.1466617733</v>
      </c>
      <c r="Q125" s="39">
        <f t="shared" si="41"/>
        <v>-2506853.3032749579</v>
      </c>
      <c r="R125" s="39">
        <f t="shared" si="41"/>
        <v>-53786.736826331748</v>
      </c>
      <c r="T125" s="88">
        <f t="shared" si="38"/>
        <v>0</v>
      </c>
    </row>
    <row r="126" spans="1:20" x14ac:dyDescent="0.25">
      <c r="A126" s="22">
        <v>108.07</v>
      </c>
      <c r="B126" s="16" t="s">
        <v>285</v>
      </c>
      <c r="C126" s="21" t="str">
        <f>INDEX('Alloc Amt'!B:B,MATCH('Rate Base'!D:D,'Alloc Amt'!D:D,0))</f>
        <v>Total Prod, Trans, Dist &amp; Gen Plant</v>
      </c>
      <c r="D126" s="21">
        <v>74</v>
      </c>
      <c r="E126" s="21"/>
      <c r="F126" s="23">
        <v>14858618.090523999</v>
      </c>
      <c r="G126" s="39">
        <f t="shared" si="41"/>
        <v>8743754.1951609105</v>
      </c>
      <c r="H126" s="39">
        <f t="shared" si="41"/>
        <v>1857417.127942197</v>
      </c>
      <c r="I126" s="39">
        <f t="shared" si="41"/>
        <v>1807467.7171207985</v>
      </c>
      <c r="J126" s="39">
        <f t="shared" si="41"/>
        <v>986324.43271394528</v>
      </c>
      <c r="K126" s="39">
        <f t="shared" si="41"/>
        <v>734901.11800790229</v>
      </c>
      <c r="L126" s="39">
        <f t="shared" si="41"/>
        <v>3607.9192450782411</v>
      </c>
      <c r="M126" s="39">
        <f t="shared" si="41"/>
        <v>84745.153973583787</v>
      </c>
      <c r="N126" s="39">
        <f t="shared" si="41"/>
        <v>99772.237931124298</v>
      </c>
      <c r="O126" s="39">
        <f t="shared" si="41"/>
        <v>236550.35066139462</v>
      </c>
      <c r="P126" s="39">
        <f t="shared" si="41"/>
        <v>150778.7424572196</v>
      </c>
      <c r="Q126" s="39">
        <f t="shared" si="41"/>
        <v>148465.73157231233</v>
      </c>
      <c r="R126" s="39">
        <f t="shared" si="41"/>
        <v>4833.3637375310509</v>
      </c>
      <c r="T126" s="88">
        <f t="shared" si="38"/>
        <v>0</v>
      </c>
    </row>
    <row r="127" spans="1:20" x14ac:dyDescent="0.25">
      <c r="A127" s="25"/>
      <c r="B127" s="24" t="s">
        <v>189</v>
      </c>
      <c r="C127" s="26"/>
      <c r="D127" s="26"/>
      <c r="E127" s="26"/>
      <c r="F127" s="27">
        <f>SUM(F125:F126)</f>
        <v>-170240873.46917406</v>
      </c>
      <c r="G127" s="27">
        <f t="shared" ref="G127:R127" si="42">SUM(G125:G126)</f>
        <v>-105336504.95572458</v>
      </c>
      <c r="H127" s="27">
        <f t="shared" si="42"/>
        <v>-20571617.29177621</v>
      </c>
      <c r="I127" s="27">
        <f t="shared" si="42"/>
        <v>-18425463.334838428</v>
      </c>
      <c r="J127" s="27">
        <f t="shared" si="42"/>
        <v>-10109558.995734498</v>
      </c>
      <c r="K127" s="27">
        <f t="shared" si="42"/>
        <v>-7597048.2373055574</v>
      </c>
      <c r="L127" s="27">
        <f t="shared" si="42"/>
        <v>-36820.167456379189</v>
      </c>
      <c r="M127" s="27">
        <f t="shared" si="42"/>
        <v>-868500.16111924069</v>
      </c>
      <c r="N127" s="27">
        <f t="shared" si="42"/>
        <v>-1019729.0533755868</v>
      </c>
      <c r="O127" s="27">
        <f t="shared" si="42"/>
        <v>-2408538.9228475862</v>
      </c>
      <c r="P127" s="27">
        <f t="shared" si="42"/>
        <v>-1459751.4042045537</v>
      </c>
      <c r="Q127" s="27">
        <f t="shared" si="42"/>
        <v>-2358387.5717026456</v>
      </c>
      <c r="R127" s="27">
        <f t="shared" si="42"/>
        <v>-48953.373088800698</v>
      </c>
      <c r="T127" s="88">
        <f t="shared" si="38"/>
        <v>0</v>
      </c>
    </row>
    <row r="128" spans="1:20" x14ac:dyDescent="0.25">
      <c r="A128" s="22"/>
      <c r="B128" s="16"/>
      <c r="C128" s="21"/>
      <c r="D128" s="21"/>
      <c r="E128" s="21"/>
      <c r="F128" s="23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T128" s="88">
        <f t="shared" si="38"/>
        <v>0</v>
      </c>
    </row>
    <row r="129" spans="1:20" x14ac:dyDescent="0.25">
      <c r="A129" s="22"/>
      <c r="B129" s="20" t="s">
        <v>286</v>
      </c>
      <c r="C129" s="21"/>
      <c r="D129" s="21"/>
      <c r="E129" s="21"/>
      <c r="F129" s="23">
        <f>F83+F89+F98+F122+F127</f>
        <v>-4292153131.7526517</v>
      </c>
      <c r="G129" s="23">
        <f t="shared" ref="G129:R129" si="43">G83+G89+G98+G122+G127</f>
        <v>-2544794865.3849325</v>
      </c>
      <c r="H129" s="23">
        <f t="shared" si="43"/>
        <v>-531938668.85199749</v>
      </c>
      <c r="I129" s="23">
        <f t="shared" si="43"/>
        <v>-521677312.00438738</v>
      </c>
      <c r="J129" s="23">
        <f t="shared" si="43"/>
        <v>-288077140.92278922</v>
      </c>
      <c r="K129" s="23">
        <f t="shared" si="43"/>
        <v>-209753684.93461606</v>
      </c>
      <c r="L129" s="23">
        <f t="shared" si="43"/>
        <v>-969350.29627651698</v>
      </c>
      <c r="M129" s="23">
        <f t="shared" si="43"/>
        <v>-22535343.831407912</v>
      </c>
      <c r="N129" s="23">
        <f t="shared" si="43"/>
        <v>-25716669.625496347</v>
      </c>
      <c r="O129" s="23">
        <f t="shared" si="43"/>
        <v>-71021151.943824664</v>
      </c>
      <c r="P129" s="23">
        <f t="shared" si="43"/>
        <v>-33215368.876490988</v>
      </c>
      <c r="Q129" s="23">
        <f t="shared" si="43"/>
        <v>-41088449.399206415</v>
      </c>
      <c r="R129" s="23">
        <f t="shared" si="43"/>
        <v>-1365125.6812260947</v>
      </c>
      <c r="T129" s="88">
        <f t="shared" si="38"/>
        <v>0</v>
      </c>
    </row>
    <row r="130" spans="1:20" x14ac:dyDescent="0.25">
      <c r="A130" s="22"/>
      <c r="B130" s="20"/>
      <c r="C130" s="21"/>
      <c r="D130" s="21"/>
      <c r="E130" s="21"/>
      <c r="F130" s="23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T130" s="88">
        <f t="shared" si="38"/>
        <v>0</v>
      </c>
    </row>
    <row r="131" spans="1:20" x14ac:dyDescent="0.25">
      <c r="A131" s="22"/>
      <c r="B131" s="20" t="s">
        <v>287</v>
      </c>
      <c r="C131" s="21"/>
      <c r="D131" s="21"/>
      <c r="E131" s="21"/>
      <c r="F131" s="23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T131" s="88">
        <f t="shared" si="38"/>
        <v>0</v>
      </c>
    </row>
    <row r="132" spans="1:20" x14ac:dyDescent="0.25">
      <c r="A132" s="22"/>
      <c r="B132" s="16" t="s">
        <v>288</v>
      </c>
      <c r="C132" s="21"/>
      <c r="D132" s="21"/>
      <c r="E132" s="21"/>
      <c r="F132" s="23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T132" s="88">
        <f t="shared" si="38"/>
        <v>0</v>
      </c>
    </row>
    <row r="133" spans="1:20" x14ac:dyDescent="0.25">
      <c r="A133" s="22" t="s">
        <v>289</v>
      </c>
      <c r="B133" s="16" t="s">
        <v>290</v>
      </c>
      <c r="C133" s="21" t="str">
        <f>INDEX('Alloc Amt'!B:B,MATCH('Rate Base'!D:D,'Alloc Amt'!D:D,0))</f>
        <v>Total Elec Plant In Service</v>
      </c>
      <c r="D133" s="21">
        <v>69</v>
      </c>
      <c r="E133" s="21"/>
      <c r="F133" s="23">
        <v>137375215.95577019</v>
      </c>
      <c r="G133" s="39">
        <f t="shared" ref="G133:R133" si="44">INDEX(Alloc,($D133),(G$1))*$F133</f>
        <v>80949943.138192624</v>
      </c>
      <c r="H133" s="39">
        <f t="shared" si="44"/>
        <v>17161251.392792515</v>
      </c>
      <c r="I133" s="39">
        <f t="shared" si="44"/>
        <v>16669182.439877117</v>
      </c>
      <c r="J133" s="39">
        <f t="shared" si="44"/>
        <v>9098621.1807833556</v>
      </c>
      <c r="K133" s="39">
        <f t="shared" si="44"/>
        <v>6780047.8163890745</v>
      </c>
      <c r="L133" s="39">
        <f t="shared" si="44"/>
        <v>33252.042670281335</v>
      </c>
      <c r="M133" s="39">
        <f t="shared" si="44"/>
        <v>781198.34830788989</v>
      </c>
      <c r="N133" s="39">
        <f t="shared" si="44"/>
        <v>916469.85855636571</v>
      </c>
      <c r="O133" s="39">
        <f t="shared" si="44"/>
        <v>2182332.7511810851</v>
      </c>
      <c r="P133" s="39">
        <f t="shared" si="44"/>
        <v>1372968.5030042862</v>
      </c>
      <c r="Q133" s="39">
        <f t="shared" si="44"/>
        <v>1385385.7439944386</v>
      </c>
      <c r="R133" s="39">
        <f t="shared" si="44"/>
        <v>44562.740021160353</v>
      </c>
      <c r="T133" s="88">
        <f t="shared" si="38"/>
        <v>0</v>
      </c>
    </row>
    <row r="134" spans="1:20" x14ac:dyDescent="0.25">
      <c r="A134" s="25"/>
      <c r="B134" s="24" t="s">
        <v>189</v>
      </c>
      <c r="C134" s="26"/>
      <c r="D134" s="26"/>
      <c r="E134" s="26"/>
      <c r="F134" s="27">
        <f>SUM(F133)</f>
        <v>137375215.95577019</v>
      </c>
      <c r="G134" s="27">
        <f t="shared" ref="G134:R134" si="45">SUM(G133)</f>
        <v>80949943.138192624</v>
      </c>
      <c r="H134" s="27">
        <f t="shared" si="45"/>
        <v>17161251.392792515</v>
      </c>
      <c r="I134" s="27">
        <f t="shared" si="45"/>
        <v>16669182.439877117</v>
      </c>
      <c r="J134" s="27">
        <f t="shared" si="45"/>
        <v>9098621.1807833556</v>
      </c>
      <c r="K134" s="27">
        <f t="shared" si="45"/>
        <v>6780047.8163890745</v>
      </c>
      <c r="L134" s="27">
        <f t="shared" si="45"/>
        <v>33252.042670281335</v>
      </c>
      <c r="M134" s="27">
        <f t="shared" si="45"/>
        <v>781198.34830788989</v>
      </c>
      <c r="N134" s="27">
        <f t="shared" si="45"/>
        <v>916469.85855636571</v>
      </c>
      <c r="O134" s="27">
        <f t="shared" si="45"/>
        <v>2182332.7511810851</v>
      </c>
      <c r="P134" s="27">
        <f t="shared" si="45"/>
        <v>1372968.5030042862</v>
      </c>
      <c r="Q134" s="27">
        <f t="shared" si="45"/>
        <v>1385385.7439944386</v>
      </c>
      <c r="R134" s="27">
        <f t="shared" si="45"/>
        <v>44562.740021160353</v>
      </c>
      <c r="T134" s="88">
        <f t="shared" si="38"/>
        <v>0</v>
      </c>
    </row>
    <row r="135" spans="1:20" x14ac:dyDescent="0.25">
      <c r="A135" s="22"/>
      <c r="B135" s="16"/>
      <c r="C135" s="21"/>
      <c r="D135" s="21"/>
      <c r="E135" s="21"/>
      <c r="F135" s="23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T135" s="88">
        <f t="shared" si="38"/>
        <v>0</v>
      </c>
    </row>
    <row r="136" spans="1:20" x14ac:dyDescent="0.25">
      <c r="A136" s="22"/>
      <c r="B136" s="20" t="s">
        <v>291</v>
      </c>
      <c r="C136" s="21"/>
      <c r="D136" s="21"/>
      <c r="E136" s="21"/>
      <c r="F136" s="23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T136" s="88">
        <f t="shared" si="38"/>
        <v>0</v>
      </c>
    </row>
    <row r="137" spans="1:20" x14ac:dyDescent="0.25">
      <c r="A137" s="22">
        <v>182.01</v>
      </c>
      <c r="B137" s="16" t="s">
        <v>292</v>
      </c>
      <c r="C137" s="21" t="str">
        <f>INDEX('Alloc Amt'!B:B,MATCH('Rate Base'!D:D,'Alloc Amt'!D:D,0))</f>
        <v>Total Production Plant</v>
      </c>
      <c r="D137" s="21">
        <v>73</v>
      </c>
      <c r="E137" s="21"/>
      <c r="F137" s="23">
        <v>189792533.49183738</v>
      </c>
      <c r="G137" s="102">
        <f t="shared" ref="G137:R152" si="46">INDEX(Alloc,($D137),(G$1))*$F137</f>
        <v>102741010.80236782</v>
      </c>
      <c r="H137" s="102">
        <f t="shared" si="46"/>
        <v>25164226.066687625</v>
      </c>
      <c r="I137" s="102">
        <f t="shared" si="46"/>
        <v>27599772.162749339</v>
      </c>
      <c r="J137" s="102">
        <f t="shared" si="46"/>
        <v>16628411.276858218</v>
      </c>
      <c r="K137" s="102">
        <f t="shared" si="46"/>
        <v>11624465.241956742</v>
      </c>
      <c r="L137" s="39">
        <f t="shared" si="46"/>
        <v>25266.426373263614</v>
      </c>
      <c r="M137" s="39">
        <f t="shared" si="46"/>
        <v>693886.80840697384</v>
      </c>
      <c r="N137" s="102">
        <f t="shared" si="46"/>
        <v>0</v>
      </c>
      <c r="O137" s="102">
        <f t="shared" si="46"/>
        <v>4690273.4121543625</v>
      </c>
      <c r="P137" s="102">
        <f t="shared" si="46"/>
        <v>0</v>
      </c>
      <c r="Q137" s="102">
        <f t="shared" si="46"/>
        <v>559069.56229284976</v>
      </c>
      <c r="R137" s="102">
        <f t="shared" si="46"/>
        <v>66151.731990175176</v>
      </c>
      <c r="T137" s="88">
        <f t="shared" si="38"/>
        <v>0</v>
      </c>
    </row>
    <row r="138" spans="1:20" x14ac:dyDescent="0.25">
      <c r="A138" s="22">
        <v>182.02</v>
      </c>
      <c r="B138" s="16" t="s">
        <v>293</v>
      </c>
      <c r="C138" s="21" t="str">
        <f>INDEX('Alloc Amt'!B:B,MATCH('Rate Base'!D:D,'Alloc Amt'!D:D,0))</f>
        <v>Total Production Plant</v>
      </c>
      <c r="D138" s="21">
        <v>73</v>
      </c>
      <c r="E138" s="21"/>
      <c r="F138" s="23">
        <v>282930</v>
      </c>
      <c r="G138" s="102">
        <f t="shared" si="46"/>
        <v>153159.4191378667</v>
      </c>
      <c r="H138" s="102">
        <f t="shared" si="46"/>
        <v>37513.14316774287</v>
      </c>
      <c r="I138" s="102">
        <f t="shared" si="46"/>
        <v>41143.892198174974</v>
      </c>
      <c r="J138" s="102">
        <f t="shared" si="46"/>
        <v>24788.522056184232</v>
      </c>
      <c r="K138" s="102">
        <f t="shared" si="46"/>
        <v>17328.974382694938</v>
      </c>
      <c r="L138" s="39">
        <f t="shared" si="46"/>
        <v>37.665496541226808</v>
      </c>
      <c r="M138" s="39">
        <f t="shared" si="46"/>
        <v>1034.399989771086</v>
      </c>
      <c r="N138" s="102">
        <f t="shared" si="46"/>
        <v>0</v>
      </c>
      <c r="O138" s="102">
        <f t="shared" si="46"/>
        <v>6991.9455317134825</v>
      </c>
      <c r="P138" s="102">
        <f t="shared" si="46"/>
        <v>0</v>
      </c>
      <c r="Q138" s="102">
        <f t="shared" si="46"/>
        <v>833.42346692642104</v>
      </c>
      <c r="R138" s="102">
        <f t="shared" si="46"/>
        <v>98.614572384035412</v>
      </c>
      <c r="T138" s="88">
        <f t="shared" si="38"/>
        <v>0</v>
      </c>
    </row>
    <row r="139" spans="1:20" x14ac:dyDescent="0.25">
      <c r="A139" s="22">
        <v>182.03</v>
      </c>
      <c r="B139" s="16" t="s">
        <v>294</v>
      </c>
      <c r="C139" s="21" t="str">
        <f>INDEX('Alloc Amt'!B:B,MATCH('Rate Base'!D:D,'Alloc Amt'!D:D,0))</f>
        <v>Total Distribution Plant</v>
      </c>
      <c r="D139" s="21">
        <v>68</v>
      </c>
      <c r="E139" s="21"/>
      <c r="F139" s="23">
        <v>-3679667.3302051304</v>
      </c>
      <c r="G139" s="102">
        <f t="shared" si="46"/>
        <v>-2446656.6075007757</v>
      </c>
      <c r="H139" s="102">
        <f t="shared" si="46"/>
        <v>-436178.36362836423</v>
      </c>
      <c r="I139" s="102">
        <f t="shared" si="46"/>
        <v>-346299.5399212559</v>
      </c>
      <c r="J139" s="102">
        <f t="shared" si="46"/>
        <v>-147465.10479993484</v>
      </c>
      <c r="K139" s="102">
        <f t="shared" si="46"/>
        <v>-129945.24515702782</v>
      </c>
      <c r="L139" s="39">
        <f t="shared" si="46"/>
        <v>-1481.8297137822483</v>
      </c>
      <c r="M139" s="39">
        <f t="shared" si="46"/>
        <v>-32145.145043179662</v>
      </c>
      <c r="N139" s="102">
        <f t="shared" si="46"/>
        <v>-44243.364519890478</v>
      </c>
      <c r="O139" s="102">
        <f t="shared" si="46"/>
        <v>-16861.288629307564</v>
      </c>
      <c r="P139" s="102">
        <f t="shared" si="46"/>
        <v>-5825.648419958784</v>
      </c>
      <c r="Q139" s="102">
        <f t="shared" si="46"/>
        <v>-71436.067965629263</v>
      </c>
      <c r="R139" s="102">
        <f t="shared" si="46"/>
        <v>-1129.1249060231642</v>
      </c>
      <c r="T139" s="88">
        <f t="shared" si="38"/>
        <v>0</v>
      </c>
    </row>
    <row r="140" spans="1:20" x14ac:dyDescent="0.25">
      <c r="A140" s="22">
        <v>182.04</v>
      </c>
      <c r="B140" s="16" t="s">
        <v>295</v>
      </c>
      <c r="C140" s="21" t="str">
        <f>INDEX('Alloc Amt'!B:B,MATCH('Rate Base'!D:D,'Alloc Amt'!D:D,0))</f>
        <v>Total General Plant</v>
      </c>
      <c r="D140" s="21">
        <v>70</v>
      </c>
      <c r="E140" s="21"/>
      <c r="F140" s="23">
        <v>68510052.721862912</v>
      </c>
      <c r="G140" s="102">
        <f t="shared" si="46"/>
        <v>42224019.650698274</v>
      </c>
      <c r="H140" s="102">
        <f t="shared" si="46"/>
        <v>8301558.8948811311</v>
      </c>
      <c r="I140" s="102">
        <f t="shared" si="46"/>
        <v>7488724.9090064717</v>
      </c>
      <c r="J140" s="102">
        <f t="shared" si="46"/>
        <v>4106870.0528195435</v>
      </c>
      <c r="K140" s="102">
        <f t="shared" si="46"/>
        <v>3083867.4098913772</v>
      </c>
      <c r="L140" s="39">
        <f t="shared" si="46"/>
        <v>14963.468176073318</v>
      </c>
      <c r="M140" s="39">
        <f t="shared" si="46"/>
        <v>352820.45479209506</v>
      </c>
      <c r="N140" s="102">
        <f t="shared" si="46"/>
        <v>414356.04086940532</v>
      </c>
      <c r="O140" s="102">
        <f t="shared" si="46"/>
        <v>979015.14507234108</v>
      </c>
      <c r="P140" s="102">
        <f t="shared" si="46"/>
        <v>596098.37027759629</v>
      </c>
      <c r="Q140" s="102">
        <f t="shared" si="46"/>
        <v>927850.47936208243</v>
      </c>
      <c r="R140" s="102">
        <f t="shared" si="46"/>
        <v>19907.846016532651</v>
      </c>
      <c r="T140" s="88">
        <f t="shared" si="38"/>
        <v>0</v>
      </c>
    </row>
    <row r="141" spans="1:20" x14ac:dyDescent="0.25">
      <c r="A141" s="22">
        <v>282</v>
      </c>
      <c r="B141" s="16" t="s">
        <v>296</v>
      </c>
      <c r="C141" s="21" t="str">
        <f>INDEX('Alloc Amt'!B:B,MATCH('Rate Base'!D:D,'Alloc Amt'!D:D,0))</f>
        <v>Total Production Plant</v>
      </c>
      <c r="D141" s="21">
        <v>73</v>
      </c>
      <c r="E141" s="21"/>
      <c r="F141" s="23">
        <v>-14559444.715643</v>
      </c>
      <c r="G141" s="102">
        <f t="shared" si="46"/>
        <v>-7881511.6658458449</v>
      </c>
      <c r="H141" s="102">
        <f t="shared" si="46"/>
        <v>-1930408.7020137606</v>
      </c>
      <c r="I141" s="102">
        <f t="shared" si="46"/>
        <v>-2117245.3392913579</v>
      </c>
      <c r="J141" s="102">
        <f t="shared" si="46"/>
        <v>-1275605.6850087</v>
      </c>
      <c r="K141" s="102">
        <f t="shared" si="46"/>
        <v>-891740.87054621545</v>
      </c>
      <c r="L141" s="39">
        <f t="shared" si="46"/>
        <v>-1938.2487349494022</v>
      </c>
      <c r="M141" s="39">
        <f t="shared" si="46"/>
        <v>-53229.736913490306</v>
      </c>
      <c r="N141" s="102">
        <f t="shared" si="46"/>
        <v>0</v>
      </c>
      <c r="O141" s="102">
        <f t="shared" si="46"/>
        <v>-359802.22819697292</v>
      </c>
      <c r="P141" s="102">
        <f t="shared" si="46"/>
        <v>0</v>
      </c>
      <c r="Q141" s="102">
        <f t="shared" si="46"/>
        <v>-42887.579583058527</v>
      </c>
      <c r="R141" s="102">
        <f t="shared" si="46"/>
        <v>-5074.6595086492716</v>
      </c>
      <c r="T141" s="88">
        <f t="shared" si="38"/>
        <v>0</v>
      </c>
    </row>
    <row r="142" spans="1:20" s="63" customFormat="1" x14ac:dyDescent="0.25">
      <c r="A142" s="22">
        <v>282.01</v>
      </c>
      <c r="B142" s="16" t="s">
        <v>297</v>
      </c>
      <c r="C142" s="21" t="str">
        <f>INDEX('Alloc Amt'!B:B,MATCH('Rate Base'!D:D,'Alloc Amt'!D:D,0))</f>
        <v>Total Production Plant</v>
      </c>
      <c r="D142" s="21">
        <v>73</v>
      </c>
      <c r="E142" s="21"/>
      <c r="F142" s="101">
        <v>10200176.612901218</v>
      </c>
      <c r="G142" s="102">
        <f t="shared" si="46"/>
        <v>5521694.8543300582</v>
      </c>
      <c r="H142" s="102">
        <f t="shared" si="46"/>
        <v>1352421.7496060014</v>
      </c>
      <c r="I142" s="102">
        <f t="shared" si="46"/>
        <v>1483317.3115737224</v>
      </c>
      <c r="J142" s="102">
        <f t="shared" si="46"/>
        <v>893674.41750919458</v>
      </c>
      <c r="K142" s="102">
        <f t="shared" si="46"/>
        <v>624743.21996228478</v>
      </c>
      <c r="L142" s="39">
        <f t="shared" si="46"/>
        <v>1357.9143849472782</v>
      </c>
      <c r="M142" s="39">
        <f t="shared" si="46"/>
        <v>37292.130859393816</v>
      </c>
      <c r="N142" s="102">
        <f t="shared" si="46"/>
        <v>0</v>
      </c>
      <c r="O142" s="102">
        <f t="shared" si="46"/>
        <v>252073.23115704604</v>
      </c>
      <c r="P142" s="102">
        <f t="shared" si="46"/>
        <v>0</v>
      </c>
      <c r="Q142" s="102">
        <f t="shared" si="46"/>
        <v>30046.536443593581</v>
      </c>
      <c r="R142" s="102">
        <f t="shared" si="46"/>
        <v>3555.2470749757622</v>
      </c>
      <c r="T142" s="88">
        <f t="shared" si="38"/>
        <v>0</v>
      </c>
    </row>
    <row r="143" spans="1:20" s="63" customFormat="1" x14ac:dyDescent="0.25">
      <c r="A143" s="22">
        <v>282.02</v>
      </c>
      <c r="B143" s="16" t="s">
        <v>298</v>
      </c>
      <c r="C143" s="21" t="str">
        <f>INDEX('Alloc Amt'!B:B,MATCH('Rate Base'!D:D,'Alloc Amt'!D:D,0))</f>
        <v>Prod Trans Dist Allocation Factor</v>
      </c>
      <c r="D143" s="21">
        <v>75</v>
      </c>
      <c r="E143" s="21"/>
      <c r="F143" s="23">
        <v>-1386885625.7545435</v>
      </c>
      <c r="G143" s="103">
        <f t="shared" si="46"/>
        <v>-813998598.13637733</v>
      </c>
      <c r="H143" s="103">
        <f t="shared" si="46"/>
        <v>-173662610.40329921</v>
      </c>
      <c r="I143" s="103">
        <f t="shared" si="46"/>
        <v>-169651477.915369</v>
      </c>
      <c r="J143" s="103">
        <f t="shared" si="46"/>
        <v>-92555098.774892911</v>
      </c>
      <c r="K143" s="103">
        <f t="shared" si="46"/>
        <v>-68935252.197485656</v>
      </c>
      <c r="L143" s="39">
        <f t="shared" si="46"/>
        <v>-338627.54274338635</v>
      </c>
      <c r="M143" s="39">
        <f t="shared" si="46"/>
        <v>-7952396.4609195553</v>
      </c>
      <c r="N143" s="103">
        <f t="shared" si="46"/>
        <v>-9363669.9675956853</v>
      </c>
      <c r="O143" s="103">
        <f t="shared" si="46"/>
        <v>-22204139.346239921</v>
      </c>
      <c r="P143" s="103">
        <f t="shared" si="46"/>
        <v>-14184283.488188503</v>
      </c>
      <c r="Q143" s="103">
        <f t="shared" si="46"/>
        <v>-13585673.482637517</v>
      </c>
      <c r="R143" s="103">
        <f t="shared" si="46"/>
        <v>-453798.03879555548</v>
      </c>
      <c r="T143" s="88">
        <f t="shared" si="38"/>
        <v>0</v>
      </c>
    </row>
    <row r="144" spans="1:20" x14ac:dyDescent="0.25">
      <c r="A144" s="22">
        <v>235</v>
      </c>
      <c r="B144" s="16" t="s">
        <v>34</v>
      </c>
      <c r="C144" s="21" t="str">
        <f>INDEX('Alloc Amt'!B:B,MATCH('Rate Base'!D:D,'Alloc Amt'!D:D,0))</f>
        <v>Customer Deposits</v>
      </c>
      <c r="D144" s="21">
        <v>9</v>
      </c>
      <c r="E144" s="21"/>
      <c r="F144" s="23">
        <v>-25836611.384475</v>
      </c>
      <c r="G144" s="102">
        <f t="shared" si="46"/>
        <v>-23095250.799047243</v>
      </c>
      <c r="H144" s="102">
        <f t="shared" si="46"/>
        <v>-1864887.860734801</v>
      </c>
      <c r="I144" s="102">
        <f t="shared" si="46"/>
        <v>-638245.470833336</v>
      </c>
      <c r="J144" s="102">
        <f t="shared" si="46"/>
        <v>-169525.96587746224</v>
      </c>
      <c r="K144" s="102">
        <f t="shared" si="46"/>
        <v>-57586.220566097596</v>
      </c>
      <c r="L144" s="39">
        <f t="shared" si="46"/>
        <v>0</v>
      </c>
      <c r="M144" s="39">
        <f t="shared" si="46"/>
        <v>0</v>
      </c>
      <c r="N144" s="102">
        <f t="shared" si="46"/>
        <v>0</v>
      </c>
      <c r="O144" s="102">
        <f t="shared" si="46"/>
        <v>0</v>
      </c>
      <c r="P144" s="102">
        <f t="shared" si="46"/>
        <v>0</v>
      </c>
      <c r="Q144" s="102">
        <f t="shared" si="46"/>
        <v>-11115.0674160617</v>
      </c>
      <c r="R144" s="102">
        <f t="shared" si="46"/>
        <v>0</v>
      </c>
      <c r="T144" s="88">
        <f t="shared" si="38"/>
        <v>0</v>
      </c>
    </row>
    <row r="145" spans="1:20" s="68" customFormat="1" x14ac:dyDescent="0.25">
      <c r="A145" s="64">
        <v>235.01</v>
      </c>
      <c r="B145" s="65" t="s">
        <v>299</v>
      </c>
      <c r="C145" s="21" t="str">
        <f>INDEX('Alloc Amt'!B:B,MATCH('Rate Base'!D:D,'Alloc Amt'!D:D,0))</f>
        <v>Total Production Plant</v>
      </c>
      <c r="D145" s="66">
        <v>73</v>
      </c>
      <c r="E145" s="66"/>
      <c r="F145" s="67">
        <v>-2995643.46</v>
      </c>
      <c r="G145" s="102">
        <f t="shared" si="46"/>
        <v>-1621641.4387931617</v>
      </c>
      <c r="H145" s="102">
        <f t="shared" si="46"/>
        <v>-397186.59030322911</v>
      </c>
      <c r="I145" s="102">
        <f t="shared" si="46"/>
        <v>-435628.71234018268</v>
      </c>
      <c r="J145" s="102">
        <f t="shared" si="46"/>
        <v>-262459.17357888538</v>
      </c>
      <c r="K145" s="102">
        <f t="shared" si="46"/>
        <v>-183477.99377240884</v>
      </c>
      <c r="L145" s="39">
        <f t="shared" si="46"/>
        <v>-398.79969738585061</v>
      </c>
      <c r="M145" s="39">
        <f t="shared" si="46"/>
        <v>-10952.15623787446</v>
      </c>
      <c r="N145" s="102">
        <f t="shared" si="46"/>
        <v>0</v>
      </c>
      <c r="O145" s="102">
        <f t="shared" si="46"/>
        <v>-74030.240358935829</v>
      </c>
      <c r="P145" s="102">
        <f t="shared" si="46"/>
        <v>0</v>
      </c>
      <c r="Q145" s="102">
        <f t="shared" si="46"/>
        <v>-8824.2305803861709</v>
      </c>
      <c r="R145" s="102">
        <f t="shared" si="46"/>
        <v>-1044.1243375496847</v>
      </c>
      <c r="T145" s="88">
        <f t="shared" si="38"/>
        <v>0</v>
      </c>
    </row>
    <row r="146" spans="1:20" s="68" customFormat="1" x14ac:dyDescent="0.25">
      <c r="A146" s="64">
        <v>252</v>
      </c>
      <c r="B146" s="65" t="s">
        <v>36</v>
      </c>
      <c r="C146" s="21" t="str">
        <f>INDEX('Alloc Amt'!B:B,MATCH('Rate Base'!D:D,'Alloc Amt'!D:D,0))</f>
        <v>Customer Advances</v>
      </c>
      <c r="D146" s="66">
        <v>10</v>
      </c>
      <c r="E146" s="66"/>
      <c r="F146" s="67">
        <v>-79258524.650000006</v>
      </c>
      <c r="G146" s="102">
        <f t="shared" si="46"/>
        <v>-33974849.983845964</v>
      </c>
      <c r="H146" s="102">
        <f t="shared" si="46"/>
        <v>-42161069.125409625</v>
      </c>
      <c r="I146" s="102">
        <f t="shared" si="46"/>
        <v>-2830663.0729111028</v>
      </c>
      <c r="J146" s="102">
        <f t="shared" si="46"/>
        <v>-291942.46783331066</v>
      </c>
      <c r="K146" s="102">
        <f t="shared" si="46"/>
        <v>0</v>
      </c>
      <c r="L146" s="39">
        <f t="shared" si="46"/>
        <v>0</v>
      </c>
      <c r="M146" s="39">
        <f t="shared" si="46"/>
        <v>0</v>
      </c>
      <c r="N146" s="102">
        <f t="shared" si="46"/>
        <v>0</v>
      </c>
      <c r="O146" s="102">
        <f t="shared" si="46"/>
        <v>0</v>
      </c>
      <c r="P146" s="102">
        <f t="shared" si="46"/>
        <v>0</v>
      </c>
      <c r="Q146" s="102">
        <f t="shared" si="46"/>
        <v>0</v>
      </c>
      <c r="R146" s="102">
        <f t="shared" si="46"/>
        <v>0</v>
      </c>
      <c r="T146" s="88">
        <f t="shared" si="38"/>
        <v>0</v>
      </c>
    </row>
    <row r="147" spans="1:20" x14ac:dyDescent="0.25">
      <c r="A147" s="22">
        <v>253</v>
      </c>
      <c r="B147" s="16" t="s">
        <v>300</v>
      </c>
      <c r="C147" s="21" t="str">
        <f>INDEX('Alloc Amt'!B:B,MATCH('Rate Base'!D:D,'Alloc Amt'!D:D,0))</f>
        <v>Salary &amp; Wages - Total</v>
      </c>
      <c r="D147" s="21">
        <v>78</v>
      </c>
      <c r="E147" s="21"/>
      <c r="F147" s="23">
        <v>-2132461.9750080002</v>
      </c>
      <c r="G147" s="102">
        <f t="shared" ref="G147:R157" si="47">INDEX(Alloc,($D147),(G$1))*$F147</f>
        <v>-1317438.6888303056</v>
      </c>
      <c r="H147" s="102">
        <f t="shared" si="47"/>
        <v>-257926.94272743922</v>
      </c>
      <c r="I147" s="102">
        <f t="shared" si="47"/>
        <v>-231633.74591631556</v>
      </c>
      <c r="J147" s="102">
        <f t="shared" si="47"/>
        <v>-127088.73524595225</v>
      </c>
      <c r="K147" s="102">
        <f t="shared" si="47"/>
        <v>-95468.643547724932</v>
      </c>
      <c r="L147" s="39">
        <f t="shared" si="46"/>
        <v>-462.49285184126205</v>
      </c>
      <c r="M147" s="39">
        <f t="shared" si="46"/>
        <v>-10908.936282545155</v>
      </c>
      <c r="N147" s="102">
        <f t="shared" si="47"/>
        <v>-12826.961094422315</v>
      </c>
      <c r="O147" s="102">
        <f t="shared" si="47"/>
        <v>-30293.060477256236</v>
      </c>
      <c r="P147" s="102">
        <f t="shared" si="47"/>
        <v>-18505.429040167808</v>
      </c>
      <c r="Q147" s="102">
        <f t="shared" si="47"/>
        <v>-29292.895264963267</v>
      </c>
      <c r="R147" s="102">
        <f t="shared" si="47"/>
        <v>-615.44372906665092</v>
      </c>
      <c r="T147" s="88">
        <f t="shared" si="38"/>
        <v>0</v>
      </c>
    </row>
    <row r="148" spans="1:20" x14ac:dyDescent="0.25">
      <c r="A148" s="22">
        <v>114.01</v>
      </c>
      <c r="B148" s="16" t="s">
        <v>301</v>
      </c>
      <c r="C148" s="21" t="str">
        <f>INDEX('Alloc Amt'!B:B,MATCH('Rate Base'!D:D,'Alloc Amt'!D:D,0))</f>
        <v>Total Production Plant</v>
      </c>
      <c r="D148" s="21">
        <v>73</v>
      </c>
      <c r="E148" s="21"/>
      <c r="F148" s="23">
        <v>380941956.83829999</v>
      </c>
      <c r="G148" s="102">
        <f t="shared" si="47"/>
        <v>206216551.21265444</v>
      </c>
      <c r="H148" s="102">
        <f t="shared" si="47"/>
        <v>50508359.542909108</v>
      </c>
      <c r="I148" s="102">
        <f t="shared" si="47"/>
        <v>55396864.262951396</v>
      </c>
      <c r="J148" s="102">
        <f t="shared" si="47"/>
        <v>33375704.588457149</v>
      </c>
      <c r="K148" s="102">
        <f t="shared" si="47"/>
        <v>23332037.646571878</v>
      </c>
      <c r="L148" s="39">
        <f t="shared" si="46"/>
        <v>50713.490819994913</v>
      </c>
      <c r="M148" s="39">
        <f t="shared" si="46"/>
        <v>1392734.4440565335</v>
      </c>
      <c r="N148" s="102">
        <f t="shared" si="47"/>
        <v>0</v>
      </c>
      <c r="O148" s="102">
        <f t="shared" si="47"/>
        <v>9414079.1466360651</v>
      </c>
      <c r="P148" s="102">
        <f t="shared" si="47"/>
        <v>0</v>
      </c>
      <c r="Q148" s="102">
        <f t="shared" si="47"/>
        <v>1122136.0985611673</v>
      </c>
      <c r="R148" s="102">
        <f t="shared" si="47"/>
        <v>132776.40468224164</v>
      </c>
      <c r="T148" s="88">
        <f t="shared" si="38"/>
        <v>0</v>
      </c>
    </row>
    <row r="149" spans="1:20" s="63" customFormat="1" x14ac:dyDescent="0.25">
      <c r="A149" s="22">
        <v>114.02</v>
      </c>
      <c r="B149" s="16" t="s">
        <v>302</v>
      </c>
      <c r="C149" s="21" t="str">
        <f>INDEX('Alloc Amt'!B:B,MATCH('Rate Base'!D:D,'Alloc Amt'!D:D,0))</f>
        <v>Total Production Plant</v>
      </c>
      <c r="D149" s="21">
        <v>73</v>
      </c>
      <c r="E149" s="21"/>
      <c r="F149" s="104">
        <v>946172.25</v>
      </c>
      <c r="G149" s="102">
        <f t="shared" si="47"/>
        <v>512194.5082330202</v>
      </c>
      <c r="H149" s="102">
        <f t="shared" si="47"/>
        <v>125451.15426287563</v>
      </c>
      <c r="I149" s="102">
        <f t="shared" si="47"/>
        <v>137593.07621992953</v>
      </c>
      <c r="J149" s="102">
        <f t="shared" si="47"/>
        <v>82897.577803960216</v>
      </c>
      <c r="K149" s="102">
        <f t="shared" si="47"/>
        <v>57951.417954500517</v>
      </c>
      <c r="L149" s="39">
        <f t="shared" si="46"/>
        <v>125.96065319965994</v>
      </c>
      <c r="M149" s="39">
        <f t="shared" si="46"/>
        <v>3459.2321977933957</v>
      </c>
      <c r="N149" s="102">
        <f t="shared" si="47"/>
        <v>0</v>
      </c>
      <c r="O149" s="102">
        <f t="shared" si="47"/>
        <v>23382.408495453968</v>
      </c>
      <c r="P149" s="102">
        <f t="shared" si="47"/>
        <v>0</v>
      </c>
      <c r="Q149" s="102">
        <f t="shared" si="47"/>
        <v>2787.1281126235194</v>
      </c>
      <c r="R149" s="102">
        <f t="shared" si="47"/>
        <v>329.7860666433063</v>
      </c>
      <c r="T149" s="88">
        <f t="shared" si="38"/>
        <v>0</v>
      </c>
    </row>
    <row r="150" spans="1:20" x14ac:dyDescent="0.25">
      <c r="A150" s="22">
        <v>114.03</v>
      </c>
      <c r="B150" s="16" t="s">
        <v>303</v>
      </c>
      <c r="C150" s="21" t="str">
        <f>INDEX('Alloc Amt'!B:B,MATCH('Rate Base'!D:D,'Alloc Amt'!D:D,0))</f>
        <v>Total Distribution Plant</v>
      </c>
      <c r="D150" s="21">
        <v>68</v>
      </c>
      <c r="E150" s="21"/>
      <c r="F150" s="23">
        <v>302358.00999999995</v>
      </c>
      <c r="G150" s="102">
        <f t="shared" si="47"/>
        <v>201041.60420285759</v>
      </c>
      <c r="H150" s="102">
        <f t="shared" si="47"/>
        <v>35840.745968841846</v>
      </c>
      <c r="I150" s="102">
        <f t="shared" si="47"/>
        <v>28455.40924175594</v>
      </c>
      <c r="J150" s="102">
        <f t="shared" si="47"/>
        <v>12117.197461234662</v>
      </c>
      <c r="K150" s="102">
        <f t="shared" si="47"/>
        <v>10677.59180622743</v>
      </c>
      <c r="L150" s="39">
        <f t="shared" si="46"/>
        <v>121.7618450831785</v>
      </c>
      <c r="M150" s="39">
        <f t="shared" si="46"/>
        <v>2641.3643447151894</v>
      </c>
      <c r="N150" s="102">
        <f t="shared" si="47"/>
        <v>3635.4742022814717</v>
      </c>
      <c r="O150" s="102">
        <f t="shared" si="47"/>
        <v>1385.4909203731893</v>
      </c>
      <c r="P150" s="102">
        <f t="shared" si="47"/>
        <v>478.693127707332</v>
      </c>
      <c r="Q150" s="102">
        <f t="shared" si="47"/>
        <v>5869.8967634958226</v>
      </c>
      <c r="R150" s="102">
        <f t="shared" si="47"/>
        <v>92.780115426241224</v>
      </c>
      <c r="T150" s="88">
        <f t="shared" si="38"/>
        <v>0</v>
      </c>
    </row>
    <row r="151" spans="1:20" x14ac:dyDescent="0.25">
      <c r="A151" s="22">
        <v>115.01</v>
      </c>
      <c r="B151" s="16" t="s">
        <v>304</v>
      </c>
      <c r="C151" s="21" t="str">
        <f>INDEX('Alloc Amt'!B:B,MATCH('Rate Base'!D:D,'Alloc Amt'!D:D,0))</f>
        <v>Total Production Plant</v>
      </c>
      <c r="D151" s="21">
        <v>73</v>
      </c>
      <c r="E151" s="21"/>
      <c r="F151" s="23">
        <v>-136832371.41</v>
      </c>
      <c r="G151" s="102">
        <f t="shared" si="47"/>
        <v>-74071913.633804962</v>
      </c>
      <c r="H151" s="102">
        <f t="shared" si="47"/>
        <v>-18142340.291538883</v>
      </c>
      <c r="I151" s="102">
        <f t="shared" si="47"/>
        <v>-19898265.784871452</v>
      </c>
      <c r="J151" s="102">
        <f t="shared" si="47"/>
        <v>-11988379.658207959</v>
      </c>
      <c r="K151" s="102">
        <f t="shared" si="47"/>
        <v>-8380746.6825267356</v>
      </c>
      <c r="L151" s="39">
        <f t="shared" si="46"/>
        <v>-18216.02238034573</v>
      </c>
      <c r="M151" s="39">
        <f t="shared" si="46"/>
        <v>-500262.9752477908</v>
      </c>
      <c r="N151" s="102">
        <f t="shared" si="47"/>
        <v>0</v>
      </c>
      <c r="O151" s="102">
        <f t="shared" si="47"/>
        <v>-3381488.311150847</v>
      </c>
      <c r="P151" s="102">
        <f t="shared" si="47"/>
        <v>0</v>
      </c>
      <c r="Q151" s="102">
        <f t="shared" si="47"/>
        <v>-403065.45565435226</v>
      </c>
      <c r="R151" s="102">
        <f t="shared" si="47"/>
        <v>-47692.594616656635</v>
      </c>
      <c r="T151" s="88">
        <f t="shared" si="38"/>
        <v>0</v>
      </c>
    </row>
    <row r="152" spans="1:20" s="63" customFormat="1" x14ac:dyDescent="0.25">
      <c r="A152" s="22">
        <v>115.02</v>
      </c>
      <c r="B152" s="16" t="s">
        <v>305</v>
      </c>
      <c r="C152" s="21" t="str">
        <f>INDEX('Alloc Amt'!B:B,MATCH('Rate Base'!D:D,'Alloc Amt'!D:D,0))</f>
        <v>Total Production Plant</v>
      </c>
      <c r="D152" s="21">
        <v>73</v>
      </c>
      <c r="E152" s="37"/>
      <c r="F152" s="101">
        <v>-951189</v>
      </c>
      <c r="G152" s="102">
        <f t="shared" si="47"/>
        <v>-514910.24186310498</v>
      </c>
      <c r="H152" s="102">
        <f t="shared" si="47"/>
        <v>-126116.31547231533</v>
      </c>
      <c r="I152" s="102">
        <f t="shared" si="47"/>
        <v>-138322.61575686515</v>
      </c>
      <c r="J152" s="102">
        <f t="shared" si="47"/>
        <v>-83337.11344184012</v>
      </c>
      <c r="K152" s="102">
        <f t="shared" si="47"/>
        <v>-58258.685236988713</v>
      </c>
      <c r="L152" s="39">
        <f t="shared" si="46"/>
        <v>-126.62851585039759</v>
      </c>
      <c r="M152" s="39">
        <f t="shared" si="46"/>
        <v>-3477.5735760448506</v>
      </c>
      <c r="N152" s="102">
        <f t="shared" si="47"/>
        <v>0</v>
      </c>
      <c r="O152" s="102">
        <f t="shared" si="47"/>
        <v>-23506.385601968741</v>
      </c>
      <c r="P152" s="102">
        <f t="shared" si="47"/>
        <v>0</v>
      </c>
      <c r="Q152" s="102">
        <f t="shared" si="47"/>
        <v>-2801.9058922075264</v>
      </c>
      <c r="R152" s="102">
        <f t="shared" si="47"/>
        <v>-331.53464281411749</v>
      </c>
      <c r="T152" s="88">
        <f t="shared" si="38"/>
        <v>0</v>
      </c>
    </row>
    <row r="153" spans="1:20" x14ac:dyDescent="0.25">
      <c r="A153" s="22">
        <v>115.03</v>
      </c>
      <c r="B153" s="16" t="s">
        <v>306</v>
      </c>
      <c r="C153" s="21" t="str">
        <f>INDEX('Alloc Amt'!B:B,MATCH('Rate Base'!D:D,'Alloc Amt'!D:D,0))</f>
        <v>Total Distribution Plant</v>
      </c>
      <c r="D153" s="21">
        <v>68</v>
      </c>
      <c r="E153" s="21"/>
      <c r="F153" s="23">
        <v>-302358.00999999995</v>
      </c>
      <c r="G153" s="102">
        <f t="shared" si="47"/>
        <v>-201041.60420285759</v>
      </c>
      <c r="H153" s="102">
        <f t="shared" si="47"/>
        <v>-35840.745968841846</v>
      </c>
      <c r="I153" s="102">
        <f t="shared" si="47"/>
        <v>-28455.40924175594</v>
      </c>
      <c r="J153" s="102">
        <f t="shared" si="47"/>
        <v>-12117.197461234662</v>
      </c>
      <c r="K153" s="102">
        <f t="shared" si="47"/>
        <v>-10677.59180622743</v>
      </c>
      <c r="L153" s="39">
        <f t="shared" si="47"/>
        <v>-121.7618450831785</v>
      </c>
      <c r="M153" s="39">
        <f t="shared" si="47"/>
        <v>-2641.3643447151894</v>
      </c>
      <c r="N153" s="102">
        <f t="shared" si="47"/>
        <v>-3635.4742022814717</v>
      </c>
      <c r="O153" s="102">
        <f t="shared" si="47"/>
        <v>-1385.4909203731893</v>
      </c>
      <c r="P153" s="102">
        <f t="shared" si="47"/>
        <v>-478.693127707332</v>
      </c>
      <c r="Q153" s="102">
        <f t="shared" si="47"/>
        <v>-5869.8967634958226</v>
      </c>
      <c r="R153" s="102">
        <f t="shared" si="47"/>
        <v>-92.780115426241224</v>
      </c>
      <c r="T153" s="88">
        <f t="shared" si="38"/>
        <v>0</v>
      </c>
    </row>
    <row r="154" spans="1:20" x14ac:dyDescent="0.25">
      <c r="A154" s="22">
        <v>230</v>
      </c>
      <c r="B154" s="16" t="s">
        <v>307</v>
      </c>
      <c r="C154" s="21" t="str">
        <f>INDEX('Alloc Amt'!B:B,MATCH('Rate Base'!D:D,'Alloc Amt'!D:D,0))</f>
        <v>Total Production Plant</v>
      </c>
      <c r="D154" s="21">
        <v>73</v>
      </c>
      <c r="E154" s="21"/>
      <c r="F154" s="23">
        <v>-154752983.34</v>
      </c>
      <c r="G154" s="102">
        <f t="shared" si="47"/>
        <v>-83772936.903850302</v>
      </c>
      <c r="H154" s="102">
        <f t="shared" si="47"/>
        <v>-20518399.673660439</v>
      </c>
      <c r="I154" s="102">
        <f t="shared" si="47"/>
        <v>-22504294.57423012</v>
      </c>
      <c r="J154" s="102">
        <f t="shared" si="47"/>
        <v>-13558469.376820773</v>
      </c>
      <c r="K154" s="102">
        <f t="shared" si="47"/>
        <v>-9478353.246189788</v>
      </c>
      <c r="L154" s="39">
        <f t="shared" si="47"/>
        <v>-20601.73173130209</v>
      </c>
      <c r="M154" s="39">
        <f t="shared" si="47"/>
        <v>-565781.23346389935</v>
      </c>
      <c r="N154" s="102">
        <f t="shared" si="47"/>
        <v>0</v>
      </c>
      <c r="O154" s="102">
        <f t="shared" si="47"/>
        <v>-3824353.8344588554</v>
      </c>
      <c r="P154" s="102">
        <f t="shared" si="47"/>
        <v>0</v>
      </c>
      <c r="Q154" s="102">
        <f t="shared" si="47"/>
        <v>-455853.98470444803</v>
      </c>
      <c r="R154" s="102">
        <f t="shared" si="47"/>
        <v>-53938.780890071241</v>
      </c>
      <c r="T154" s="88">
        <f t="shared" si="38"/>
        <v>0</v>
      </c>
    </row>
    <row r="155" spans="1:20" s="68" customFormat="1" x14ac:dyDescent="0.25">
      <c r="A155" s="64">
        <v>230.01</v>
      </c>
      <c r="B155" s="65" t="s">
        <v>308</v>
      </c>
      <c r="C155" s="21" t="str">
        <f>INDEX('Alloc Amt'!B:B,MATCH('Rate Base'!D:D,'Alloc Amt'!D:D,0))</f>
        <v>Total Production Plant</v>
      </c>
      <c r="D155" s="66">
        <v>73</v>
      </c>
      <c r="E155" s="69"/>
      <c r="F155" s="105">
        <v>-4532108.43</v>
      </c>
      <c r="G155" s="102">
        <f t="shared" si="47"/>
        <v>-2453381.0292603434</v>
      </c>
      <c r="H155" s="102">
        <f t="shared" si="47"/>
        <v>-600903.5181363743</v>
      </c>
      <c r="I155" s="102">
        <f t="shared" si="47"/>
        <v>-659062.59737164679</v>
      </c>
      <c r="J155" s="102">
        <f t="shared" si="47"/>
        <v>-397074.43458832038</v>
      </c>
      <c r="K155" s="102">
        <f t="shared" si="47"/>
        <v>-277583.82244041201</v>
      </c>
      <c r="L155" s="39">
        <f t="shared" si="47"/>
        <v>-603.34398753977962</v>
      </c>
      <c r="M155" s="39">
        <f t="shared" si="47"/>
        <v>-16569.51512258669</v>
      </c>
      <c r="N155" s="102">
        <f t="shared" si="47"/>
        <v>0</v>
      </c>
      <c r="O155" s="102">
        <f t="shared" si="47"/>
        <v>-112000.33678429118</v>
      </c>
      <c r="P155" s="102">
        <f t="shared" si="47"/>
        <v>0</v>
      </c>
      <c r="Q155" s="102">
        <f t="shared" si="47"/>
        <v>-13350.176793613469</v>
      </c>
      <c r="R155" s="102">
        <f t="shared" si="47"/>
        <v>-1579.655514871283</v>
      </c>
      <c r="T155" s="88">
        <f t="shared" si="38"/>
        <v>0</v>
      </c>
    </row>
    <row r="156" spans="1:20" x14ac:dyDescent="0.25">
      <c r="A156" s="22">
        <v>230.02</v>
      </c>
      <c r="B156" s="16" t="s">
        <v>309</v>
      </c>
      <c r="C156" s="21" t="str">
        <f>INDEX('Alloc Amt'!B:B,MATCH('Rate Base'!D:D,'Alloc Amt'!D:D,0))</f>
        <v>Total Distribution Plant</v>
      </c>
      <c r="D156" s="21">
        <v>68</v>
      </c>
      <c r="E156" s="21"/>
      <c r="F156" s="23">
        <v>-8852463.3499999996</v>
      </c>
      <c r="G156" s="102">
        <f t="shared" si="47"/>
        <v>-5886113.0652070474</v>
      </c>
      <c r="H156" s="102">
        <f t="shared" si="47"/>
        <v>-1049348.3871184122</v>
      </c>
      <c r="I156" s="102">
        <f t="shared" si="47"/>
        <v>-833119.87475342816</v>
      </c>
      <c r="J156" s="102">
        <f t="shared" si="47"/>
        <v>-354768.33053072717</v>
      </c>
      <c r="K156" s="102">
        <f t="shared" si="47"/>
        <v>-312619.43459307938</v>
      </c>
      <c r="L156" s="39">
        <f t="shared" si="47"/>
        <v>-3564.9535827650657</v>
      </c>
      <c r="M156" s="39">
        <f t="shared" si="47"/>
        <v>-77334.088339806127</v>
      </c>
      <c r="N156" s="102">
        <f t="shared" si="47"/>
        <v>-106439.72069920429</v>
      </c>
      <c r="O156" s="102">
        <f t="shared" si="47"/>
        <v>-40564.520167206509</v>
      </c>
      <c r="P156" s="102">
        <f t="shared" si="47"/>
        <v>-14015.217817202945</v>
      </c>
      <c r="Q156" s="102">
        <f t="shared" si="47"/>
        <v>-171859.33313666933</v>
      </c>
      <c r="R156" s="102">
        <f t="shared" si="47"/>
        <v>-2716.4240544497898</v>
      </c>
      <c r="T156" s="88">
        <f t="shared" si="38"/>
        <v>0</v>
      </c>
    </row>
    <row r="157" spans="1:20" x14ac:dyDescent="0.25">
      <c r="A157" s="22">
        <v>230.03</v>
      </c>
      <c r="B157" s="16" t="s">
        <v>310</v>
      </c>
      <c r="C157" s="21" t="str">
        <f>INDEX('Alloc Amt'!B:B,MATCH('Rate Base'!D:D,'Alloc Amt'!D:D,0))</f>
        <v>Total General Plant</v>
      </c>
      <c r="D157" s="21">
        <v>70</v>
      </c>
      <c r="E157" s="21"/>
      <c r="F157" s="23">
        <v>-455842.46420599998</v>
      </c>
      <c r="G157" s="102">
        <f t="shared" si="47"/>
        <v>-280944.188503224</v>
      </c>
      <c r="H157" s="102">
        <f t="shared" si="47"/>
        <v>-55235.734217822879</v>
      </c>
      <c r="I157" s="102">
        <f t="shared" si="47"/>
        <v>-49827.414819562546</v>
      </c>
      <c r="J157" s="102">
        <f t="shared" si="47"/>
        <v>-27325.709011659634</v>
      </c>
      <c r="K157" s="102">
        <f t="shared" si="47"/>
        <v>-20518.999235288207</v>
      </c>
      <c r="L157" s="39">
        <f t="shared" si="47"/>
        <v>-99.561800574598166</v>
      </c>
      <c r="M157" s="39">
        <f t="shared" si="47"/>
        <v>-2347.5466613293966</v>
      </c>
      <c r="N157" s="102">
        <f t="shared" si="47"/>
        <v>-2756.9834093599534</v>
      </c>
      <c r="O157" s="102">
        <f t="shared" si="47"/>
        <v>-6514.0320069021755</v>
      </c>
      <c r="P157" s="102">
        <f t="shared" si="47"/>
        <v>-3966.2347235328675</v>
      </c>
      <c r="Q157" s="102">
        <f t="shared" si="47"/>
        <v>-6173.5998167194093</v>
      </c>
      <c r="R157" s="102">
        <f t="shared" si="47"/>
        <v>-132.46000002440346</v>
      </c>
      <c r="T157" s="88">
        <f t="shared" si="38"/>
        <v>0</v>
      </c>
    </row>
    <row r="158" spans="1:20" x14ac:dyDescent="0.25">
      <c r="A158" s="25"/>
      <c r="B158" s="24" t="s">
        <v>189</v>
      </c>
      <c r="C158" s="26"/>
      <c r="D158" s="26"/>
      <c r="E158" s="26"/>
      <c r="F158" s="27">
        <f t="shared" ref="F158:R158" si="48">SUM(F137:F157)</f>
        <v>-1171051115.3491793</v>
      </c>
      <c r="G158" s="27">
        <f t="shared" si="48"/>
        <v>-693947515.9353081</v>
      </c>
      <c r="H158" s="27">
        <f t="shared" si="48"/>
        <v>-175713081.3567462</v>
      </c>
      <c r="I158" s="27">
        <f t="shared" si="48"/>
        <v>-128186671.0436866</v>
      </c>
      <c r="J158" s="27">
        <f t="shared" si="48"/>
        <v>-66126194.094334185</v>
      </c>
      <c r="K158" s="27">
        <f t="shared" si="48"/>
        <v>-50081158.130577944</v>
      </c>
      <c r="L158" s="27">
        <f t="shared" si="48"/>
        <v>-293656.22983570275</v>
      </c>
      <c r="M158" s="27">
        <f t="shared" si="48"/>
        <v>-6744177.8975055423</v>
      </c>
      <c r="N158" s="27">
        <f t="shared" si="48"/>
        <v>-9115580.9564491566</v>
      </c>
      <c r="O158" s="27">
        <f t="shared" si="48"/>
        <v>-14707738.295025483</v>
      </c>
      <c r="P158" s="27">
        <f t="shared" si="48"/>
        <v>-13630497.647911768</v>
      </c>
      <c r="Q158" s="27">
        <f t="shared" si="48"/>
        <v>-12159610.551206382</v>
      </c>
      <c r="R158" s="27">
        <f t="shared" si="48"/>
        <v>-345233.2105927791</v>
      </c>
      <c r="T158" s="88">
        <f t="shared" si="38"/>
        <v>0</v>
      </c>
    </row>
    <row r="159" spans="1:20" x14ac:dyDescent="0.25">
      <c r="A159" s="22"/>
      <c r="B159" s="16"/>
      <c r="C159" s="21"/>
      <c r="D159" s="21"/>
      <c r="E159" s="21"/>
      <c r="F159" s="23"/>
      <c r="G159" s="102"/>
      <c r="H159" s="102"/>
      <c r="I159" s="102"/>
      <c r="J159" s="102"/>
      <c r="K159" s="102"/>
      <c r="L159" s="102"/>
      <c r="M159" s="102"/>
      <c r="N159" s="102"/>
      <c r="O159" s="102"/>
      <c r="P159" s="102"/>
      <c r="Q159" s="102"/>
      <c r="R159" s="102"/>
      <c r="T159" s="88">
        <f t="shared" si="38"/>
        <v>0</v>
      </c>
    </row>
    <row r="160" spans="1:20" x14ac:dyDescent="0.25">
      <c r="A160" s="25"/>
      <c r="B160" s="24" t="s">
        <v>311</v>
      </c>
      <c r="C160" s="26"/>
      <c r="D160" s="26"/>
      <c r="E160" s="26"/>
      <c r="F160" s="27">
        <f t="shared" ref="F160:R160" si="49">F134+F158</f>
        <v>-1033675899.393409</v>
      </c>
      <c r="G160" s="27">
        <f t="shared" si="49"/>
        <v>-612997572.79711545</v>
      </c>
      <c r="H160" s="27">
        <f t="shared" si="49"/>
        <v>-158551829.96395367</v>
      </c>
      <c r="I160" s="27">
        <f t="shared" si="49"/>
        <v>-111517488.60380948</v>
      </c>
      <c r="J160" s="27">
        <f t="shared" si="49"/>
        <v>-57027572.913550831</v>
      </c>
      <c r="K160" s="27">
        <f t="shared" si="49"/>
        <v>-43301110.314188868</v>
      </c>
      <c r="L160" s="27">
        <f t="shared" si="49"/>
        <v>-260404.1871654214</v>
      </c>
      <c r="M160" s="27">
        <f t="shared" si="49"/>
        <v>-5962979.5491976524</v>
      </c>
      <c r="N160" s="27">
        <f t="shared" si="49"/>
        <v>-8199111.097892791</v>
      </c>
      <c r="O160" s="27">
        <f t="shared" si="49"/>
        <v>-12525405.543844398</v>
      </c>
      <c r="P160" s="27">
        <f t="shared" si="49"/>
        <v>-12257529.144907482</v>
      </c>
      <c r="Q160" s="27">
        <f t="shared" si="49"/>
        <v>-10774224.807211943</v>
      </c>
      <c r="R160" s="27">
        <f t="shared" si="49"/>
        <v>-300670.47057161876</v>
      </c>
      <c r="T160" s="88">
        <f t="shared" si="38"/>
        <v>0</v>
      </c>
    </row>
    <row r="161" spans="1:20" x14ac:dyDescent="0.25">
      <c r="A161" s="22"/>
      <c r="B161" s="16"/>
      <c r="C161" s="21"/>
      <c r="D161" s="21"/>
      <c r="E161" s="21"/>
      <c r="F161" s="23"/>
      <c r="G161" s="102"/>
      <c r="H161" s="102"/>
      <c r="I161" s="102"/>
      <c r="J161" s="102"/>
      <c r="K161" s="102"/>
      <c r="L161" s="102"/>
      <c r="M161" s="102"/>
      <c r="N161" s="102"/>
      <c r="O161" s="102"/>
      <c r="P161" s="102"/>
      <c r="Q161" s="102"/>
      <c r="R161" s="102"/>
      <c r="T161" s="88">
        <f t="shared" si="38"/>
        <v>0</v>
      </c>
    </row>
    <row r="162" spans="1:20" ht="15.75" thickBot="1" x14ac:dyDescent="0.3">
      <c r="A162" s="29"/>
      <c r="B162" s="28" t="s">
        <v>312</v>
      </c>
      <c r="C162" s="30"/>
      <c r="D162" s="30"/>
      <c r="E162" s="30"/>
      <c r="F162" s="31">
        <f t="shared" ref="F162:R162" si="50">SUM(F160,F129,F76)</f>
        <v>5428588079.6691399</v>
      </c>
      <c r="G162" s="31">
        <f t="shared" si="50"/>
        <v>3179372876.1581163</v>
      </c>
      <c r="H162" s="31">
        <f t="shared" si="50"/>
        <v>652977857.81302309</v>
      </c>
      <c r="I162" s="31">
        <f t="shared" si="50"/>
        <v>671751944.02463615</v>
      </c>
      <c r="J162" s="31">
        <f t="shared" si="50"/>
        <v>367180734.67532134</v>
      </c>
      <c r="K162" s="31">
        <f t="shared" si="50"/>
        <v>277721165.62172079</v>
      </c>
      <c r="L162" s="31">
        <f t="shared" si="50"/>
        <v>1373381.2727046942</v>
      </c>
      <c r="M162" s="31">
        <f t="shared" si="50"/>
        <v>32657779.818445027</v>
      </c>
      <c r="N162" s="31">
        <f t="shared" si="50"/>
        <v>37830051.010759115</v>
      </c>
      <c r="O162" s="31">
        <f t="shared" si="50"/>
        <v>87297335.404558793</v>
      </c>
      <c r="P162" s="31">
        <f t="shared" si="50"/>
        <v>62009924.542997509</v>
      </c>
      <c r="Q162" s="31">
        <f t="shared" si="50"/>
        <v>56592231.917916156</v>
      </c>
      <c r="R162" s="31">
        <f t="shared" si="50"/>
        <v>1822797.4089408994</v>
      </c>
      <c r="T162" s="88">
        <f t="shared" si="38"/>
        <v>0</v>
      </c>
    </row>
    <row r="163" spans="1:20" ht="15.75" thickTop="1" x14ac:dyDescent="0.25">
      <c r="A163" s="22"/>
      <c r="B163" s="16"/>
      <c r="C163" s="21"/>
      <c r="D163" s="21"/>
      <c r="E163" s="21"/>
      <c r="F163" s="23"/>
      <c r="G163" s="102"/>
      <c r="H163" s="102"/>
      <c r="I163" s="102"/>
      <c r="J163" s="102"/>
      <c r="K163" s="102"/>
      <c r="L163" s="102"/>
      <c r="M163" s="102"/>
      <c r="N163" s="102"/>
      <c r="O163" s="102"/>
      <c r="P163" s="102"/>
      <c r="Q163" s="102"/>
      <c r="R163" s="102"/>
      <c r="T163" s="88">
        <f t="shared" si="38"/>
        <v>0</v>
      </c>
    </row>
    <row r="164" spans="1:20" x14ac:dyDescent="0.25">
      <c r="A164" s="22"/>
      <c r="B164" s="16"/>
      <c r="C164" s="21"/>
      <c r="D164" s="21"/>
      <c r="E164" s="21"/>
      <c r="F164" s="23"/>
      <c r="G164" s="102"/>
      <c r="H164" s="102"/>
      <c r="I164" s="102"/>
      <c r="J164" s="102"/>
      <c r="K164" s="102"/>
      <c r="L164" s="102"/>
      <c r="M164" s="102"/>
      <c r="N164" s="102"/>
      <c r="O164" s="102"/>
      <c r="P164" s="102"/>
      <c r="Q164" s="102"/>
      <c r="R164" s="102"/>
      <c r="T164" s="88">
        <f t="shared" si="38"/>
        <v>0</v>
      </c>
    </row>
    <row r="165" spans="1:20" x14ac:dyDescent="0.25">
      <c r="A165" s="22"/>
      <c r="B165" s="16"/>
      <c r="C165" s="21"/>
      <c r="D165" s="21"/>
      <c r="E165" s="21"/>
      <c r="F165" s="23"/>
      <c r="G165" s="102"/>
      <c r="H165" s="102">
        <f>H162-651816598</f>
        <v>1161259.8130230904</v>
      </c>
      <c r="I165" s="102">
        <f>I162-674855962</f>
        <v>-3104017.9753638506</v>
      </c>
      <c r="J165" s="102"/>
      <c r="K165" s="102"/>
      <c r="L165" s="102"/>
      <c r="M165" s="102"/>
      <c r="N165" s="102"/>
      <c r="O165" s="102"/>
      <c r="P165" s="102"/>
      <c r="Q165" s="102"/>
      <c r="R165" s="102"/>
      <c r="T165" s="88">
        <f t="shared" ref="T165:T172" si="51">F165-SUM(G165:R165)</f>
        <v>1942758.1623407602</v>
      </c>
    </row>
    <row r="166" spans="1:20" x14ac:dyDescent="0.25">
      <c r="A166" s="22"/>
      <c r="B166" s="16"/>
      <c r="C166" s="21"/>
      <c r="D166" s="21"/>
      <c r="E166" s="21"/>
      <c r="F166" s="23">
        <v>5428588079.6691418</v>
      </c>
      <c r="G166" s="102"/>
      <c r="H166" s="102"/>
      <c r="I166" s="102"/>
      <c r="J166" s="102"/>
      <c r="K166" s="102"/>
      <c r="L166" s="102"/>
      <c r="M166" s="102"/>
      <c r="N166" s="102"/>
      <c r="O166" s="102"/>
      <c r="P166" s="102"/>
      <c r="Q166" s="102"/>
      <c r="R166" s="102"/>
      <c r="T166" s="88">
        <f t="shared" si="51"/>
        <v>5428588079.6691418</v>
      </c>
    </row>
    <row r="167" spans="1:20" x14ac:dyDescent="0.25">
      <c r="A167" s="16"/>
      <c r="B167" s="16"/>
      <c r="C167" s="21"/>
      <c r="D167" s="21"/>
      <c r="E167" s="21"/>
      <c r="F167" s="32">
        <v>0</v>
      </c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T167" s="88">
        <f t="shared" si="51"/>
        <v>0</v>
      </c>
    </row>
    <row r="168" spans="1:20" x14ac:dyDescent="0.25"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T168" s="88">
        <f t="shared" si="51"/>
        <v>0</v>
      </c>
    </row>
    <row r="169" spans="1:20" x14ac:dyDescent="0.25"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T169" s="88">
        <f t="shared" si="51"/>
        <v>0</v>
      </c>
    </row>
    <row r="170" spans="1:20" x14ac:dyDescent="0.25"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T170" s="88">
        <f t="shared" si="51"/>
        <v>0</v>
      </c>
    </row>
    <row r="171" spans="1:20" x14ac:dyDescent="0.25"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T171" s="88">
        <f t="shared" si="51"/>
        <v>0</v>
      </c>
    </row>
    <row r="172" spans="1:20" x14ac:dyDescent="0.25"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T172" s="88">
        <f t="shared" si="51"/>
        <v>0</v>
      </c>
    </row>
    <row r="173" spans="1:20" x14ac:dyDescent="0.25"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</row>
    <row r="174" spans="1:20" x14ac:dyDescent="0.25"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</row>
    <row r="175" spans="1:20" x14ac:dyDescent="0.25"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</row>
    <row r="176" spans="1:20" x14ac:dyDescent="0.25"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</row>
    <row r="177" spans="7:18" x14ac:dyDescent="0.25"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</row>
    <row r="178" spans="7:18" x14ac:dyDescent="0.25"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</row>
    <row r="179" spans="7:18" x14ac:dyDescent="0.25"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</row>
  </sheetData>
  <autoFilter ref="D1:D179" xr:uid="{7D987445-CA4F-47C6-883C-99E6F30E977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D323A-94D9-45F0-8F76-F69514813D13}">
  <dimension ref="A1:T189"/>
  <sheetViews>
    <sheetView topLeftCell="C1" workbookViewId="0">
      <selection activeCell="G15" sqref="G15"/>
    </sheetView>
  </sheetViews>
  <sheetFormatPr defaultRowHeight="15" x14ac:dyDescent="0.25"/>
  <cols>
    <col min="1" max="1" width="8.85546875" style="56" bestFit="1" customWidth="1"/>
    <col min="2" max="2" width="40.85546875" style="56" bestFit="1" customWidth="1"/>
    <col min="3" max="3" width="47" style="56" bestFit="1" customWidth="1"/>
    <col min="4" max="4" width="8.140625" style="56" bestFit="1" customWidth="1"/>
    <col min="5" max="5" width="14.42578125" style="56" bestFit="1" customWidth="1"/>
    <col min="6" max="6" width="16.7109375" style="56" bestFit="1" customWidth="1"/>
    <col min="7" max="7" width="12.7109375" style="56" bestFit="1" customWidth="1"/>
    <col min="8" max="9" width="12.5703125" style="56" bestFit="1" customWidth="1"/>
    <col min="10" max="11" width="12.42578125" style="56" bestFit="1" customWidth="1"/>
    <col min="12" max="13" width="12.42578125" style="56" customWidth="1"/>
    <col min="14" max="14" width="10.5703125" style="56" bestFit="1" customWidth="1"/>
    <col min="15" max="15" width="11.7109375" style="56" bestFit="1" customWidth="1"/>
    <col min="16" max="16" width="10.7109375" style="56" bestFit="1" customWidth="1"/>
    <col min="17" max="17" width="11.42578125" style="56" bestFit="1" customWidth="1"/>
    <col min="18" max="18" width="9.140625" style="56" bestFit="1" customWidth="1"/>
    <col min="19" max="19" width="9.140625" style="56"/>
    <col min="20" max="20" width="14.42578125" style="56" bestFit="1" customWidth="1"/>
    <col min="21" max="16384" width="9.140625" style="56"/>
  </cols>
  <sheetData>
    <row r="1" spans="1:20" x14ac:dyDescent="0.25">
      <c r="C1" s="56">
        <v>2</v>
      </c>
      <c r="D1" s="56">
        <v>3</v>
      </c>
      <c r="F1" s="56">
        <f>D1+1</f>
        <v>4</v>
      </c>
      <c r="G1" s="56">
        <f>F1+1</f>
        <v>5</v>
      </c>
      <c r="H1" s="56">
        <f t="shared" ref="H1:K1" si="0">G1+1</f>
        <v>6</v>
      </c>
      <c r="I1" s="56">
        <f t="shared" si="0"/>
        <v>7</v>
      </c>
      <c r="J1" s="56">
        <f t="shared" si="0"/>
        <v>8</v>
      </c>
      <c r="K1" s="56">
        <f t="shared" si="0"/>
        <v>9</v>
      </c>
      <c r="L1" s="56">
        <f t="shared" ref="L1" si="1">K1+1</f>
        <v>10</v>
      </c>
      <c r="M1" s="56">
        <f t="shared" ref="M1" si="2">L1+1</f>
        <v>11</v>
      </c>
      <c r="N1" s="56">
        <f t="shared" ref="N1" si="3">M1+1</f>
        <v>12</v>
      </c>
      <c r="O1" s="56">
        <f t="shared" ref="O1" si="4">N1+1</f>
        <v>13</v>
      </c>
      <c r="P1" s="56">
        <f t="shared" ref="P1" si="5">O1+1</f>
        <v>14</v>
      </c>
      <c r="Q1" s="56">
        <f t="shared" ref="Q1" si="6">P1+1</f>
        <v>15</v>
      </c>
      <c r="R1" s="56">
        <f t="shared" ref="R1" si="7">Q1+1</f>
        <v>16</v>
      </c>
    </row>
    <row r="7" spans="1:20" ht="64.5" x14ac:dyDescent="0.25">
      <c r="D7" s="115" t="s">
        <v>580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56" t="s">
        <v>535</v>
      </c>
    </row>
    <row r="8" spans="1:20" x14ac:dyDescent="0.25">
      <c r="A8" s="107"/>
      <c r="B8" s="35" t="s">
        <v>180</v>
      </c>
      <c r="C8" s="34" t="s">
        <v>181</v>
      </c>
      <c r="D8" s="34" t="s">
        <v>321</v>
      </c>
      <c r="E8" s="107"/>
      <c r="F8" s="34" t="s">
        <v>1</v>
      </c>
      <c r="G8" s="107"/>
      <c r="H8" s="107"/>
      <c r="I8" s="107"/>
      <c r="J8" s="107"/>
      <c r="K8" s="107"/>
      <c r="L8" s="107"/>
      <c r="M8" s="107"/>
      <c r="N8" s="107"/>
      <c r="O8" s="107"/>
      <c r="P8" s="107"/>
      <c r="Q8" s="107"/>
      <c r="R8" s="107"/>
    </row>
    <row r="9" spans="1:20" x14ac:dyDescent="0.25">
      <c r="A9" s="108"/>
      <c r="B9" s="108"/>
      <c r="C9" s="108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20" x14ac:dyDescent="0.25">
      <c r="A10" s="16"/>
      <c r="B10" s="20" t="s">
        <v>326</v>
      </c>
      <c r="C10" s="16"/>
      <c r="D10" s="16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</row>
    <row r="11" spans="1:20" x14ac:dyDescent="0.25">
      <c r="A11" s="16"/>
      <c r="B11" s="20"/>
      <c r="C11" s="16"/>
      <c r="D11" s="16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</row>
    <row r="12" spans="1:20" x14ac:dyDescent="0.25">
      <c r="A12" s="16"/>
      <c r="B12" s="20" t="s">
        <v>327</v>
      </c>
      <c r="C12" s="16"/>
      <c r="D12" s="16"/>
    </row>
    <row r="13" spans="1:20" x14ac:dyDescent="0.25">
      <c r="A13" s="16"/>
      <c r="B13" s="16"/>
      <c r="C13" s="16"/>
      <c r="D13" s="16"/>
    </row>
    <row r="14" spans="1:20" x14ac:dyDescent="0.25">
      <c r="A14" s="16"/>
      <c r="B14" s="20" t="s">
        <v>328</v>
      </c>
      <c r="C14" s="16"/>
      <c r="D14" s="16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</row>
    <row r="15" spans="1:20" x14ac:dyDescent="0.25">
      <c r="A15" s="22" t="s">
        <v>329</v>
      </c>
      <c r="B15" s="16" t="s">
        <v>330</v>
      </c>
      <c r="C15" s="16" t="str">
        <f>INDEX('Alloc Amt'!B:B,MATCH(Expenses!D:D,'Alloc Amt'!D:D,0))</f>
        <v>Time Differentiated Fuel Costs Adj. TY Loads</v>
      </c>
      <c r="D15" s="56">
        <v>86</v>
      </c>
      <c r="E15" s="58"/>
      <c r="F15" s="46">
        <v>37464673.568808615</v>
      </c>
      <c r="G15" s="59">
        <f t="shared" ref="G15:R16" si="8">INDEX(Alloc,($D15),(G$1))*$F15</f>
        <v>18758015.522680424</v>
      </c>
      <c r="H15" s="59">
        <f t="shared" si="8"/>
        <v>5076760.6124479258</v>
      </c>
      <c r="I15" s="59">
        <f t="shared" si="8"/>
        <v>5705084.6431288812</v>
      </c>
      <c r="J15" s="59">
        <f t="shared" si="8"/>
        <v>3828627.0720776371</v>
      </c>
      <c r="K15" s="59">
        <f t="shared" si="8"/>
        <v>2592113.4560710425</v>
      </c>
      <c r="L15" s="59">
        <f t="shared" si="8"/>
        <v>11332.657060542188</v>
      </c>
      <c r="M15" s="59">
        <f t="shared" si="8"/>
        <v>192939.6759165145</v>
      </c>
      <c r="N15" s="59">
        <f t="shared" si="8"/>
        <v>0</v>
      </c>
      <c r="O15" s="59">
        <f t="shared" si="8"/>
        <v>1148053.1563307084</v>
      </c>
      <c r="P15" s="59">
        <f t="shared" si="8"/>
        <v>0</v>
      </c>
      <c r="Q15" s="59">
        <f t="shared" si="8"/>
        <v>140616.57081391083</v>
      </c>
      <c r="R15" s="59">
        <f t="shared" si="8"/>
        <v>11130.202281023518</v>
      </c>
      <c r="T15" s="89">
        <f t="shared" ref="T15:T54" si="9">F15-SUM(G15:R15)</f>
        <v>0</v>
      </c>
    </row>
    <row r="16" spans="1:20" x14ac:dyDescent="0.25">
      <c r="A16" s="22" t="s">
        <v>331</v>
      </c>
      <c r="B16" s="16" t="s">
        <v>332</v>
      </c>
      <c r="C16" s="16" t="str">
        <f>INDEX('Alloc Amt'!B:B,MATCH(Expenses!D:D,'Alloc Amt'!D:D,0))</f>
        <v>Time Differentiated Fuel Costs Adj. TY Loads</v>
      </c>
      <c r="D16" s="56">
        <v>86</v>
      </c>
      <c r="E16" s="58"/>
      <c r="F16" s="46">
        <v>143207932.26523873</v>
      </c>
      <c r="G16" s="59">
        <f t="shared" ref="G16:R16" si="10">INDEX(Alloc,($D16),(G$1))*$F16</f>
        <v>71702122.573378131</v>
      </c>
      <c r="H16" s="59">
        <f t="shared" si="10"/>
        <v>19405811.412689544</v>
      </c>
      <c r="I16" s="59">
        <f t="shared" si="10"/>
        <v>21807566.897389509</v>
      </c>
      <c r="J16" s="59">
        <f t="shared" si="10"/>
        <v>14634847.021953896</v>
      </c>
      <c r="K16" s="59">
        <f t="shared" si="10"/>
        <v>9908299.5494157802</v>
      </c>
      <c r="L16" s="59">
        <f t="shared" si="8"/>
        <v>43318.84493082785</v>
      </c>
      <c r="M16" s="59">
        <f t="shared" si="8"/>
        <v>737507.88163634797</v>
      </c>
      <c r="N16" s="59">
        <f t="shared" si="10"/>
        <v>0</v>
      </c>
      <c r="O16" s="59">
        <f t="shared" si="10"/>
        <v>4388409.2129280474</v>
      </c>
      <c r="P16" s="59">
        <f t="shared" si="10"/>
        <v>0</v>
      </c>
      <c r="Q16" s="59">
        <f t="shared" si="10"/>
        <v>537503.90515224403</v>
      </c>
      <c r="R16" s="59">
        <f t="shared" si="10"/>
        <v>42544.96576439566</v>
      </c>
      <c r="T16" s="89">
        <f t="shared" si="9"/>
        <v>0</v>
      </c>
    </row>
    <row r="17" spans="1:20" x14ac:dyDescent="0.25">
      <c r="A17" s="25"/>
      <c r="B17" s="24" t="s">
        <v>189</v>
      </c>
      <c r="C17" s="24"/>
      <c r="D17" s="60"/>
      <c r="E17" s="61"/>
      <c r="F17" s="47">
        <f t="shared" ref="F17" si="11">SUM(F15:F16)</f>
        <v>180672605.83404735</v>
      </c>
      <c r="G17" s="47">
        <f t="shared" ref="G17" si="12">SUM(G15:G16)</f>
        <v>90460138.096058547</v>
      </c>
      <c r="H17" s="47">
        <f t="shared" ref="H17" si="13">SUM(H15:H16)</f>
        <v>24482572.025137469</v>
      </c>
      <c r="I17" s="47">
        <f t="shared" ref="I17" si="14">SUM(I15:I16)</f>
        <v>27512651.540518388</v>
      </c>
      <c r="J17" s="47">
        <f t="shared" ref="J17" si="15">SUM(J15:J16)</f>
        <v>18463474.094031531</v>
      </c>
      <c r="K17" s="47">
        <f t="shared" ref="K17" si="16">SUM(K15:K16)</f>
        <v>12500413.005486824</v>
      </c>
      <c r="L17" s="47">
        <f t="shared" ref="L17" si="17">SUM(L15:L16)</f>
        <v>54651.501991370038</v>
      </c>
      <c r="M17" s="47">
        <f t="shared" ref="M17" si="18">SUM(M15:M16)</f>
        <v>930447.55755286245</v>
      </c>
      <c r="N17" s="47">
        <f t="shared" ref="N17" si="19">SUM(N15:N16)</f>
        <v>0</v>
      </c>
      <c r="O17" s="47">
        <f t="shared" ref="O17" si="20">SUM(O15:O16)</f>
        <v>5536462.3692587558</v>
      </c>
      <c r="P17" s="47">
        <f t="shared" ref="P17" si="21">SUM(P15:P16)</f>
        <v>0</v>
      </c>
      <c r="Q17" s="47">
        <f t="shared" ref="Q17" si="22">SUM(Q15:Q16)</f>
        <v>678120.47596615483</v>
      </c>
      <c r="R17" s="47">
        <f t="shared" ref="R17" si="23">SUM(R15:R16)</f>
        <v>53675.168045419181</v>
      </c>
      <c r="T17" s="89">
        <f t="shared" si="9"/>
        <v>0</v>
      </c>
    </row>
    <row r="18" spans="1:20" x14ac:dyDescent="0.25">
      <c r="A18" s="22"/>
      <c r="B18" s="16"/>
      <c r="C18" s="16"/>
      <c r="E18" s="57"/>
      <c r="F18" s="46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T18" s="89">
        <f t="shared" si="9"/>
        <v>0</v>
      </c>
    </row>
    <row r="19" spans="1:20" x14ac:dyDescent="0.25">
      <c r="A19" s="22"/>
      <c r="B19" s="20" t="s">
        <v>333</v>
      </c>
      <c r="C19" s="16"/>
      <c r="E19" s="57"/>
      <c r="F19" s="46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T19" s="89">
        <f t="shared" si="9"/>
        <v>0</v>
      </c>
    </row>
    <row r="20" spans="1:20" x14ac:dyDescent="0.25">
      <c r="A20" s="22">
        <v>555</v>
      </c>
      <c r="B20" s="16" t="s">
        <v>334</v>
      </c>
      <c r="C20" s="16"/>
      <c r="E20" s="46">
        <v>446679558.91286945</v>
      </c>
      <c r="F20" s="46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T20" s="89">
        <f t="shared" si="9"/>
        <v>0</v>
      </c>
    </row>
    <row r="21" spans="1:20" x14ac:dyDescent="0.25">
      <c r="A21" s="22"/>
      <c r="B21" s="16" t="s">
        <v>322</v>
      </c>
      <c r="C21" s="16" t="str">
        <f>INDEX('Alloc Amt'!B:B,MATCH(Expenses!D:D,'Alloc Amt'!D:D,0))</f>
        <v>4 CP Winter Peak - No Interruptibles or Transportation</v>
      </c>
      <c r="D21" s="56">
        <v>30</v>
      </c>
      <c r="E21" s="111">
        <v>0.36530000000000001</v>
      </c>
      <c r="F21" s="46">
        <f>E20*E21</f>
        <v>163172042.87087122</v>
      </c>
      <c r="G21" s="59">
        <f t="shared" ref="G21:R22" si="24">INDEX(Alloc,($D21),(G$1))*$F21</f>
        <v>94105425.183601588</v>
      </c>
      <c r="H21" s="59">
        <f t="shared" si="24"/>
        <v>21696287.384093333</v>
      </c>
      <c r="I21" s="59">
        <f t="shared" si="24"/>
        <v>23222361.024336915</v>
      </c>
      <c r="J21" s="59">
        <f t="shared" si="24"/>
        <v>12201443.061134182</v>
      </c>
      <c r="K21" s="59">
        <f t="shared" si="24"/>
        <v>8619375.4442524761</v>
      </c>
      <c r="L21" s="59">
        <f t="shared" si="24"/>
        <v>294.5611626136685</v>
      </c>
      <c r="M21" s="59">
        <f t="shared" si="24"/>
        <v>0</v>
      </c>
      <c r="N21" s="59">
        <f t="shared" si="24"/>
        <v>0</v>
      </c>
      <c r="O21" s="59">
        <f t="shared" si="24"/>
        <v>2927637.33460816</v>
      </c>
      <c r="P21" s="59">
        <f t="shared" si="24"/>
        <v>0</v>
      </c>
      <c r="Q21" s="59">
        <f t="shared" si="24"/>
        <v>339114.67084771307</v>
      </c>
      <c r="R21" s="59">
        <f t="shared" si="24"/>
        <v>60104.206834244236</v>
      </c>
      <c r="T21" s="89">
        <f t="shared" si="9"/>
        <v>0</v>
      </c>
    </row>
    <row r="22" spans="1:20" x14ac:dyDescent="0.25">
      <c r="A22" s="22"/>
      <c r="B22" s="16" t="s">
        <v>323</v>
      </c>
      <c r="C22" s="16" t="str">
        <f>INDEX('Alloc Amt'!B:B,MATCH(Expenses!D:D,'Alloc Amt'!D:D,0))</f>
        <v>Energy - NO RETAIL WHEELING</v>
      </c>
      <c r="D22" s="56">
        <v>52</v>
      </c>
      <c r="E22" s="111">
        <f>1-E21</f>
        <v>0.63470000000000004</v>
      </c>
      <c r="F22" s="46">
        <f>E20*E22</f>
        <v>283507516.04199827</v>
      </c>
      <c r="G22" s="59">
        <f t="shared" si="24"/>
        <v>147697076.43819046</v>
      </c>
      <c r="H22" s="59">
        <f t="shared" si="24"/>
        <v>37528094.06574484</v>
      </c>
      <c r="I22" s="59">
        <f t="shared" si="24"/>
        <v>41734114.496249281</v>
      </c>
      <c r="J22" s="59">
        <f t="shared" si="24"/>
        <v>26933770.942889113</v>
      </c>
      <c r="K22" s="59">
        <f t="shared" si="24"/>
        <v>18738976.917372633</v>
      </c>
      <c r="L22" s="59">
        <f t="shared" si="24"/>
        <v>59170.350233383244</v>
      </c>
      <c r="M22" s="59">
        <f t="shared" si="24"/>
        <v>1633072.9550433871</v>
      </c>
      <c r="N22" s="59">
        <f t="shared" si="24"/>
        <v>0</v>
      </c>
      <c r="O22" s="59">
        <f t="shared" si="24"/>
        <v>8110991.1107620299</v>
      </c>
      <c r="P22" s="59">
        <f t="shared" si="24"/>
        <v>0</v>
      </c>
      <c r="Q22" s="59">
        <f t="shared" si="24"/>
        <v>976663.88425188162</v>
      </c>
      <c r="R22" s="59">
        <f t="shared" si="24"/>
        <v>95584.881261334842</v>
      </c>
      <c r="T22" s="89">
        <f t="shared" si="9"/>
        <v>0</v>
      </c>
    </row>
    <row r="23" spans="1:20" x14ac:dyDescent="0.25">
      <c r="A23" s="22">
        <v>555.01</v>
      </c>
      <c r="B23" s="16" t="s">
        <v>335</v>
      </c>
      <c r="C23" s="16"/>
      <c r="E23" s="57"/>
      <c r="F23" s="46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T23" s="89">
        <f t="shared" si="9"/>
        <v>0</v>
      </c>
    </row>
    <row r="24" spans="1:20" x14ac:dyDescent="0.25">
      <c r="A24" s="22"/>
      <c r="B24" s="16" t="s">
        <v>322</v>
      </c>
      <c r="C24" s="16"/>
      <c r="E24" s="111">
        <v>0.36530000000000001</v>
      </c>
      <c r="F24" s="46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T24" s="89">
        <f t="shared" si="9"/>
        <v>0</v>
      </c>
    </row>
    <row r="25" spans="1:20" x14ac:dyDescent="0.25">
      <c r="A25" s="22"/>
      <c r="B25" s="16" t="s">
        <v>323</v>
      </c>
      <c r="C25" s="16"/>
      <c r="E25" s="111">
        <f>1-E24</f>
        <v>0.63470000000000004</v>
      </c>
      <c r="F25" s="46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T25" s="89">
        <f t="shared" si="9"/>
        <v>0</v>
      </c>
    </row>
    <row r="26" spans="1:20" x14ac:dyDescent="0.25">
      <c r="A26" s="25"/>
      <c r="B26" s="24" t="s">
        <v>189</v>
      </c>
      <c r="C26" s="24"/>
      <c r="D26" s="60"/>
      <c r="E26" s="61"/>
      <c r="F26" s="47">
        <f>SUM(F21:F25)</f>
        <v>446679558.91286945</v>
      </c>
      <c r="G26" s="47">
        <f t="shared" ref="G26:R26" si="25">SUM(G21:G25)</f>
        <v>241802501.62179205</v>
      </c>
      <c r="H26" s="47">
        <f t="shared" si="25"/>
        <v>59224381.449838176</v>
      </c>
      <c r="I26" s="47">
        <f t="shared" si="25"/>
        <v>64956475.520586193</v>
      </c>
      <c r="J26" s="47">
        <f t="shared" si="25"/>
        <v>39135214.004023299</v>
      </c>
      <c r="K26" s="47">
        <f t="shared" si="25"/>
        <v>27358352.361625109</v>
      </c>
      <c r="L26" s="47">
        <f t="shared" si="25"/>
        <v>59464.911395996911</v>
      </c>
      <c r="M26" s="47">
        <f t="shared" si="25"/>
        <v>1633072.9550433871</v>
      </c>
      <c r="N26" s="47">
        <f t="shared" si="25"/>
        <v>0</v>
      </c>
      <c r="O26" s="47">
        <f t="shared" si="25"/>
        <v>11038628.44537019</v>
      </c>
      <c r="P26" s="47">
        <f t="shared" si="25"/>
        <v>0</v>
      </c>
      <c r="Q26" s="47">
        <f t="shared" si="25"/>
        <v>1315778.5550995946</v>
      </c>
      <c r="R26" s="47">
        <f t="shared" si="25"/>
        <v>155689.08809557906</v>
      </c>
      <c r="T26" s="89">
        <f t="shared" si="9"/>
        <v>0</v>
      </c>
    </row>
    <row r="27" spans="1:20" x14ac:dyDescent="0.25">
      <c r="A27" s="22"/>
      <c r="B27" s="16"/>
      <c r="C27" s="16"/>
      <c r="E27" s="57"/>
      <c r="F27" s="46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T27" s="89">
        <f t="shared" si="9"/>
        <v>0</v>
      </c>
    </row>
    <row r="28" spans="1:20" x14ac:dyDescent="0.25">
      <c r="A28" s="22"/>
      <c r="B28" s="20" t="s">
        <v>336</v>
      </c>
      <c r="C28" s="16"/>
      <c r="E28" s="57"/>
      <c r="F28" s="46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T28" s="89">
        <f t="shared" si="9"/>
        <v>0</v>
      </c>
    </row>
    <row r="29" spans="1:20" x14ac:dyDescent="0.25">
      <c r="A29" s="22">
        <v>565</v>
      </c>
      <c r="B29" s="16" t="s">
        <v>337</v>
      </c>
      <c r="C29" s="16"/>
      <c r="E29" s="57">
        <v>112334321.32462588</v>
      </c>
      <c r="F29" s="46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T29" s="89">
        <f t="shared" si="9"/>
        <v>0</v>
      </c>
    </row>
    <row r="30" spans="1:20" x14ac:dyDescent="0.25">
      <c r="A30" s="22"/>
      <c r="B30" s="16" t="s">
        <v>322</v>
      </c>
      <c r="C30" s="16" t="str">
        <f>INDEX('Alloc Amt'!B:B,MATCH(Expenses!D:D,'Alloc Amt'!D:D,0))</f>
        <v>4 CP Winter Peak - No Interruptibles or Transportation</v>
      </c>
      <c r="D30" s="56">
        <v>30</v>
      </c>
      <c r="E30" s="111">
        <v>0.36530000000000001</v>
      </c>
      <c r="F30" s="46">
        <f>E29*E30</f>
        <v>41035727.579885833</v>
      </c>
      <c r="G30" s="59">
        <f t="shared" ref="G30:R31" si="26">INDEX(Alloc,($D30),(G$1))*$F30</f>
        <v>23666337.221012842</v>
      </c>
      <c r="H30" s="59">
        <f t="shared" si="26"/>
        <v>5456344.8671972509</v>
      </c>
      <c r="I30" s="59">
        <f t="shared" si="26"/>
        <v>5840133.2972865794</v>
      </c>
      <c r="J30" s="59">
        <f t="shared" si="26"/>
        <v>3068510.2958135027</v>
      </c>
      <c r="K30" s="59">
        <f t="shared" si="26"/>
        <v>2167665.1000748333</v>
      </c>
      <c r="L30" s="59">
        <f t="shared" si="26"/>
        <v>74.07844758182388</v>
      </c>
      <c r="M30" s="59">
        <f t="shared" si="26"/>
        <v>0</v>
      </c>
      <c r="N30" s="59">
        <f t="shared" si="26"/>
        <v>0</v>
      </c>
      <c r="O30" s="59">
        <f t="shared" si="26"/>
        <v>736264.16634837631</v>
      </c>
      <c r="P30" s="59">
        <f t="shared" si="26"/>
        <v>0</v>
      </c>
      <c r="Q30" s="59">
        <f t="shared" si="26"/>
        <v>85283.097560174007</v>
      </c>
      <c r="R30" s="59">
        <f t="shared" si="26"/>
        <v>15115.456144696302</v>
      </c>
      <c r="T30" s="89">
        <f t="shared" si="9"/>
        <v>0</v>
      </c>
    </row>
    <row r="31" spans="1:20" x14ac:dyDescent="0.25">
      <c r="A31" s="22"/>
      <c r="B31" s="16" t="s">
        <v>323</v>
      </c>
      <c r="C31" s="16" t="str">
        <f>INDEX('Alloc Amt'!B:B,MATCH(Expenses!D:D,'Alloc Amt'!D:D,0))</f>
        <v>Energy - NO RETAIL WHEELING</v>
      </c>
      <c r="D31" s="56">
        <v>52</v>
      </c>
      <c r="E31" s="111">
        <f>1-E30</f>
        <v>0.63470000000000004</v>
      </c>
      <c r="F31" s="46">
        <f>E29*E31</f>
        <v>71298593.744740054</v>
      </c>
      <c r="G31" s="59">
        <f t="shared" si="26"/>
        <v>37143967.106298432</v>
      </c>
      <c r="H31" s="59">
        <f t="shared" si="26"/>
        <v>9437846.1995044891</v>
      </c>
      <c r="I31" s="59">
        <f t="shared" si="26"/>
        <v>10495607.722525941</v>
      </c>
      <c r="J31" s="59">
        <f t="shared" si="26"/>
        <v>6773506.4638866922</v>
      </c>
      <c r="K31" s="59">
        <f t="shared" si="26"/>
        <v>4712618.279318884</v>
      </c>
      <c r="L31" s="59">
        <f t="shared" si="26"/>
        <v>14880.602891667315</v>
      </c>
      <c r="M31" s="59">
        <f t="shared" si="26"/>
        <v>410697.41925258876</v>
      </c>
      <c r="N31" s="59">
        <f t="shared" si="26"/>
        <v>0</v>
      </c>
      <c r="O31" s="59">
        <f t="shared" si="26"/>
        <v>2039812.7998403797</v>
      </c>
      <c r="P31" s="59">
        <f t="shared" si="26"/>
        <v>0</v>
      </c>
      <c r="Q31" s="59">
        <f t="shared" si="26"/>
        <v>245618.7493037016</v>
      </c>
      <c r="R31" s="59">
        <f t="shared" si="26"/>
        <v>24038.401917293642</v>
      </c>
      <c r="T31" s="89">
        <f t="shared" si="9"/>
        <v>0</v>
      </c>
    </row>
    <row r="32" spans="1:20" x14ac:dyDescent="0.25">
      <c r="A32" s="25"/>
      <c r="B32" s="24" t="s">
        <v>189</v>
      </c>
      <c r="C32" s="24"/>
      <c r="D32" s="60"/>
      <c r="E32" s="61"/>
      <c r="F32" s="47">
        <f>SUM(F30:F31)</f>
        <v>112334321.32462588</v>
      </c>
      <c r="G32" s="47">
        <f t="shared" ref="G32:R32" si="27">SUM(G30:G31)</f>
        <v>60810304.327311277</v>
      </c>
      <c r="H32" s="47">
        <f t="shared" si="27"/>
        <v>14894191.06670174</v>
      </c>
      <c r="I32" s="47">
        <f t="shared" si="27"/>
        <v>16335741.019812521</v>
      </c>
      <c r="J32" s="47">
        <f t="shared" si="27"/>
        <v>9842016.759700194</v>
      </c>
      <c r="K32" s="47">
        <f t="shared" si="27"/>
        <v>6880283.3793937173</v>
      </c>
      <c r="L32" s="47">
        <f t="shared" si="27"/>
        <v>14954.681339249139</v>
      </c>
      <c r="M32" s="47">
        <f t="shared" si="27"/>
        <v>410697.41925258876</v>
      </c>
      <c r="N32" s="47">
        <f t="shared" si="27"/>
        <v>0</v>
      </c>
      <c r="O32" s="47">
        <f t="shared" si="27"/>
        <v>2776076.9661887558</v>
      </c>
      <c r="P32" s="47">
        <f t="shared" si="27"/>
        <v>0</v>
      </c>
      <c r="Q32" s="47">
        <f t="shared" si="27"/>
        <v>330901.84686387563</v>
      </c>
      <c r="R32" s="47">
        <f t="shared" si="27"/>
        <v>39153.858061989944</v>
      </c>
      <c r="T32" s="89">
        <f t="shared" si="9"/>
        <v>0</v>
      </c>
    </row>
    <row r="33" spans="1:20" x14ac:dyDescent="0.25">
      <c r="A33" s="22"/>
      <c r="B33" s="16"/>
      <c r="C33" s="16"/>
      <c r="E33" s="57"/>
      <c r="F33" s="46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T33" s="89">
        <f t="shared" si="9"/>
        <v>0</v>
      </c>
    </row>
    <row r="34" spans="1:20" x14ac:dyDescent="0.25">
      <c r="A34" s="22"/>
      <c r="B34" s="20" t="s">
        <v>338</v>
      </c>
      <c r="C34" s="16"/>
      <c r="E34" s="57">
        <v>109175792.16812748</v>
      </c>
      <c r="F34" s="46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T34" s="89">
        <f t="shared" si="9"/>
        <v>0</v>
      </c>
    </row>
    <row r="35" spans="1:20" x14ac:dyDescent="0.25">
      <c r="A35" s="22"/>
      <c r="B35" s="16" t="s">
        <v>322</v>
      </c>
      <c r="C35" s="16" t="str">
        <f>INDEX('Alloc Amt'!B:B,MATCH(Expenses!D:D,'Alloc Amt'!D:D,0))</f>
        <v>4 CP Winter Peak - No Interruptibles or Transportation</v>
      </c>
      <c r="D35" s="56">
        <v>30</v>
      </c>
      <c r="E35" s="111">
        <v>0.36530000000000001</v>
      </c>
      <c r="F35" s="46">
        <f>E34*E35</f>
        <v>39881916.879016966</v>
      </c>
      <c r="G35" s="59">
        <f t="shared" ref="G35:R36" si="28">INDEX(Alloc,($D35),(G$1))*$F35</f>
        <v>23000905.541196339</v>
      </c>
      <c r="H35" s="59">
        <f t="shared" si="28"/>
        <v>5302927.6021287264</v>
      </c>
      <c r="I35" s="59">
        <f t="shared" si="28"/>
        <v>5675924.9673674395</v>
      </c>
      <c r="J35" s="59">
        <f t="shared" si="28"/>
        <v>2982232.307732421</v>
      </c>
      <c r="K35" s="59">
        <f t="shared" si="28"/>
        <v>2106716.3771967655</v>
      </c>
      <c r="L35" s="59">
        <f t="shared" si="28"/>
        <v>71.995567356116439</v>
      </c>
      <c r="M35" s="59">
        <f t="shared" si="28"/>
        <v>0</v>
      </c>
      <c r="N35" s="59">
        <f t="shared" si="28"/>
        <v>0</v>
      </c>
      <c r="O35" s="59">
        <f t="shared" si="28"/>
        <v>715562.46264042379</v>
      </c>
      <c r="P35" s="59">
        <f t="shared" si="28"/>
        <v>0</v>
      </c>
      <c r="Q35" s="59">
        <f t="shared" si="28"/>
        <v>82885.173693060598</v>
      </c>
      <c r="R35" s="59">
        <f t="shared" si="28"/>
        <v>14690.451494436042</v>
      </c>
      <c r="T35" s="89">
        <f t="shared" si="9"/>
        <v>0</v>
      </c>
    </row>
    <row r="36" spans="1:20" x14ac:dyDescent="0.25">
      <c r="A36" s="22"/>
      <c r="B36" s="16" t="s">
        <v>323</v>
      </c>
      <c r="C36" s="16" t="str">
        <f>INDEX('Alloc Amt'!B:B,MATCH(Expenses!D:D,'Alloc Amt'!D:D,0))</f>
        <v>Energy - NO RETAIL WHEELING</v>
      </c>
      <c r="D36" s="56">
        <v>52</v>
      </c>
      <c r="E36" s="111">
        <f>1-E35</f>
        <v>0.63470000000000004</v>
      </c>
      <c r="F36" s="46">
        <f>E34*E36</f>
        <v>69293875.289110512</v>
      </c>
      <c r="G36" s="59">
        <f t="shared" si="28"/>
        <v>36099581.902294509</v>
      </c>
      <c r="H36" s="59">
        <f t="shared" si="28"/>
        <v>9172480.1738395635</v>
      </c>
      <c r="I36" s="59">
        <f t="shared" si="28"/>
        <v>10200500.380300865</v>
      </c>
      <c r="J36" s="59">
        <f t="shared" si="28"/>
        <v>6583054.2725560404</v>
      </c>
      <c r="K36" s="59">
        <f t="shared" si="28"/>
        <v>4580112.5405281428</v>
      </c>
      <c r="L36" s="59">
        <f t="shared" si="28"/>
        <v>14462.201662680654</v>
      </c>
      <c r="M36" s="59">
        <f t="shared" si="28"/>
        <v>399149.74835457996</v>
      </c>
      <c r="N36" s="59">
        <f t="shared" si="28"/>
        <v>0</v>
      </c>
      <c r="O36" s="59">
        <f t="shared" si="28"/>
        <v>1982458.9285913967</v>
      </c>
      <c r="P36" s="59">
        <f t="shared" si="28"/>
        <v>0</v>
      </c>
      <c r="Q36" s="59">
        <f t="shared" si="28"/>
        <v>238712.63217128476</v>
      </c>
      <c r="R36" s="59">
        <f t="shared" si="28"/>
        <v>23362.508811463707</v>
      </c>
      <c r="T36" s="89">
        <f t="shared" si="9"/>
        <v>0</v>
      </c>
    </row>
    <row r="37" spans="1:20" x14ac:dyDescent="0.25">
      <c r="A37" s="25"/>
      <c r="B37" s="24" t="s">
        <v>189</v>
      </c>
      <c r="C37" s="24"/>
      <c r="D37" s="60"/>
      <c r="E37" s="61"/>
      <c r="F37" s="47">
        <f>SUM(F35:F36)</f>
        <v>109175792.16812748</v>
      </c>
      <c r="G37" s="47">
        <f t="shared" ref="G37:R37" si="29">SUM(G35:G36)</f>
        <v>59100487.443490848</v>
      </c>
      <c r="H37" s="47">
        <f t="shared" si="29"/>
        <v>14475407.775968291</v>
      </c>
      <c r="I37" s="47">
        <f t="shared" si="29"/>
        <v>15876425.347668305</v>
      </c>
      <c r="J37" s="47">
        <f t="shared" si="29"/>
        <v>9565286.5802884623</v>
      </c>
      <c r="K37" s="47">
        <f t="shared" si="29"/>
        <v>6686828.9177249083</v>
      </c>
      <c r="L37" s="47">
        <f t="shared" si="29"/>
        <v>14534.197230036771</v>
      </c>
      <c r="M37" s="47">
        <f t="shared" si="29"/>
        <v>399149.74835457996</v>
      </c>
      <c r="N37" s="47">
        <f t="shared" si="29"/>
        <v>0</v>
      </c>
      <c r="O37" s="47">
        <f t="shared" si="29"/>
        <v>2698021.3912318205</v>
      </c>
      <c r="P37" s="47">
        <f t="shared" si="29"/>
        <v>0</v>
      </c>
      <c r="Q37" s="47">
        <f t="shared" si="29"/>
        <v>321597.80586434534</v>
      </c>
      <c r="R37" s="47">
        <f t="shared" si="29"/>
        <v>38052.960305899745</v>
      </c>
      <c r="T37" s="89">
        <f t="shared" si="9"/>
        <v>0</v>
      </c>
    </row>
    <row r="38" spans="1:20" x14ac:dyDescent="0.25">
      <c r="A38" s="21"/>
      <c r="B38" s="16"/>
      <c r="C38" s="16"/>
      <c r="E38" s="57"/>
      <c r="F38" s="46"/>
      <c r="G38" s="57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T38" s="89">
        <f t="shared" si="9"/>
        <v>0</v>
      </c>
    </row>
    <row r="39" spans="1:20" x14ac:dyDescent="0.25">
      <c r="A39" s="21"/>
      <c r="B39" s="20" t="s">
        <v>339</v>
      </c>
      <c r="C39" s="16"/>
      <c r="E39" s="57">
        <v>24808255.514376964</v>
      </c>
      <c r="F39" s="46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T39" s="89">
        <f t="shared" si="9"/>
        <v>0</v>
      </c>
    </row>
    <row r="40" spans="1:20" x14ac:dyDescent="0.25">
      <c r="A40" s="22">
        <v>565.01</v>
      </c>
      <c r="B40" s="16" t="s">
        <v>340</v>
      </c>
      <c r="C40" s="16"/>
      <c r="E40" s="57">
        <v>19056918.888669107</v>
      </c>
      <c r="F40" s="46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T40" s="89">
        <f t="shared" si="9"/>
        <v>0</v>
      </c>
    </row>
    <row r="41" spans="1:20" x14ac:dyDescent="0.25">
      <c r="A41" s="22"/>
      <c r="B41" s="16" t="s">
        <v>322</v>
      </c>
      <c r="C41" s="16" t="str">
        <f>INDEX('Alloc Amt'!B:B,MATCH(Expenses!D:D,'Alloc Amt'!D:D,0))</f>
        <v>4 CP Winter Peak - No Interruptibles</v>
      </c>
      <c r="D41" s="56">
        <v>29</v>
      </c>
      <c r="E41" s="111">
        <v>0.36530000000000001</v>
      </c>
      <c r="F41" s="46">
        <f>E40*E41</f>
        <v>6961492.4700308247</v>
      </c>
      <c r="G41" s="59">
        <f t="shared" ref="G41:R42" si="30">INDEX(Alloc,($D41),(G$1))*$F41</f>
        <v>3722443.1068695243</v>
      </c>
      <c r="H41" s="59">
        <f t="shared" si="30"/>
        <v>858220.39760202798</v>
      </c>
      <c r="I41" s="59">
        <f t="shared" si="30"/>
        <v>918585.91097829503</v>
      </c>
      <c r="J41" s="59">
        <f t="shared" si="30"/>
        <v>482641.43675209151</v>
      </c>
      <c r="K41" s="59">
        <f t="shared" si="30"/>
        <v>340948.83100925718</v>
      </c>
      <c r="L41" s="59">
        <f t="shared" si="30"/>
        <v>11.651689232405618</v>
      </c>
      <c r="M41" s="59">
        <f t="shared" si="30"/>
        <v>0</v>
      </c>
      <c r="N41" s="59">
        <f t="shared" si="30"/>
        <v>87875.215337828107</v>
      </c>
      <c r="O41" s="59">
        <f t="shared" si="30"/>
        <v>115805.8995468525</v>
      </c>
      <c r="P41" s="59">
        <f t="shared" si="30"/>
        <v>419168.4805288511</v>
      </c>
      <c r="Q41" s="59">
        <f t="shared" si="30"/>
        <v>13414.052021682659</v>
      </c>
      <c r="R41" s="59">
        <f t="shared" si="30"/>
        <v>2377.4876951831639</v>
      </c>
      <c r="T41" s="89">
        <f t="shared" si="9"/>
        <v>0</v>
      </c>
    </row>
    <row r="42" spans="1:20" x14ac:dyDescent="0.25">
      <c r="A42" s="22"/>
      <c r="B42" s="16" t="s">
        <v>323</v>
      </c>
      <c r="C42" s="16" t="str">
        <f>INDEX('Alloc Amt'!B:B,MATCH(Expenses!D:D,'Alloc Amt'!D:D,0))</f>
        <v>Annual kWhs</v>
      </c>
      <c r="D42" s="56">
        <v>51</v>
      </c>
      <c r="E42" s="111">
        <f>1-E41</f>
        <v>0.63470000000000004</v>
      </c>
      <c r="F42" s="46">
        <f>E40*E42</f>
        <v>12095426.418638283</v>
      </c>
      <c r="G42" s="59">
        <f t="shared" si="30"/>
        <v>5678433.6489374628</v>
      </c>
      <c r="H42" s="59">
        <f t="shared" si="30"/>
        <v>1442823.3602348662</v>
      </c>
      <c r="I42" s="59">
        <f t="shared" si="30"/>
        <v>1604530.0677517876</v>
      </c>
      <c r="J42" s="59">
        <f t="shared" si="30"/>
        <v>1035508.8597767877</v>
      </c>
      <c r="K42" s="59">
        <f t="shared" si="30"/>
        <v>720447.82226140902</v>
      </c>
      <c r="L42" s="59">
        <f t="shared" si="30"/>
        <v>2274.8920688708968</v>
      </c>
      <c r="M42" s="59">
        <f t="shared" si="30"/>
        <v>62785.917248462778</v>
      </c>
      <c r="N42" s="59">
        <f t="shared" si="30"/>
        <v>173221.21642997139</v>
      </c>
      <c r="O42" s="59">
        <f t="shared" si="30"/>
        <v>311839.10988826107</v>
      </c>
      <c r="P42" s="59">
        <f t="shared" si="30"/>
        <v>1022337.3263991624</v>
      </c>
      <c r="Q42" s="59">
        <f t="shared" si="30"/>
        <v>37549.294798389274</v>
      </c>
      <c r="R42" s="59">
        <f t="shared" si="30"/>
        <v>3674.9028428548477</v>
      </c>
      <c r="T42" s="89">
        <f t="shared" si="9"/>
        <v>0</v>
      </c>
    </row>
    <row r="43" spans="1:20" x14ac:dyDescent="0.25">
      <c r="A43" s="22">
        <v>565.02</v>
      </c>
      <c r="B43" s="16" t="s">
        <v>341</v>
      </c>
      <c r="C43" s="16"/>
      <c r="E43" s="57">
        <v>2801718.1714950614</v>
      </c>
      <c r="F43" s="46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T43" s="89">
        <f t="shared" si="9"/>
        <v>0</v>
      </c>
    </row>
    <row r="44" spans="1:20" x14ac:dyDescent="0.25">
      <c r="A44" s="22"/>
      <c r="B44" s="16" t="s">
        <v>322</v>
      </c>
      <c r="C44" s="16" t="str">
        <f>INDEX('Alloc Amt'!B:B,MATCH(Expenses!D:D,'Alloc Amt'!D:D,0))</f>
        <v>4 CP Winter Peak - No Interruptibles or Transportation</v>
      </c>
      <c r="D44" s="56">
        <v>30</v>
      </c>
      <c r="E44" s="111">
        <v>0.36530000000000001</v>
      </c>
      <c r="F44" s="46">
        <f>E43*E44</f>
        <v>1023467.6480471459</v>
      </c>
      <c r="G44" s="59">
        <f t="shared" ref="G44:R45" si="31">INDEX(Alloc,($D44),(G$1))*$F44</f>
        <v>590259.5597050708</v>
      </c>
      <c r="H44" s="59">
        <f t="shared" si="31"/>
        <v>136086.10782623835</v>
      </c>
      <c r="I44" s="59">
        <f t="shared" si="31"/>
        <v>145658.13359638129</v>
      </c>
      <c r="J44" s="59">
        <f t="shared" si="31"/>
        <v>76531.383764328886</v>
      </c>
      <c r="K44" s="59">
        <f t="shared" si="31"/>
        <v>54063.501065225733</v>
      </c>
      <c r="L44" s="59">
        <f t="shared" si="31"/>
        <v>1.8475825576616718</v>
      </c>
      <c r="M44" s="59">
        <f t="shared" si="31"/>
        <v>0</v>
      </c>
      <c r="N44" s="59">
        <f t="shared" si="31"/>
        <v>0</v>
      </c>
      <c r="O44" s="59">
        <f t="shared" si="31"/>
        <v>18363.085026505621</v>
      </c>
      <c r="P44" s="59">
        <f t="shared" si="31"/>
        <v>0</v>
      </c>
      <c r="Q44" s="59">
        <f t="shared" si="31"/>
        <v>2127.036522215099</v>
      </c>
      <c r="R44" s="59">
        <f t="shared" si="31"/>
        <v>376.992958622598</v>
      </c>
      <c r="T44" s="89">
        <f t="shared" si="9"/>
        <v>0</v>
      </c>
    </row>
    <row r="45" spans="1:20" x14ac:dyDescent="0.25">
      <c r="A45" s="22"/>
      <c r="B45" s="16" t="s">
        <v>323</v>
      </c>
      <c r="C45" s="16" t="str">
        <f>INDEX('Alloc Amt'!B:B,MATCH(Expenses!D:D,'Alloc Amt'!D:D,0))</f>
        <v>Energy - NO RETAIL WHEELING</v>
      </c>
      <c r="D45" s="56">
        <v>52</v>
      </c>
      <c r="E45" s="111">
        <f>1-E44</f>
        <v>0.63470000000000004</v>
      </c>
      <c r="F45" s="46">
        <f>E43*E45</f>
        <v>1778250.5234479157</v>
      </c>
      <c r="G45" s="59">
        <f t="shared" si="31"/>
        <v>926403.67054336448</v>
      </c>
      <c r="H45" s="59">
        <f t="shared" si="31"/>
        <v>235388.30239169911</v>
      </c>
      <c r="I45" s="59">
        <f t="shared" si="31"/>
        <v>261769.81825623504</v>
      </c>
      <c r="J45" s="59">
        <f t="shared" si="31"/>
        <v>168937.29290239964</v>
      </c>
      <c r="K45" s="59">
        <f t="shared" si="31"/>
        <v>117536.90335059741</v>
      </c>
      <c r="L45" s="59">
        <f t="shared" si="31"/>
        <v>371.13550901247783</v>
      </c>
      <c r="M45" s="59">
        <f t="shared" si="31"/>
        <v>10243.159961601663</v>
      </c>
      <c r="N45" s="59">
        <f t="shared" si="31"/>
        <v>0</v>
      </c>
      <c r="O45" s="59">
        <f t="shared" si="31"/>
        <v>50874.750658311721</v>
      </c>
      <c r="P45" s="59">
        <f t="shared" si="31"/>
        <v>0</v>
      </c>
      <c r="Q45" s="59">
        <f t="shared" si="31"/>
        <v>6125.9506895976037</v>
      </c>
      <c r="R45" s="59">
        <f t="shared" si="31"/>
        <v>599.53918509693392</v>
      </c>
      <c r="T45" s="89">
        <f t="shared" si="9"/>
        <v>0</v>
      </c>
    </row>
    <row r="46" spans="1:20" x14ac:dyDescent="0.25">
      <c r="A46" s="22">
        <v>565.03</v>
      </c>
      <c r="B46" s="16" t="s">
        <v>342</v>
      </c>
      <c r="C46" s="16" t="s">
        <v>27</v>
      </c>
      <c r="E46" s="46">
        <v>6423.5119633552431</v>
      </c>
      <c r="F46" s="46"/>
      <c r="G46" s="57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T46" s="89">
        <f t="shared" si="9"/>
        <v>0</v>
      </c>
    </row>
    <row r="47" spans="1:20" x14ac:dyDescent="0.25">
      <c r="A47" s="22"/>
      <c r="B47" s="16" t="s">
        <v>322</v>
      </c>
      <c r="C47" s="16" t="str">
        <f>INDEX('Alloc Amt'!B:B,MATCH(Expenses!D:D,'Alloc Amt'!D:D,0))</f>
        <v>Schedule 449 / 459 Retail Revenue</v>
      </c>
      <c r="D47" s="56">
        <v>6</v>
      </c>
      <c r="E47" s="58">
        <v>1</v>
      </c>
      <c r="F47" s="46">
        <f>E46*E47</f>
        <v>6423.5119633552431</v>
      </c>
      <c r="G47" s="59">
        <f t="shared" ref="G47:R47" si="32">INDEX(Alloc,($D47),(G$1))*$F47</f>
        <v>0</v>
      </c>
      <c r="H47" s="59">
        <f t="shared" si="32"/>
        <v>0</v>
      </c>
      <c r="I47" s="59">
        <f t="shared" si="32"/>
        <v>0</v>
      </c>
      <c r="J47" s="59">
        <f t="shared" si="32"/>
        <v>0</v>
      </c>
      <c r="K47" s="59">
        <f t="shared" si="32"/>
        <v>0</v>
      </c>
      <c r="L47" s="59"/>
      <c r="M47" s="59"/>
      <c r="N47" s="59">
        <f t="shared" si="32"/>
        <v>0</v>
      </c>
      <c r="O47" s="59">
        <f t="shared" si="32"/>
        <v>0</v>
      </c>
      <c r="P47" s="59">
        <f t="shared" si="32"/>
        <v>6423.5119633552431</v>
      </c>
      <c r="Q47" s="59">
        <f t="shared" si="32"/>
        <v>0</v>
      </c>
      <c r="R47" s="59">
        <f t="shared" si="32"/>
        <v>0</v>
      </c>
      <c r="T47" s="89">
        <f t="shared" si="9"/>
        <v>0</v>
      </c>
    </row>
    <row r="48" spans="1:20" x14ac:dyDescent="0.25">
      <c r="A48" s="22"/>
      <c r="B48" s="16" t="s">
        <v>323</v>
      </c>
      <c r="C48" s="16"/>
      <c r="E48" s="57"/>
      <c r="F48" s="46"/>
      <c r="G48" s="57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T48" s="89">
        <f t="shared" si="9"/>
        <v>0</v>
      </c>
    </row>
    <row r="49" spans="1:20" x14ac:dyDescent="0.25">
      <c r="A49" s="22">
        <v>565.04</v>
      </c>
      <c r="B49" s="16" t="s">
        <v>343</v>
      </c>
      <c r="C49" s="16"/>
      <c r="E49" s="46">
        <v>2943194.9422494383</v>
      </c>
      <c r="F49" s="46"/>
      <c r="G49" s="57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T49" s="89">
        <f t="shared" si="9"/>
        <v>0</v>
      </c>
    </row>
    <row r="50" spans="1:20" x14ac:dyDescent="0.25">
      <c r="A50" s="22"/>
      <c r="B50" s="16" t="s">
        <v>322</v>
      </c>
      <c r="C50" s="16" t="str">
        <f>INDEX('Alloc Amt'!B:B,MATCH(Expenses!D:D,'Alloc Amt'!D:D,0))</f>
        <v>4 CP Winter Peak - No Interruptibles or Transportation</v>
      </c>
      <c r="D50" s="56">
        <v>30</v>
      </c>
      <c r="E50" s="111">
        <v>0.36530000000000001</v>
      </c>
      <c r="F50" s="46">
        <f>E49*E50</f>
        <v>1075149.1124037199</v>
      </c>
      <c r="G50" s="59">
        <f t="shared" ref="G50:R51" si="33">INDEX(Alloc,($D50),(G$1))*$F50</f>
        <v>620065.56134491879</v>
      </c>
      <c r="H50" s="59">
        <f t="shared" si="33"/>
        <v>142957.97069798264</v>
      </c>
      <c r="I50" s="59">
        <f t="shared" si="33"/>
        <v>153013.34961524632</v>
      </c>
      <c r="J50" s="59">
        <f t="shared" si="33"/>
        <v>80395.945570187992</v>
      </c>
      <c r="K50" s="59">
        <f t="shared" si="33"/>
        <v>56793.514963198359</v>
      </c>
      <c r="L50" s="59">
        <f t="shared" si="33"/>
        <v>1.9408788844012748</v>
      </c>
      <c r="M50" s="59">
        <f t="shared" si="33"/>
        <v>0</v>
      </c>
      <c r="N50" s="59">
        <f t="shared" si="33"/>
        <v>0</v>
      </c>
      <c r="O50" s="59">
        <f t="shared" si="33"/>
        <v>19290.355298394439</v>
      </c>
      <c r="P50" s="59">
        <f t="shared" si="33"/>
        <v>0</v>
      </c>
      <c r="Q50" s="59">
        <f t="shared" si="33"/>
        <v>2234.4442770354322</v>
      </c>
      <c r="R50" s="59">
        <f t="shared" si="33"/>
        <v>396.0297578716112</v>
      </c>
      <c r="T50" s="89">
        <f t="shared" si="9"/>
        <v>0</v>
      </c>
    </row>
    <row r="51" spans="1:20" x14ac:dyDescent="0.25">
      <c r="A51" s="22"/>
      <c r="B51" s="16" t="s">
        <v>323</v>
      </c>
      <c r="C51" s="16" t="str">
        <f>INDEX('Alloc Amt'!B:B,MATCH(Expenses!D:D,'Alloc Amt'!D:D,0))</f>
        <v>Energy - NO RETAIL WHEELING</v>
      </c>
      <c r="D51" s="56">
        <v>52</v>
      </c>
      <c r="E51" s="111">
        <f>1-E50</f>
        <v>0.63470000000000004</v>
      </c>
      <c r="F51" s="46">
        <f>E49*E51</f>
        <v>1868045.8298457186</v>
      </c>
      <c r="G51" s="59">
        <f t="shared" si="33"/>
        <v>973183.75037328457</v>
      </c>
      <c r="H51" s="59">
        <f t="shared" si="33"/>
        <v>247274.57176545329</v>
      </c>
      <c r="I51" s="59">
        <f t="shared" si="33"/>
        <v>274988.26004836214</v>
      </c>
      <c r="J51" s="59">
        <f t="shared" si="33"/>
        <v>177468.02340305661</v>
      </c>
      <c r="K51" s="59">
        <f t="shared" si="33"/>
        <v>123472.09758237067</v>
      </c>
      <c r="L51" s="59">
        <f t="shared" si="33"/>
        <v>389.87652795634551</v>
      </c>
      <c r="M51" s="59">
        <f t="shared" si="33"/>
        <v>10760.402990694278</v>
      </c>
      <c r="N51" s="59">
        <f t="shared" si="33"/>
        <v>0</v>
      </c>
      <c r="O51" s="59">
        <f t="shared" si="33"/>
        <v>53443.744038624216</v>
      </c>
      <c r="P51" s="59">
        <f t="shared" si="33"/>
        <v>0</v>
      </c>
      <c r="Q51" s="59">
        <f t="shared" si="33"/>
        <v>6435.2893412087815</v>
      </c>
      <c r="R51" s="59">
        <f t="shared" si="33"/>
        <v>629.81377470812322</v>
      </c>
      <c r="T51" s="89">
        <f t="shared" si="9"/>
        <v>0</v>
      </c>
    </row>
    <row r="52" spans="1:20" x14ac:dyDescent="0.25">
      <c r="A52" s="25"/>
      <c r="B52" s="24" t="s">
        <v>189</v>
      </c>
      <c r="C52" s="24"/>
      <c r="D52" s="60"/>
      <c r="E52" s="61"/>
      <c r="F52" s="47">
        <f>SUM(F41:F51)</f>
        <v>24808255.514376964</v>
      </c>
      <c r="G52" s="47">
        <f t="shared" ref="G52:R52" si="34">SUM(G41:G51)</f>
        <v>12510789.297773626</v>
      </c>
      <c r="H52" s="47">
        <f t="shared" si="34"/>
        <v>3062750.7105182675</v>
      </c>
      <c r="I52" s="47">
        <f t="shared" si="34"/>
        <v>3358545.5402463074</v>
      </c>
      <c r="J52" s="47">
        <f t="shared" si="34"/>
        <v>2021482.9421688521</v>
      </c>
      <c r="K52" s="47">
        <f t="shared" si="34"/>
        <v>1413262.6702320587</v>
      </c>
      <c r="L52" s="47">
        <f t="shared" si="34"/>
        <v>3051.3442565141886</v>
      </c>
      <c r="M52" s="47">
        <f t="shared" si="34"/>
        <v>83789.480200758713</v>
      </c>
      <c r="N52" s="47">
        <f t="shared" si="34"/>
        <v>261096.43176779948</v>
      </c>
      <c r="O52" s="47">
        <f t="shared" si="34"/>
        <v>569616.9444569496</v>
      </c>
      <c r="P52" s="47">
        <f t="shared" si="34"/>
        <v>1447929.3188913688</v>
      </c>
      <c r="Q52" s="47">
        <f t="shared" si="34"/>
        <v>67886.067650128854</v>
      </c>
      <c r="R52" s="47">
        <f t="shared" si="34"/>
        <v>8054.7662143372763</v>
      </c>
      <c r="T52" s="89">
        <f t="shared" si="9"/>
        <v>0</v>
      </c>
    </row>
    <row r="53" spans="1:20" x14ac:dyDescent="0.25">
      <c r="A53" s="22"/>
      <c r="B53" s="16"/>
      <c r="C53" s="16"/>
      <c r="E53" s="57"/>
      <c r="F53" s="46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T53" s="89">
        <f t="shared" si="9"/>
        <v>0</v>
      </c>
    </row>
    <row r="54" spans="1:20" x14ac:dyDescent="0.25">
      <c r="A54" s="22"/>
      <c r="B54" s="20" t="s">
        <v>344</v>
      </c>
      <c r="C54" s="16"/>
      <c r="E54" s="57"/>
      <c r="F54" s="46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T54" s="89">
        <f t="shared" si="9"/>
        <v>0</v>
      </c>
    </row>
    <row r="55" spans="1:20" x14ac:dyDescent="0.25">
      <c r="A55" s="22">
        <v>581</v>
      </c>
      <c r="B55" s="16" t="s">
        <v>345</v>
      </c>
      <c r="C55" s="16" t="str">
        <f>INDEX('Alloc Amt'!B:B,MATCH(Expenses!D:D,'Alloc Amt'!D:D,0))</f>
        <v>Dist O&amp;M - ID582.00 to ID587.00 Subtotal</v>
      </c>
      <c r="D55" s="56">
        <v>67</v>
      </c>
      <c r="E55" s="57"/>
      <c r="F55" s="46">
        <v>1756789.5206272467</v>
      </c>
      <c r="G55" s="59">
        <f t="shared" ref="G55:R64" si="35">INDEX(Alloc,($D55),(G$1))*$F55</f>
        <v>1120688.547633511</v>
      </c>
      <c r="H55" s="59">
        <f t="shared" si="35"/>
        <v>249354.72365896709</v>
      </c>
      <c r="I55" s="59">
        <f t="shared" si="35"/>
        <v>158547.87892303432</v>
      </c>
      <c r="J55" s="59">
        <f t="shared" si="35"/>
        <v>59779.441283971464</v>
      </c>
      <c r="K55" s="59">
        <f t="shared" si="35"/>
        <v>91028.186966372086</v>
      </c>
      <c r="L55" s="59">
        <f t="shared" si="35"/>
        <v>725.19551391580228</v>
      </c>
      <c r="M55" s="59">
        <f t="shared" si="35"/>
        <v>25480.730848709562</v>
      </c>
      <c r="N55" s="59">
        <f t="shared" si="35"/>
        <v>17671.096012953385</v>
      </c>
      <c r="O55" s="59">
        <f t="shared" si="35"/>
        <v>9411.9701341393211</v>
      </c>
      <c r="P55" s="59">
        <f t="shared" si="35"/>
        <v>5426.8134540384799</v>
      </c>
      <c r="Q55" s="59">
        <f t="shared" si="35"/>
        <v>18208.167277884768</v>
      </c>
      <c r="R55" s="59">
        <f t="shared" si="35"/>
        <v>466.76891974937342</v>
      </c>
      <c r="T55" s="89">
        <f>F55-SUM(G55:R55)</f>
        <v>0</v>
      </c>
    </row>
    <row r="56" spans="1:20" x14ac:dyDescent="0.25">
      <c r="A56" s="22">
        <v>582</v>
      </c>
      <c r="B56" s="16" t="s">
        <v>346</v>
      </c>
      <c r="C56" s="16" t="str">
        <f>INDEX('Alloc Amt'!B:B,MATCH(Expenses!D:D,'Alloc Amt'!D:D,0))</f>
        <v>Total Station Equip</v>
      </c>
      <c r="D56" s="56">
        <v>56</v>
      </c>
      <c r="E56" s="57"/>
      <c r="F56" s="46">
        <v>1809514.8395264985</v>
      </c>
      <c r="G56" s="59">
        <f t="shared" si="35"/>
        <v>938393.43115670141</v>
      </c>
      <c r="H56" s="59">
        <f t="shared" si="35"/>
        <v>226879.08664162958</v>
      </c>
      <c r="I56" s="59">
        <f t="shared" si="35"/>
        <v>249292.38908507358</v>
      </c>
      <c r="J56" s="59">
        <f t="shared" si="35"/>
        <v>132646.40464143999</v>
      </c>
      <c r="K56" s="59">
        <f t="shared" si="35"/>
        <v>120607.64718486568</v>
      </c>
      <c r="L56" s="59">
        <f t="shared" si="35"/>
        <v>434.22819154588507</v>
      </c>
      <c r="M56" s="59">
        <f t="shared" si="35"/>
        <v>13561.694341294171</v>
      </c>
      <c r="N56" s="59">
        <f t="shared" si="35"/>
        <v>58221.809320955988</v>
      </c>
      <c r="O56" s="59">
        <f t="shared" si="35"/>
        <v>47286.879057156628</v>
      </c>
      <c r="P56" s="59">
        <f t="shared" si="35"/>
        <v>20372.782163879379</v>
      </c>
      <c r="Q56" s="59">
        <f t="shared" si="35"/>
        <v>1356.197355666792</v>
      </c>
      <c r="R56" s="59">
        <f t="shared" si="35"/>
        <v>462.29038628956783</v>
      </c>
      <c r="T56" s="89">
        <f t="shared" ref="T56:T65" si="36">F56-SUM(G56:R56)</f>
        <v>0</v>
      </c>
    </row>
    <row r="57" spans="1:20" x14ac:dyDescent="0.25">
      <c r="A57" s="22">
        <v>583</v>
      </c>
      <c r="B57" s="16" t="s">
        <v>347</v>
      </c>
      <c r="C57" s="16" t="str">
        <f>INDEX('Alloc Amt'!B:B,MATCH(Expenses!D:D,'Alloc Amt'!D:D,0))</f>
        <v>Total OVHD Lines</v>
      </c>
      <c r="D57" s="56">
        <v>57</v>
      </c>
      <c r="E57" s="57"/>
      <c r="F57" s="46">
        <v>2676079.5362708503</v>
      </c>
      <c r="G57" s="59">
        <f t="shared" si="35"/>
        <v>1844232.13549301</v>
      </c>
      <c r="H57" s="59">
        <f t="shared" si="35"/>
        <v>336972.99991922127</v>
      </c>
      <c r="I57" s="59">
        <f t="shared" si="35"/>
        <v>261972.74817450243</v>
      </c>
      <c r="J57" s="59">
        <f t="shared" si="35"/>
        <v>103632.3134482304</v>
      </c>
      <c r="K57" s="59">
        <f t="shared" si="35"/>
        <v>97004.446728915704</v>
      </c>
      <c r="L57" s="59">
        <f t="shared" si="35"/>
        <v>2429.6802572021443</v>
      </c>
      <c r="M57" s="59">
        <f t="shared" si="35"/>
        <v>26140.564360119533</v>
      </c>
      <c r="N57" s="59">
        <f t="shared" si="35"/>
        <v>227.51566421619052</v>
      </c>
      <c r="O57" s="59">
        <f t="shared" si="35"/>
        <v>0</v>
      </c>
      <c r="P57" s="59">
        <f t="shared" si="35"/>
        <v>0</v>
      </c>
      <c r="Q57" s="59">
        <f t="shared" si="35"/>
        <v>1620.6827379346162</v>
      </c>
      <c r="R57" s="59">
        <f t="shared" si="35"/>
        <v>1846.4494874976476</v>
      </c>
      <c r="T57" s="89">
        <f t="shared" si="36"/>
        <v>0</v>
      </c>
    </row>
    <row r="58" spans="1:20" x14ac:dyDescent="0.25">
      <c r="A58" s="22">
        <v>584</v>
      </c>
      <c r="B58" s="16" t="s">
        <v>348</v>
      </c>
      <c r="C58" s="16" t="str">
        <f>INDEX('Alloc Amt'!B:B,MATCH(Expenses!D:D,'Alloc Amt'!D:D,0))</f>
        <v>Total UNGD Lines</v>
      </c>
      <c r="D58" s="56">
        <v>58</v>
      </c>
      <c r="E58" s="57"/>
      <c r="F58" s="46">
        <v>4739504.3435808057</v>
      </c>
      <c r="G58" s="59">
        <f t="shared" si="35"/>
        <v>3136767.6051570675</v>
      </c>
      <c r="H58" s="59">
        <f t="shared" si="35"/>
        <v>558933.61255447555</v>
      </c>
      <c r="I58" s="59">
        <f t="shared" si="35"/>
        <v>521585.08799741167</v>
      </c>
      <c r="J58" s="59">
        <f t="shared" si="35"/>
        <v>226457.78652223671</v>
      </c>
      <c r="K58" s="59">
        <f t="shared" si="35"/>
        <v>161527.74636715307</v>
      </c>
      <c r="L58" s="59">
        <f t="shared" si="35"/>
        <v>1918.2719914828592</v>
      </c>
      <c r="M58" s="59">
        <f t="shared" si="35"/>
        <v>50295.70491403612</v>
      </c>
      <c r="N58" s="59">
        <f t="shared" si="35"/>
        <v>63166.979152309737</v>
      </c>
      <c r="O58" s="59">
        <f t="shared" si="35"/>
        <v>15334.243327640608</v>
      </c>
      <c r="P58" s="59">
        <f t="shared" si="35"/>
        <v>92.150065211651153</v>
      </c>
      <c r="Q58" s="59">
        <f t="shared" si="35"/>
        <v>2149.3890988904327</v>
      </c>
      <c r="R58" s="59">
        <f t="shared" si="35"/>
        <v>1275.7664328898049</v>
      </c>
      <c r="T58" s="89">
        <f t="shared" si="36"/>
        <v>0</v>
      </c>
    </row>
    <row r="59" spans="1:20" x14ac:dyDescent="0.25">
      <c r="A59" s="22">
        <v>585</v>
      </c>
      <c r="B59" s="16" t="s">
        <v>349</v>
      </c>
      <c r="C59" s="16" t="str">
        <f>INDEX('Alloc Amt'!B:B,MATCH(Expenses!D:D,'Alloc Amt'!D:D,0))</f>
        <v>Str. &amp; Signal Systems</v>
      </c>
      <c r="D59" s="56">
        <v>12</v>
      </c>
      <c r="E59" s="57"/>
      <c r="F59" s="46">
        <v>145300.63335813151</v>
      </c>
      <c r="G59" s="59">
        <f t="shared" si="35"/>
        <v>0</v>
      </c>
      <c r="H59" s="59">
        <f t="shared" si="35"/>
        <v>0</v>
      </c>
      <c r="I59" s="59">
        <f t="shared" si="35"/>
        <v>0</v>
      </c>
      <c r="J59" s="59">
        <f t="shared" si="35"/>
        <v>0</v>
      </c>
      <c r="K59" s="59">
        <f t="shared" si="35"/>
        <v>0</v>
      </c>
      <c r="L59" s="59">
        <f t="shared" si="35"/>
        <v>0</v>
      </c>
      <c r="M59" s="59">
        <f t="shared" si="35"/>
        <v>0</v>
      </c>
      <c r="N59" s="59">
        <f t="shared" si="35"/>
        <v>0</v>
      </c>
      <c r="O59" s="59">
        <f t="shared" si="35"/>
        <v>0</v>
      </c>
      <c r="P59" s="59">
        <f t="shared" si="35"/>
        <v>0</v>
      </c>
      <c r="Q59" s="59">
        <f t="shared" si="35"/>
        <v>145300.63335813151</v>
      </c>
      <c r="R59" s="59">
        <f t="shared" si="35"/>
        <v>0</v>
      </c>
      <c r="T59" s="89">
        <f t="shared" si="36"/>
        <v>0</v>
      </c>
    </row>
    <row r="60" spans="1:20" x14ac:dyDescent="0.25">
      <c r="A60" s="22">
        <v>586</v>
      </c>
      <c r="B60" s="16" t="s">
        <v>350</v>
      </c>
      <c r="C60" s="16" t="str">
        <f>INDEX('Alloc Amt'!B:B,MATCH(Expenses!D:D,'Alloc Amt'!D:D,0))</f>
        <v>Meter Investment</v>
      </c>
      <c r="D60" s="56">
        <v>19</v>
      </c>
      <c r="E60" s="57"/>
      <c r="F60" s="46">
        <v>1730550.5930792508</v>
      </c>
      <c r="G60" s="59">
        <f t="shared" si="35"/>
        <v>1123518.3804611764</v>
      </c>
      <c r="H60" s="59">
        <f t="shared" si="35"/>
        <v>315355.25486030173</v>
      </c>
      <c r="I60" s="59">
        <f t="shared" si="35"/>
        <v>93198.861507729729</v>
      </c>
      <c r="J60" s="59">
        <f t="shared" si="35"/>
        <v>10474.752615772622</v>
      </c>
      <c r="K60" s="59">
        <f t="shared" si="35"/>
        <v>125464.50330648165</v>
      </c>
      <c r="L60" s="59">
        <f t="shared" si="35"/>
        <v>406.79545126035157</v>
      </c>
      <c r="M60" s="59">
        <f t="shared" si="35"/>
        <v>40547.829936206821</v>
      </c>
      <c r="N60" s="59">
        <f t="shared" si="35"/>
        <v>8200.857536918249</v>
      </c>
      <c r="O60" s="59">
        <f t="shared" si="35"/>
        <v>5092.712994621379</v>
      </c>
      <c r="P60" s="59">
        <f t="shared" si="35"/>
        <v>8199.2240260751933</v>
      </c>
      <c r="Q60" s="59">
        <f t="shared" si="35"/>
        <v>0</v>
      </c>
      <c r="R60" s="59">
        <f t="shared" si="35"/>
        <v>91.420382706517884</v>
      </c>
      <c r="T60" s="89">
        <f t="shared" si="36"/>
        <v>0</v>
      </c>
    </row>
    <row r="61" spans="1:20" x14ac:dyDescent="0.25">
      <c r="A61" s="22">
        <v>587</v>
      </c>
      <c r="B61" s="16" t="s">
        <v>351</v>
      </c>
      <c r="C61" s="16" t="str">
        <f>INDEX('Alloc Amt'!B:B,MATCH(Expenses!D:D,'Alloc Amt'!D:D,0))</f>
        <v>Meter Investment</v>
      </c>
      <c r="D61" s="56">
        <v>19</v>
      </c>
      <c r="E61" s="57"/>
      <c r="F61" s="46">
        <v>3412779.0851301313</v>
      </c>
      <c r="G61" s="59">
        <f t="shared" si="35"/>
        <v>2215664.7982042483</v>
      </c>
      <c r="H61" s="59">
        <f t="shared" si="35"/>
        <v>621904.85645271954</v>
      </c>
      <c r="I61" s="59">
        <f t="shared" si="35"/>
        <v>183795.33460825766</v>
      </c>
      <c r="J61" s="59">
        <f t="shared" si="35"/>
        <v>20657.019096686912</v>
      </c>
      <c r="K61" s="59">
        <f t="shared" si="35"/>
        <v>247425.66586782946</v>
      </c>
      <c r="L61" s="59">
        <f t="shared" si="35"/>
        <v>802.23196798721051</v>
      </c>
      <c r="M61" s="59">
        <f t="shared" si="35"/>
        <v>79963.444297501046</v>
      </c>
      <c r="N61" s="59">
        <f t="shared" si="35"/>
        <v>16172.722828245394</v>
      </c>
      <c r="O61" s="59">
        <f t="shared" si="35"/>
        <v>10043.222350228249</v>
      </c>
      <c r="P61" s="59">
        <f t="shared" si="35"/>
        <v>16169.501419022914</v>
      </c>
      <c r="Q61" s="59">
        <f t="shared" si="35"/>
        <v>0</v>
      </c>
      <c r="R61" s="59">
        <f t="shared" si="35"/>
        <v>180.28803740446821</v>
      </c>
      <c r="T61" s="89">
        <f t="shared" si="36"/>
        <v>0</v>
      </c>
    </row>
    <row r="62" spans="1:20" x14ac:dyDescent="0.25">
      <c r="A62" s="22">
        <v>589</v>
      </c>
      <c r="B62" s="16" t="s">
        <v>352</v>
      </c>
      <c r="C62" s="16" t="str">
        <f>INDEX('Alloc Amt'!B:B,MATCH(Expenses!D:D,'Alloc Amt'!D:D,0))</f>
        <v>Dist O&amp;M - ID582.00 to ID587.00 Subtotal</v>
      </c>
      <c r="D62" s="56">
        <v>67</v>
      </c>
      <c r="E62" s="57"/>
      <c r="F62" s="46">
        <v>1318379.920159139</v>
      </c>
      <c r="G62" s="59">
        <f t="shared" si="35"/>
        <v>841018.94996778178</v>
      </c>
      <c r="H62" s="59">
        <f t="shared" si="35"/>
        <v>187127.85840812497</v>
      </c>
      <c r="I62" s="59">
        <f t="shared" si="35"/>
        <v>118982.00524404299</v>
      </c>
      <c r="J62" s="59">
        <f t="shared" si="35"/>
        <v>44861.387264526194</v>
      </c>
      <c r="K62" s="59">
        <f t="shared" si="35"/>
        <v>68311.959091211087</v>
      </c>
      <c r="L62" s="59">
        <f t="shared" si="35"/>
        <v>544.22182766363483</v>
      </c>
      <c r="M62" s="59">
        <f t="shared" si="35"/>
        <v>19121.974207771927</v>
      </c>
      <c r="N62" s="59">
        <f t="shared" si="35"/>
        <v>13261.246083915557</v>
      </c>
      <c r="O62" s="59">
        <f t="shared" si="35"/>
        <v>7063.1981169585024</v>
      </c>
      <c r="P62" s="59">
        <f t="shared" si="35"/>
        <v>4072.5435826252556</v>
      </c>
      <c r="Q62" s="59">
        <f t="shared" si="35"/>
        <v>13664.290366151026</v>
      </c>
      <c r="R62" s="59">
        <f t="shared" si="35"/>
        <v>350.28599836605969</v>
      </c>
      <c r="T62" s="89">
        <f t="shared" si="36"/>
        <v>0</v>
      </c>
    </row>
    <row r="63" spans="1:20" x14ac:dyDescent="0.25">
      <c r="A63" s="22">
        <v>580</v>
      </c>
      <c r="B63" s="16" t="s">
        <v>353</v>
      </c>
      <c r="C63" s="16" t="str">
        <f>INDEX('Alloc Amt'!B:B,MATCH(Expenses!D:D,'Alloc Amt'!D:D,0))</f>
        <v>Dist O&amp;M - ID581.00 to ID589.00 Subtotal</v>
      </c>
      <c r="D63" s="56">
        <v>65</v>
      </c>
      <c r="E63" s="57"/>
      <c r="F63" s="46">
        <v>2736810.1071949545</v>
      </c>
      <c r="G63" s="59">
        <f t="shared" si="35"/>
        <v>1745861.816779247</v>
      </c>
      <c r="H63" s="59">
        <f t="shared" si="35"/>
        <v>388456.62498203415</v>
      </c>
      <c r="I63" s="59">
        <f t="shared" si="35"/>
        <v>246993.41179810566</v>
      </c>
      <c r="J63" s="59">
        <f t="shared" si="35"/>
        <v>93127.251265721716</v>
      </c>
      <c r="K63" s="59">
        <f t="shared" si="35"/>
        <v>141808.03061726515</v>
      </c>
      <c r="L63" s="59">
        <f t="shared" si="35"/>
        <v>1129.743995438098</v>
      </c>
      <c r="M63" s="59">
        <f t="shared" si="35"/>
        <v>39695.092045269019</v>
      </c>
      <c r="N63" s="59">
        <f t="shared" si="35"/>
        <v>27528.872187372734</v>
      </c>
      <c r="O63" s="59">
        <f t="shared" si="35"/>
        <v>14662.413845986852</v>
      </c>
      <c r="P63" s="59">
        <f t="shared" si="35"/>
        <v>8454.1476007730507</v>
      </c>
      <c r="Q63" s="59">
        <f t="shared" si="35"/>
        <v>28365.547297788577</v>
      </c>
      <c r="R63" s="59">
        <f t="shared" si="35"/>
        <v>727.1547799524958</v>
      </c>
      <c r="T63" s="89">
        <f t="shared" si="36"/>
        <v>0</v>
      </c>
    </row>
    <row r="64" spans="1:20" x14ac:dyDescent="0.25">
      <c r="A64" s="22">
        <v>588</v>
      </c>
      <c r="B64" s="16" t="s">
        <v>354</v>
      </c>
      <c r="C64" s="16" t="str">
        <f>INDEX('Alloc Amt'!B:B,MATCH(Expenses!D:D,'Alloc Amt'!D:D,0))</f>
        <v>Dist O&amp;M - ID581.00 to ID589.00 Subtotal</v>
      </c>
      <c r="D64" s="56">
        <v>65</v>
      </c>
      <c r="E64" s="57"/>
      <c r="F64" s="46">
        <v>12333410.01394878</v>
      </c>
      <c r="G64" s="59">
        <f t="shared" si="35"/>
        <v>7867710.4989594109</v>
      </c>
      <c r="H64" s="59">
        <f t="shared" si="35"/>
        <v>1750576.2697758421</v>
      </c>
      <c r="I64" s="59">
        <f t="shared" si="35"/>
        <v>1113073.5780467989</v>
      </c>
      <c r="J64" s="59">
        <f t="shared" si="35"/>
        <v>419677.11618450203</v>
      </c>
      <c r="K64" s="59">
        <f t="shared" si="35"/>
        <v>639056.60837606154</v>
      </c>
      <c r="L64" s="59">
        <f t="shared" si="35"/>
        <v>5091.1811052962448</v>
      </c>
      <c r="M64" s="59">
        <f t="shared" si="35"/>
        <v>178885.57355465251</v>
      </c>
      <c r="N64" s="59">
        <f t="shared" si="35"/>
        <v>124058.61371816146</v>
      </c>
      <c r="O64" s="59">
        <f t="shared" si="35"/>
        <v>66076.035484282009</v>
      </c>
      <c r="P64" s="59">
        <f t="shared" si="35"/>
        <v>38098.539757894825</v>
      </c>
      <c r="Q64" s="59">
        <f t="shared" si="35"/>
        <v>127829.08254173679</v>
      </c>
      <c r="R64" s="59">
        <f t="shared" si="35"/>
        <v>3276.9164441404128</v>
      </c>
      <c r="T64" s="89">
        <f t="shared" si="36"/>
        <v>0</v>
      </c>
    </row>
    <row r="65" spans="1:20" x14ac:dyDescent="0.25">
      <c r="A65" s="25"/>
      <c r="B65" s="24" t="s">
        <v>189</v>
      </c>
      <c r="C65" s="24"/>
      <c r="D65" s="60"/>
      <c r="E65" s="61"/>
      <c r="F65" s="47">
        <f>SUM(F55:F64)</f>
        <v>32659118.59287579</v>
      </c>
      <c r="G65" s="47">
        <f t="shared" ref="G65:R65" si="37">SUM(G55:G64)</f>
        <v>20833856.163812153</v>
      </c>
      <c r="H65" s="47">
        <f t="shared" si="37"/>
        <v>4635561.2872533165</v>
      </c>
      <c r="I65" s="47">
        <f t="shared" si="37"/>
        <v>2947441.2953849565</v>
      </c>
      <c r="J65" s="47">
        <f t="shared" si="37"/>
        <v>1111313.472323088</v>
      </c>
      <c r="K65" s="47">
        <f t="shared" si="37"/>
        <v>1692234.7945061554</v>
      </c>
      <c r="L65" s="47">
        <f t="shared" si="37"/>
        <v>13481.550301792231</v>
      </c>
      <c r="M65" s="47">
        <f t="shared" si="37"/>
        <v>473692.60850556073</v>
      </c>
      <c r="N65" s="47">
        <f t="shared" si="37"/>
        <v>328509.71250504872</v>
      </c>
      <c r="O65" s="47">
        <f t="shared" si="37"/>
        <v>174970.67531101353</v>
      </c>
      <c r="P65" s="47">
        <f t="shared" si="37"/>
        <v>100885.70206952075</v>
      </c>
      <c r="Q65" s="47">
        <f t="shared" si="37"/>
        <v>338493.99003418454</v>
      </c>
      <c r="R65" s="47">
        <f t="shared" si="37"/>
        <v>8677.3408689963489</v>
      </c>
      <c r="T65" s="89">
        <f t="shared" si="36"/>
        <v>0</v>
      </c>
    </row>
    <row r="66" spans="1:20" x14ac:dyDescent="0.25">
      <c r="A66" s="22"/>
      <c r="B66" s="16"/>
      <c r="C66" s="16"/>
      <c r="E66" s="57"/>
      <c r="F66" s="46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</row>
    <row r="67" spans="1:20" x14ac:dyDescent="0.25">
      <c r="A67" s="22"/>
      <c r="B67" s="20" t="s">
        <v>355</v>
      </c>
      <c r="C67" s="16"/>
      <c r="E67" s="57"/>
      <c r="F67" s="46"/>
      <c r="G67" s="57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</row>
    <row r="68" spans="1:20" x14ac:dyDescent="0.25">
      <c r="A68" s="22">
        <v>901</v>
      </c>
      <c r="B68" s="16" t="s">
        <v>356</v>
      </c>
      <c r="C68" s="16" t="str">
        <f>INDEX('Alloc Amt'!B:B,MATCH(Expenses!D:D,'Alloc Amt'!D:D,0))</f>
        <v>Cust Accts Exp - Subtotal ID902.00 to ID905.00</v>
      </c>
      <c r="D68" s="56">
        <v>64</v>
      </c>
      <c r="E68" s="57"/>
      <c r="F68" s="46">
        <v>134621.92638556895</v>
      </c>
      <c r="G68" s="59">
        <f t="shared" ref="G68:R72" si="38">INDEX(Alloc,($D68),(G$1))*$F68</f>
        <v>117096.12757406004</v>
      </c>
      <c r="H68" s="59">
        <f t="shared" si="38"/>
        <v>12266.034859929381</v>
      </c>
      <c r="I68" s="59">
        <f t="shared" si="38"/>
        <v>1234.1147826003655</v>
      </c>
      <c r="J68" s="59">
        <f t="shared" si="38"/>
        <v>1309.5115746087858</v>
      </c>
      <c r="K68" s="59">
        <f t="shared" si="38"/>
        <v>1415.3972782132569</v>
      </c>
      <c r="L68" s="59">
        <f t="shared" si="38"/>
        <v>0.11948284628148365</v>
      </c>
      <c r="M68" s="59">
        <f t="shared" si="38"/>
        <v>39.614801916760626</v>
      </c>
      <c r="N68" s="59">
        <f t="shared" si="38"/>
        <v>160.74239463472423</v>
      </c>
      <c r="O68" s="59">
        <f t="shared" si="38"/>
        <v>256.40347828506003</v>
      </c>
      <c r="P68" s="59">
        <f t="shared" si="38"/>
        <v>457.82375630055242</v>
      </c>
      <c r="Q68" s="59">
        <f t="shared" si="38"/>
        <v>385.78311716064837</v>
      </c>
      <c r="R68" s="59">
        <f t="shared" si="38"/>
        <v>0.25328501306495393</v>
      </c>
      <c r="T68" s="89">
        <f t="shared" ref="T68:T73" si="39">F68-SUM(G68:R68)</f>
        <v>0</v>
      </c>
    </row>
    <row r="69" spans="1:20" x14ac:dyDescent="0.25">
      <c r="A69" s="22">
        <v>902</v>
      </c>
      <c r="B69" s="16" t="s">
        <v>357</v>
      </c>
      <c r="C69" s="16" t="str">
        <f>INDEX('Alloc Amt'!B:B,MATCH(Expenses!D:D,'Alloc Amt'!D:D,0))</f>
        <v>Meter Counts. A/C 902</v>
      </c>
      <c r="D69" s="56">
        <v>4</v>
      </c>
      <c r="E69" s="57"/>
      <c r="F69" s="46">
        <v>11371141.862653149</v>
      </c>
      <c r="G69" s="59">
        <f t="shared" si="38"/>
        <v>9996632.4211208429</v>
      </c>
      <c r="H69" s="59">
        <f t="shared" si="38"/>
        <v>1272599.4674878372</v>
      </c>
      <c r="I69" s="59">
        <f t="shared" si="38"/>
        <v>84726.18167537573</v>
      </c>
      <c r="J69" s="59">
        <f t="shared" si="38"/>
        <v>8562.8039852760412</v>
      </c>
      <c r="K69" s="59">
        <f t="shared" si="38"/>
        <v>5139.6218711169904</v>
      </c>
      <c r="L69" s="59">
        <f t="shared" si="38"/>
        <v>19.394799513649019</v>
      </c>
      <c r="M69" s="59">
        <f t="shared" si="38"/>
        <v>1541.886561335097</v>
      </c>
      <c r="N69" s="59">
        <f t="shared" si="38"/>
        <v>960.04257592562647</v>
      </c>
      <c r="O69" s="59">
        <f t="shared" si="38"/>
        <v>349.10639124568235</v>
      </c>
      <c r="P69" s="59">
        <f t="shared" si="38"/>
        <v>533.35698662534799</v>
      </c>
      <c r="Q69" s="59">
        <f t="shared" si="38"/>
        <v>0</v>
      </c>
      <c r="R69" s="59">
        <f t="shared" si="38"/>
        <v>77.579198054596077</v>
      </c>
      <c r="T69" s="89">
        <f t="shared" si="39"/>
        <v>0</v>
      </c>
    </row>
    <row r="70" spans="1:20" x14ac:dyDescent="0.25">
      <c r="A70" s="22">
        <v>903</v>
      </c>
      <c r="B70" s="16" t="s">
        <v>358</v>
      </c>
      <c r="C70" s="16" t="str">
        <f>INDEX('Alloc Amt'!B:B,MATCH(Expenses!D:D,'Alloc Amt'!D:D,0))</f>
        <v>Wtd. Ave. No. Cust. A/C 903 Customer Records Direct Assignment [NEEDS PROFORMA ADJUSTMENT]</v>
      </c>
      <c r="D70" s="56">
        <v>3</v>
      </c>
      <c r="E70" s="57"/>
      <c r="F70" s="46">
        <v>23622828.61329595</v>
      </c>
      <c r="G70" s="59">
        <f t="shared" si="38"/>
        <v>20177622.519180335</v>
      </c>
      <c r="H70" s="59">
        <f t="shared" si="38"/>
        <v>2381005.4371652394</v>
      </c>
      <c r="I70" s="59">
        <f t="shared" si="38"/>
        <v>216910.05295143303</v>
      </c>
      <c r="J70" s="59">
        <f t="shared" si="38"/>
        <v>224156.19862806523</v>
      </c>
      <c r="K70" s="59">
        <f t="shared" si="38"/>
        <v>167844.56570614738</v>
      </c>
      <c r="L70" s="59">
        <f t="shared" si="38"/>
        <v>26.715691655154234</v>
      </c>
      <c r="M70" s="59">
        <f t="shared" si="38"/>
        <v>13746.148757419774</v>
      </c>
      <c r="N70" s="59">
        <f t="shared" si="38"/>
        <v>61073.219929349732</v>
      </c>
      <c r="O70" s="59">
        <f t="shared" si="38"/>
        <v>98601.418215949743</v>
      </c>
      <c r="P70" s="59">
        <f t="shared" si="38"/>
        <v>176148.726917133</v>
      </c>
      <c r="Q70" s="59">
        <f t="shared" si="38"/>
        <v>105673.44229617827</v>
      </c>
      <c r="R70" s="59">
        <f t="shared" si="38"/>
        <v>20.167857038212635</v>
      </c>
      <c r="T70" s="89">
        <f t="shared" si="39"/>
        <v>0</v>
      </c>
    </row>
    <row r="71" spans="1:20" x14ac:dyDescent="0.25">
      <c r="A71" s="22">
        <v>904</v>
      </c>
      <c r="B71" s="16" t="s">
        <v>359</v>
      </c>
      <c r="C71" s="16" t="str">
        <f>INDEX('Alloc Amt'!B:B,MATCH(Expenses!D:D,'Alloc Amt'!D:D,0))</f>
        <v>Direct Assign 904 Uncollectibles</v>
      </c>
      <c r="D71" s="56">
        <v>18</v>
      </c>
      <c r="E71" s="57"/>
      <c r="F71" s="46">
        <v>16958952.817367498</v>
      </c>
      <c r="G71" s="59">
        <f t="shared" si="38"/>
        <v>15015160.314208854</v>
      </c>
      <c r="H71" s="59">
        <f t="shared" si="38"/>
        <v>1080069.5070909716</v>
      </c>
      <c r="I71" s="59">
        <f t="shared" si="38"/>
        <v>174629.9454600178</v>
      </c>
      <c r="J71" s="59">
        <f t="shared" si="38"/>
        <v>272644.09992099757</v>
      </c>
      <c r="K71" s="59">
        <f t="shared" si="38"/>
        <v>373242.03424914565</v>
      </c>
      <c r="L71" s="59">
        <f t="shared" si="38"/>
        <v>0</v>
      </c>
      <c r="M71" s="59">
        <f t="shared" si="38"/>
        <v>0</v>
      </c>
      <c r="N71" s="59">
        <f t="shared" si="38"/>
        <v>0</v>
      </c>
      <c r="O71" s="59">
        <f t="shared" si="38"/>
        <v>0</v>
      </c>
      <c r="P71" s="59">
        <f t="shared" si="38"/>
        <v>0</v>
      </c>
      <c r="Q71" s="59">
        <f t="shared" si="38"/>
        <v>43206.916437510416</v>
      </c>
      <c r="R71" s="59">
        <f t="shared" si="38"/>
        <v>0</v>
      </c>
      <c r="T71" s="89">
        <f t="shared" si="39"/>
        <v>0</v>
      </c>
    </row>
    <row r="72" spans="1:20" x14ac:dyDescent="0.25">
      <c r="A72" s="22">
        <v>905</v>
      </c>
      <c r="B72" s="16" t="s">
        <v>360</v>
      </c>
      <c r="C72" s="16" t="str">
        <f>INDEX('Alloc Amt'!B:B,MATCH(Expenses!D:D,'Alloc Amt'!D:D,0))</f>
        <v>Ave. No. Cust.</v>
      </c>
      <c r="D72" s="56">
        <v>1</v>
      </c>
      <c r="E72" s="57"/>
      <c r="F72" s="46">
        <v>0</v>
      </c>
      <c r="G72" s="59">
        <f t="shared" si="38"/>
        <v>0</v>
      </c>
      <c r="H72" s="59">
        <f t="shared" si="38"/>
        <v>0</v>
      </c>
      <c r="I72" s="59">
        <f t="shared" si="38"/>
        <v>0</v>
      </c>
      <c r="J72" s="59">
        <f t="shared" si="38"/>
        <v>0</v>
      </c>
      <c r="K72" s="59">
        <f t="shared" si="38"/>
        <v>0</v>
      </c>
      <c r="L72" s="59">
        <f t="shared" si="38"/>
        <v>0</v>
      </c>
      <c r="M72" s="59">
        <f t="shared" si="38"/>
        <v>0</v>
      </c>
      <c r="N72" s="59">
        <f t="shared" si="38"/>
        <v>0</v>
      </c>
      <c r="O72" s="59">
        <f t="shared" si="38"/>
        <v>0</v>
      </c>
      <c r="P72" s="59">
        <f t="shared" si="38"/>
        <v>0</v>
      </c>
      <c r="Q72" s="59">
        <f t="shared" si="38"/>
        <v>0</v>
      </c>
      <c r="R72" s="59">
        <f t="shared" si="38"/>
        <v>0</v>
      </c>
      <c r="T72" s="89">
        <f t="shared" si="39"/>
        <v>0</v>
      </c>
    </row>
    <row r="73" spans="1:20" x14ac:dyDescent="0.25">
      <c r="A73" s="25"/>
      <c r="B73" s="24" t="s">
        <v>189</v>
      </c>
      <c r="C73" s="24"/>
      <c r="D73" s="60"/>
      <c r="E73" s="61"/>
      <c r="F73" s="47">
        <f>SUM(F68:F72)</f>
        <v>52087545.219702169</v>
      </c>
      <c r="G73" s="47">
        <f t="shared" ref="G73:R73" si="40">SUM(G68:G72)</f>
        <v>45306511.382084087</v>
      </c>
      <c r="H73" s="47">
        <f t="shared" si="40"/>
        <v>4745940.4466039781</v>
      </c>
      <c r="I73" s="47">
        <f t="shared" si="40"/>
        <v>477500.29486942687</v>
      </c>
      <c r="J73" s="47">
        <f t="shared" si="40"/>
        <v>506672.61410894763</v>
      </c>
      <c r="K73" s="47">
        <f t="shared" si="40"/>
        <v>547641.61910462333</v>
      </c>
      <c r="L73" s="47">
        <f t="shared" si="40"/>
        <v>46.229974015084736</v>
      </c>
      <c r="M73" s="47">
        <f t="shared" si="40"/>
        <v>15327.650120671631</v>
      </c>
      <c r="N73" s="47">
        <f t="shared" si="40"/>
        <v>62194.004899910084</v>
      </c>
      <c r="O73" s="47">
        <f t="shared" si="40"/>
        <v>99206.928085480482</v>
      </c>
      <c r="P73" s="47">
        <f t="shared" si="40"/>
        <v>177139.9076600589</v>
      </c>
      <c r="Q73" s="47">
        <f t="shared" si="40"/>
        <v>149266.14185084932</v>
      </c>
      <c r="R73" s="47">
        <f t="shared" si="40"/>
        <v>98.000340105873661</v>
      </c>
      <c r="T73" s="89">
        <f t="shared" si="39"/>
        <v>0</v>
      </c>
    </row>
    <row r="74" spans="1:20" x14ac:dyDescent="0.25">
      <c r="A74" s="22"/>
      <c r="B74" s="16"/>
      <c r="C74" s="16"/>
      <c r="E74" s="57"/>
      <c r="F74" s="46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</row>
    <row r="75" spans="1:20" x14ac:dyDescent="0.25">
      <c r="A75" s="22"/>
      <c r="B75" s="16" t="s">
        <v>361</v>
      </c>
      <c r="C75" s="16"/>
      <c r="E75" s="57"/>
      <c r="F75" s="46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</row>
    <row r="76" spans="1:20" x14ac:dyDescent="0.25">
      <c r="A76" s="22">
        <v>908.01</v>
      </c>
      <c r="B76" s="16" t="s">
        <v>362</v>
      </c>
      <c r="C76" s="16" t="str">
        <f>INDEX('Alloc Amt'!B:B,MATCH(Expenses!D:D,'Alloc Amt'!D:D,0))</f>
        <v>Residential Allocation Only</v>
      </c>
      <c r="D76" s="56">
        <v>24</v>
      </c>
      <c r="E76" s="57"/>
      <c r="F76" s="46">
        <v>181452.77413573861</v>
      </c>
      <c r="G76" s="59">
        <f t="shared" ref="G76:R82" si="41">INDEX(Alloc,($D76),(G$1))*$F76</f>
        <v>181452.77413573861</v>
      </c>
      <c r="H76" s="59">
        <f t="shared" si="41"/>
        <v>0</v>
      </c>
      <c r="I76" s="59">
        <f t="shared" si="41"/>
        <v>0</v>
      </c>
      <c r="J76" s="59">
        <f t="shared" si="41"/>
        <v>0</v>
      </c>
      <c r="K76" s="59">
        <f t="shared" si="41"/>
        <v>0</v>
      </c>
      <c r="L76" s="59">
        <f t="shared" si="41"/>
        <v>0</v>
      </c>
      <c r="M76" s="59">
        <f t="shared" si="41"/>
        <v>0</v>
      </c>
      <c r="N76" s="59">
        <f t="shared" si="41"/>
        <v>0</v>
      </c>
      <c r="O76" s="59">
        <f t="shared" si="41"/>
        <v>0</v>
      </c>
      <c r="P76" s="59">
        <f t="shared" si="41"/>
        <v>0</v>
      </c>
      <c r="Q76" s="59">
        <f t="shared" si="41"/>
        <v>0</v>
      </c>
      <c r="R76" s="59">
        <f t="shared" si="41"/>
        <v>0</v>
      </c>
      <c r="T76" s="89">
        <f t="shared" ref="T76:T83" si="42">F76-SUM(G76:R76)</f>
        <v>0</v>
      </c>
    </row>
    <row r="77" spans="1:20" x14ac:dyDescent="0.25">
      <c r="A77" s="22">
        <v>908.02</v>
      </c>
      <c r="B77" s="16" t="s">
        <v>363</v>
      </c>
      <c r="C77" s="16" t="str">
        <f>INDEX('Alloc Amt'!B:B,MATCH(Expenses!D:D,'Alloc Amt'!D:D,0))</f>
        <v>Total Production Plant</v>
      </c>
      <c r="D77" s="56">
        <v>73</v>
      </c>
      <c r="E77" s="57"/>
      <c r="F77" s="46">
        <v>0</v>
      </c>
      <c r="G77" s="59">
        <f t="shared" si="41"/>
        <v>0</v>
      </c>
      <c r="H77" s="59">
        <f t="shared" si="41"/>
        <v>0</v>
      </c>
      <c r="I77" s="59">
        <f t="shared" si="41"/>
        <v>0</v>
      </c>
      <c r="J77" s="59">
        <f t="shared" si="41"/>
        <v>0</v>
      </c>
      <c r="K77" s="59">
        <f t="shared" si="41"/>
        <v>0</v>
      </c>
      <c r="L77" s="59">
        <f t="shared" si="41"/>
        <v>0</v>
      </c>
      <c r="M77" s="59">
        <f t="shared" si="41"/>
        <v>0</v>
      </c>
      <c r="N77" s="59">
        <f t="shared" si="41"/>
        <v>0</v>
      </c>
      <c r="O77" s="59">
        <f t="shared" si="41"/>
        <v>0</v>
      </c>
      <c r="P77" s="59">
        <f t="shared" si="41"/>
        <v>0</v>
      </c>
      <c r="Q77" s="59">
        <f t="shared" si="41"/>
        <v>0</v>
      </c>
      <c r="R77" s="59">
        <f t="shared" si="41"/>
        <v>0</v>
      </c>
      <c r="T77" s="89">
        <f t="shared" si="42"/>
        <v>0</v>
      </c>
    </row>
    <row r="78" spans="1:20" x14ac:dyDescent="0.25">
      <c r="A78" s="22">
        <v>909</v>
      </c>
      <c r="B78" s="16" t="s">
        <v>364</v>
      </c>
      <c r="C78" s="16" t="str">
        <f>INDEX('Alloc Amt'!B:B,MATCH(Expenses!D:D,'Alloc Amt'!D:D,0))</f>
        <v>Ave. No. Cust.</v>
      </c>
      <c r="D78" s="56">
        <v>1</v>
      </c>
      <c r="E78" s="57"/>
      <c r="F78" s="46">
        <v>3077574.695869219</v>
      </c>
      <c r="G78" s="59">
        <f t="shared" si="41"/>
        <v>2704935.780114776</v>
      </c>
      <c r="H78" s="59">
        <f t="shared" si="41"/>
        <v>325473.87122381834</v>
      </c>
      <c r="I78" s="59">
        <f t="shared" si="41"/>
        <v>21852.075565973559</v>
      </c>
      <c r="J78" s="59">
        <f t="shared" si="41"/>
        <v>2253.7294985974686</v>
      </c>
      <c r="K78" s="59">
        <f t="shared" si="41"/>
        <v>1303.5228810177759</v>
      </c>
      <c r="L78" s="59">
        <f t="shared" si="41"/>
        <v>5.3532767187588339</v>
      </c>
      <c r="M78" s="59">
        <f t="shared" si="41"/>
        <v>414.87894570380962</v>
      </c>
      <c r="N78" s="59">
        <f t="shared" si="41"/>
        <v>248.92736742228576</v>
      </c>
      <c r="O78" s="59">
        <f t="shared" si="41"/>
        <v>66.915958984485414</v>
      </c>
      <c r="P78" s="59">
        <f t="shared" si="41"/>
        <v>42.826213750070671</v>
      </c>
      <c r="Q78" s="59">
        <f t="shared" si="41"/>
        <v>20955.401715581454</v>
      </c>
      <c r="R78" s="59">
        <f t="shared" si="41"/>
        <v>21.413106875035336</v>
      </c>
      <c r="T78" s="89">
        <f t="shared" si="42"/>
        <v>0</v>
      </c>
    </row>
    <row r="79" spans="1:20" x14ac:dyDescent="0.25">
      <c r="A79" s="22">
        <v>910</v>
      </c>
      <c r="B79" s="16" t="s">
        <v>365</v>
      </c>
      <c r="C79" s="16" t="str">
        <f>INDEX('Alloc Amt'!B:B,MATCH(Expenses!D:D,'Alloc Amt'!D:D,0))</f>
        <v>Ave. No. Cust.</v>
      </c>
      <c r="D79" s="56">
        <v>1</v>
      </c>
      <c r="E79" s="57"/>
      <c r="F79" s="46">
        <v>892.81</v>
      </c>
      <c r="G79" s="59">
        <f t="shared" si="41"/>
        <v>784.70677481385746</v>
      </c>
      <c r="H79" s="59">
        <f t="shared" si="41"/>
        <v>94.420560240948134</v>
      </c>
      <c r="I79" s="59">
        <f t="shared" si="41"/>
        <v>6.3393267472088404</v>
      </c>
      <c r="J79" s="59">
        <f t="shared" si="41"/>
        <v>0.65381101434956435</v>
      </c>
      <c r="K79" s="59">
        <f t="shared" si="41"/>
        <v>0.37815435152997368</v>
      </c>
      <c r="L79" s="59">
        <f t="shared" si="41"/>
        <v>1.5529952834906517E-3</v>
      </c>
      <c r="M79" s="59">
        <f t="shared" si="41"/>
        <v>0.12035713447052551</v>
      </c>
      <c r="N79" s="59">
        <f t="shared" si="41"/>
        <v>7.2214280682315307E-2</v>
      </c>
      <c r="O79" s="59">
        <f t="shared" si="41"/>
        <v>1.9412441043633145E-2</v>
      </c>
      <c r="P79" s="59">
        <f t="shared" si="41"/>
        <v>1.2423962267925213E-2</v>
      </c>
      <c r="Q79" s="59">
        <f t="shared" si="41"/>
        <v>6.0792000372241555</v>
      </c>
      <c r="R79" s="59">
        <f t="shared" si="41"/>
        <v>6.2119811339626067E-3</v>
      </c>
      <c r="T79" s="89">
        <f t="shared" si="42"/>
        <v>0</v>
      </c>
    </row>
    <row r="80" spans="1:20" x14ac:dyDescent="0.25">
      <c r="A80" s="22">
        <v>911</v>
      </c>
      <c r="B80" s="16" t="s">
        <v>366</v>
      </c>
      <c r="C80" s="16" t="str">
        <f>INDEX('Alloc Amt'!B:B,MATCH(Expenses!D:D,'Alloc Amt'!D:D,0))</f>
        <v>Str. &amp; Signal Systems</v>
      </c>
      <c r="D80" s="56">
        <v>12</v>
      </c>
      <c r="E80" s="57"/>
      <c r="F80" s="46">
        <v>0</v>
      </c>
      <c r="G80" s="59">
        <f t="shared" si="41"/>
        <v>0</v>
      </c>
      <c r="H80" s="59">
        <f t="shared" si="41"/>
        <v>0</v>
      </c>
      <c r="I80" s="59">
        <f t="shared" si="41"/>
        <v>0</v>
      </c>
      <c r="J80" s="59">
        <f t="shared" si="41"/>
        <v>0</v>
      </c>
      <c r="K80" s="59">
        <f t="shared" si="41"/>
        <v>0</v>
      </c>
      <c r="L80" s="59">
        <f t="shared" si="41"/>
        <v>0</v>
      </c>
      <c r="M80" s="59">
        <f t="shared" si="41"/>
        <v>0</v>
      </c>
      <c r="N80" s="59">
        <f t="shared" si="41"/>
        <v>0</v>
      </c>
      <c r="O80" s="59">
        <f t="shared" si="41"/>
        <v>0</v>
      </c>
      <c r="P80" s="59">
        <f t="shared" si="41"/>
        <v>0</v>
      </c>
      <c r="Q80" s="59">
        <f t="shared" si="41"/>
        <v>0</v>
      </c>
      <c r="R80" s="59">
        <f t="shared" si="41"/>
        <v>0</v>
      </c>
      <c r="T80" s="89">
        <f t="shared" si="42"/>
        <v>0</v>
      </c>
    </row>
    <row r="81" spans="1:20" x14ac:dyDescent="0.25">
      <c r="A81" s="22">
        <v>912</v>
      </c>
      <c r="B81" s="16" t="s">
        <v>367</v>
      </c>
      <c r="C81" s="16" t="str">
        <f>INDEX('Alloc Amt'!B:B,MATCH(Expenses!D:D,'Alloc Amt'!D:D,0))</f>
        <v>Ave. No. Cust.</v>
      </c>
      <c r="D81" s="56">
        <v>1</v>
      </c>
      <c r="E81" s="57"/>
      <c r="F81" s="46">
        <v>823619.80694727926</v>
      </c>
      <c r="G81" s="59">
        <f t="shared" si="41"/>
        <v>723894.26908570854</v>
      </c>
      <c r="H81" s="59">
        <f t="shared" si="41"/>
        <v>87103.239880269772</v>
      </c>
      <c r="I81" s="59">
        <f t="shared" si="41"/>
        <v>5848.0472572124745</v>
      </c>
      <c r="J81" s="59">
        <f t="shared" si="41"/>
        <v>603.14255151554426</v>
      </c>
      <c r="K81" s="59">
        <f t="shared" si="41"/>
        <v>348.84848288369363</v>
      </c>
      <c r="L81" s="59">
        <f t="shared" si="41"/>
        <v>1.4326426401794401</v>
      </c>
      <c r="M81" s="59">
        <f t="shared" si="41"/>
        <v>111.02980461390661</v>
      </c>
      <c r="N81" s="59">
        <f t="shared" si="41"/>
        <v>66.617882768343961</v>
      </c>
      <c r="O81" s="59">
        <f t="shared" si="41"/>
        <v>17.908033002242998</v>
      </c>
      <c r="P81" s="59">
        <f t="shared" si="41"/>
        <v>11.461141121435521</v>
      </c>
      <c r="Q81" s="59">
        <f t="shared" si="41"/>
        <v>5608.0796149824182</v>
      </c>
      <c r="R81" s="59">
        <f t="shared" si="41"/>
        <v>5.7305705607177604</v>
      </c>
      <c r="T81" s="89">
        <f t="shared" si="42"/>
        <v>0</v>
      </c>
    </row>
    <row r="82" spans="1:20" x14ac:dyDescent="0.25">
      <c r="A82" s="22">
        <v>913</v>
      </c>
      <c r="B82" s="16" t="s">
        <v>368</v>
      </c>
      <c r="C82" s="16"/>
      <c r="E82" s="57"/>
      <c r="F82" s="46">
        <v>0</v>
      </c>
      <c r="G82" s="59">
        <f t="shared" si="41"/>
        <v>0</v>
      </c>
      <c r="H82" s="59">
        <f t="shared" si="41"/>
        <v>0</v>
      </c>
      <c r="I82" s="59">
        <f t="shared" si="41"/>
        <v>0</v>
      </c>
      <c r="J82" s="59">
        <f t="shared" si="41"/>
        <v>0</v>
      </c>
      <c r="K82" s="59">
        <f t="shared" si="41"/>
        <v>0</v>
      </c>
      <c r="L82" s="59">
        <f t="shared" si="41"/>
        <v>0</v>
      </c>
      <c r="M82" s="59">
        <f t="shared" si="41"/>
        <v>0</v>
      </c>
      <c r="N82" s="59">
        <f t="shared" si="41"/>
        <v>0</v>
      </c>
      <c r="O82" s="59">
        <f t="shared" si="41"/>
        <v>0</v>
      </c>
      <c r="P82" s="59">
        <f t="shared" si="41"/>
        <v>0</v>
      </c>
      <c r="Q82" s="59">
        <f t="shared" si="41"/>
        <v>0</v>
      </c>
      <c r="R82" s="59">
        <f t="shared" si="41"/>
        <v>0</v>
      </c>
      <c r="T82" s="89">
        <f t="shared" si="42"/>
        <v>0</v>
      </c>
    </row>
    <row r="83" spans="1:20" x14ac:dyDescent="0.25">
      <c r="A83" s="22">
        <v>916</v>
      </c>
      <c r="B83" s="16" t="s">
        <v>369</v>
      </c>
      <c r="C83" s="16"/>
      <c r="E83" s="57"/>
      <c r="F83" s="46">
        <v>0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T83" s="89">
        <f t="shared" si="42"/>
        <v>0</v>
      </c>
    </row>
    <row r="84" spans="1:20" x14ac:dyDescent="0.25">
      <c r="A84" s="25"/>
      <c r="B84" s="24" t="s">
        <v>189</v>
      </c>
      <c r="C84" s="24"/>
      <c r="D84" s="60"/>
      <c r="E84" s="61"/>
      <c r="F84" s="47">
        <f>SUM(F76:F83)</f>
        <v>4083540.0869522369</v>
      </c>
      <c r="G84" s="47">
        <f t="shared" ref="G84:R84" si="43">SUM(G76:G83)</f>
        <v>3611067.5301110372</v>
      </c>
      <c r="H84" s="47">
        <f t="shared" si="43"/>
        <v>412671.531664329</v>
      </c>
      <c r="I84" s="47">
        <f t="shared" si="43"/>
        <v>27706.462149933242</v>
      </c>
      <c r="J84" s="47">
        <f t="shared" si="43"/>
        <v>2857.5258611273625</v>
      </c>
      <c r="K84" s="47">
        <f t="shared" si="43"/>
        <v>1652.7495182529995</v>
      </c>
      <c r="L84" s="47">
        <f t="shared" si="43"/>
        <v>6.7874723542217641</v>
      </c>
      <c r="M84" s="47">
        <f t="shared" si="43"/>
        <v>526.02910745218674</v>
      </c>
      <c r="N84" s="47">
        <f t="shared" si="43"/>
        <v>315.61746447131202</v>
      </c>
      <c r="O84" s="47">
        <f t="shared" si="43"/>
        <v>84.843404427772043</v>
      </c>
      <c r="P84" s="47">
        <f t="shared" si="43"/>
        <v>54.299778833774113</v>
      </c>
      <c r="Q84" s="47">
        <f t="shared" si="43"/>
        <v>26569.560530601098</v>
      </c>
      <c r="R84" s="47">
        <f t="shared" si="43"/>
        <v>27.149889416887056</v>
      </c>
    </row>
    <row r="85" spans="1:20" x14ac:dyDescent="0.25">
      <c r="A85" s="22"/>
      <c r="B85" s="16"/>
      <c r="C85" s="16"/>
      <c r="E85" s="57"/>
      <c r="F85" s="46"/>
      <c r="G85" s="57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</row>
    <row r="86" spans="1:20" x14ac:dyDescent="0.25">
      <c r="A86" s="22"/>
      <c r="B86" s="20" t="s">
        <v>370</v>
      </c>
      <c r="C86" s="16"/>
      <c r="E86" s="57"/>
      <c r="F86" s="46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</row>
    <row r="87" spans="1:20" x14ac:dyDescent="0.25">
      <c r="A87" s="22">
        <v>920</v>
      </c>
      <c r="B87" s="16" t="s">
        <v>371</v>
      </c>
      <c r="C87" s="16" t="str">
        <f>INDEX('Alloc Amt'!B:B,MATCH(Expenses!D:D,'Alloc Amt'!D:D,0))</f>
        <v>Adj Total Prod Trans Dist &amp; Cust Exp</v>
      </c>
      <c r="D87" s="56">
        <v>62</v>
      </c>
      <c r="E87" s="57"/>
      <c r="F87" s="46">
        <v>49509441.614050545</v>
      </c>
      <c r="G87" s="59">
        <f t="shared" ref="G87:R96" si="44">INDEX(Alloc,($D87),(G$1))*$F87</f>
        <v>31571059.27973488</v>
      </c>
      <c r="H87" s="59">
        <f t="shared" si="44"/>
        <v>6045710.1005087802</v>
      </c>
      <c r="I87" s="59">
        <f t="shared" si="44"/>
        <v>5000554.325299887</v>
      </c>
      <c r="J87" s="59">
        <f t="shared" si="44"/>
        <v>2751169.8289251574</v>
      </c>
      <c r="K87" s="59">
        <f t="shared" si="44"/>
        <v>2194221.4219134515</v>
      </c>
      <c r="L87" s="59">
        <f t="shared" si="44"/>
        <v>12480.475081446297</v>
      </c>
      <c r="M87" s="59">
        <f t="shared" si="44"/>
        <v>266162.81828527147</v>
      </c>
      <c r="N87" s="59">
        <f t="shared" si="44"/>
        <v>157098.22570630562</v>
      </c>
      <c r="O87" s="59">
        <f t="shared" si="44"/>
        <v>650709.31656620279</v>
      </c>
      <c r="P87" s="59">
        <f t="shared" si="44"/>
        <v>313526.33214580407</v>
      </c>
      <c r="Q87" s="59">
        <f t="shared" si="44"/>
        <v>531725.98866724072</v>
      </c>
      <c r="R87" s="59">
        <f t="shared" si="44"/>
        <v>15023.501216111943</v>
      </c>
      <c r="T87" s="89">
        <f t="shared" ref="T87:T150" si="45">F87-SUM(G87:R87)</f>
        <v>0</v>
      </c>
    </row>
    <row r="88" spans="1:20" x14ac:dyDescent="0.25">
      <c r="A88" s="22">
        <v>921</v>
      </c>
      <c r="B88" s="16" t="s">
        <v>372</v>
      </c>
      <c r="C88" s="16" t="str">
        <f>INDEX('Alloc Amt'!B:B,MATCH(Expenses!D:D,'Alloc Amt'!D:D,0))</f>
        <v>Adj Total Prod Trans Dist &amp; Cust Exp</v>
      </c>
      <c r="D88" s="56">
        <v>62</v>
      </c>
      <c r="E88" s="57"/>
      <c r="F88" s="46">
        <v>8619180.191495249</v>
      </c>
      <c r="G88" s="59">
        <f t="shared" si="44"/>
        <v>5496257.6813063417</v>
      </c>
      <c r="H88" s="59">
        <f t="shared" si="44"/>
        <v>1052507.6236577816</v>
      </c>
      <c r="I88" s="59">
        <f t="shared" si="44"/>
        <v>870554.7342486874</v>
      </c>
      <c r="J88" s="59">
        <f t="shared" si="44"/>
        <v>478955.68440791103</v>
      </c>
      <c r="K88" s="59">
        <f t="shared" si="44"/>
        <v>381995.61940007249</v>
      </c>
      <c r="L88" s="59">
        <f t="shared" si="44"/>
        <v>2172.7464518994639</v>
      </c>
      <c r="M88" s="59">
        <f t="shared" si="44"/>
        <v>46336.723184248258</v>
      </c>
      <c r="N88" s="59">
        <f t="shared" si="44"/>
        <v>27349.488723430968</v>
      </c>
      <c r="O88" s="59">
        <f t="shared" si="44"/>
        <v>113283.05609847835</v>
      </c>
      <c r="P88" s="59">
        <f t="shared" si="44"/>
        <v>54582.315280573945</v>
      </c>
      <c r="Q88" s="59">
        <f t="shared" si="44"/>
        <v>92569.052677888874</v>
      </c>
      <c r="R88" s="59">
        <f t="shared" si="44"/>
        <v>2615.4660579340512</v>
      </c>
      <c r="T88" s="89">
        <f t="shared" si="45"/>
        <v>0</v>
      </c>
    </row>
    <row r="89" spans="1:20" x14ac:dyDescent="0.25">
      <c r="A89" s="22">
        <v>922</v>
      </c>
      <c r="B89" s="16" t="s">
        <v>373</v>
      </c>
      <c r="C89" s="16" t="str">
        <f>INDEX('Alloc Amt'!B:B,MATCH(Expenses!D:D,'Alloc Amt'!D:D,0))</f>
        <v>Adj Total Prod Trans Dist &amp; Cust Exp</v>
      </c>
      <c r="D89" s="56">
        <v>62</v>
      </c>
      <c r="E89" s="57"/>
      <c r="F89" s="46">
        <v>-21557751.289999999</v>
      </c>
      <c r="G89" s="59">
        <f t="shared" si="44"/>
        <v>-13746893.960549532</v>
      </c>
      <c r="H89" s="59">
        <f t="shared" si="44"/>
        <v>-2632465.8584156116</v>
      </c>
      <c r="I89" s="59">
        <f t="shared" si="44"/>
        <v>-2177376.7374979923</v>
      </c>
      <c r="J89" s="59">
        <f t="shared" si="44"/>
        <v>-1197933.8282758731</v>
      </c>
      <c r="K89" s="59">
        <f t="shared" si="44"/>
        <v>-955423.41312482348</v>
      </c>
      <c r="L89" s="59">
        <f t="shared" si="44"/>
        <v>-5434.336744983736</v>
      </c>
      <c r="M89" s="59">
        <f t="shared" si="44"/>
        <v>-115894.49713387528</v>
      </c>
      <c r="N89" s="59">
        <f t="shared" si="44"/>
        <v>-68404.820726471211</v>
      </c>
      <c r="O89" s="59">
        <f t="shared" si="44"/>
        <v>-283336.45363996684</v>
      </c>
      <c r="P89" s="59">
        <f t="shared" si="44"/>
        <v>-136517.85338146542</v>
      </c>
      <c r="Q89" s="59">
        <f t="shared" si="44"/>
        <v>-231527.8913358748</v>
      </c>
      <c r="R89" s="59">
        <f t="shared" si="44"/>
        <v>-6541.6391735276657</v>
      </c>
      <c r="T89" s="89">
        <f t="shared" si="45"/>
        <v>0</v>
      </c>
    </row>
    <row r="90" spans="1:20" x14ac:dyDescent="0.25">
      <c r="A90" s="22">
        <v>923</v>
      </c>
      <c r="B90" s="16" t="s">
        <v>374</v>
      </c>
      <c r="C90" s="16" t="str">
        <f>INDEX('Alloc Amt'!B:B,MATCH(Expenses!D:D,'Alloc Amt'!D:D,0))</f>
        <v>Adj Total Prod Trans Dist &amp; Cust Exp</v>
      </c>
      <c r="D90" s="56">
        <v>62</v>
      </c>
      <c r="E90" s="57"/>
      <c r="F90" s="46">
        <v>11082001.521692986</v>
      </c>
      <c r="G90" s="59">
        <f t="shared" si="44"/>
        <v>7066743.5457440065</v>
      </c>
      <c r="H90" s="59">
        <f t="shared" si="44"/>
        <v>1353248.3168733432</v>
      </c>
      <c r="I90" s="59">
        <f t="shared" si="44"/>
        <v>1119304.6989759414</v>
      </c>
      <c r="J90" s="59">
        <f t="shared" si="44"/>
        <v>615811.19149467326</v>
      </c>
      <c r="K90" s="59">
        <f t="shared" si="44"/>
        <v>491146.01869545924</v>
      </c>
      <c r="L90" s="59">
        <f t="shared" si="44"/>
        <v>2793.5811702790024</v>
      </c>
      <c r="M90" s="59">
        <f t="shared" si="44"/>
        <v>59576.853648423792</v>
      </c>
      <c r="N90" s="59">
        <f t="shared" si="44"/>
        <v>35164.257959202478</v>
      </c>
      <c r="O90" s="59">
        <f t="shared" si="44"/>
        <v>145652.25139440814</v>
      </c>
      <c r="P90" s="59">
        <f t="shared" si="44"/>
        <v>70178.51901897788</v>
      </c>
      <c r="Q90" s="59">
        <f t="shared" si="44"/>
        <v>119019.48443429384</v>
      </c>
      <c r="R90" s="59">
        <f t="shared" si="44"/>
        <v>3362.8022839760683</v>
      </c>
      <c r="T90" s="89">
        <f t="shared" si="45"/>
        <v>0</v>
      </c>
    </row>
    <row r="91" spans="1:20" x14ac:dyDescent="0.25">
      <c r="A91" s="22">
        <v>924</v>
      </c>
      <c r="B91" s="16" t="s">
        <v>375</v>
      </c>
      <c r="C91" s="16" t="str">
        <f>INDEX('Alloc Amt'!B:B,MATCH(Expenses!D:D,'Alloc Amt'!D:D,0))</f>
        <v>Total Prod, Trans, Dist &amp; Gen Plant</v>
      </c>
      <c r="D91" s="56">
        <v>74</v>
      </c>
      <c r="E91" s="57"/>
      <c r="F91" s="46">
        <v>4733023.9572393717</v>
      </c>
      <c r="G91" s="59">
        <f t="shared" si="44"/>
        <v>2785211.7760736793</v>
      </c>
      <c r="H91" s="59">
        <f t="shared" si="44"/>
        <v>591656.62052675709</v>
      </c>
      <c r="I91" s="59">
        <f t="shared" si="44"/>
        <v>575745.87050765264</v>
      </c>
      <c r="J91" s="59">
        <f t="shared" si="44"/>
        <v>314181.11302172951</v>
      </c>
      <c r="K91" s="59">
        <f t="shared" si="44"/>
        <v>234093.41141567327</v>
      </c>
      <c r="L91" s="59">
        <f t="shared" si="44"/>
        <v>1149.2568231248006</v>
      </c>
      <c r="M91" s="59">
        <f t="shared" si="44"/>
        <v>26994.491787409977</v>
      </c>
      <c r="N91" s="59">
        <f t="shared" si="44"/>
        <v>31781.178405585142</v>
      </c>
      <c r="O91" s="59">
        <f t="shared" si="44"/>
        <v>75350.107927450721</v>
      </c>
      <c r="P91" s="59">
        <f t="shared" si="44"/>
        <v>48028.65218990756</v>
      </c>
      <c r="Q91" s="59">
        <f t="shared" si="44"/>
        <v>47291.871968158463</v>
      </c>
      <c r="R91" s="59">
        <f t="shared" si="44"/>
        <v>1539.6065922426396</v>
      </c>
      <c r="T91" s="89">
        <f t="shared" si="45"/>
        <v>0</v>
      </c>
    </row>
    <row r="92" spans="1:20" x14ac:dyDescent="0.25">
      <c r="A92" s="22">
        <v>925</v>
      </c>
      <c r="B92" s="16" t="s">
        <v>376</v>
      </c>
      <c r="C92" s="16" t="str">
        <f>INDEX('Alloc Amt'!B:B,MATCH(Expenses!D:D,'Alloc Amt'!D:D,0))</f>
        <v>Salary &amp; Wages - Total</v>
      </c>
      <c r="D92" s="56">
        <v>78</v>
      </c>
      <c r="E92" s="57"/>
      <c r="F92" s="46">
        <v>5028611.9969101809</v>
      </c>
      <c r="G92" s="59">
        <f t="shared" si="44"/>
        <v>3106685.1711720861</v>
      </c>
      <c r="H92" s="59">
        <f t="shared" si="44"/>
        <v>608223.98416773649</v>
      </c>
      <c r="I92" s="59">
        <f t="shared" si="44"/>
        <v>546221.33817868389</v>
      </c>
      <c r="J92" s="59">
        <f t="shared" si="44"/>
        <v>299691.12988640263</v>
      </c>
      <c r="K92" s="59">
        <f t="shared" si="44"/>
        <v>225126.99963666656</v>
      </c>
      <c r="L92" s="59">
        <f t="shared" si="44"/>
        <v>1090.6159783906337</v>
      </c>
      <c r="M92" s="59">
        <f t="shared" si="44"/>
        <v>25724.635893556566</v>
      </c>
      <c r="N92" s="59">
        <f t="shared" si="44"/>
        <v>30247.578244892367</v>
      </c>
      <c r="O92" s="59">
        <f t="shared" si="44"/>
        <v>71434.824688250243</v>
      </c>
      <c r="P92" s="59">
        <f t="shared" si="44"/>
        <v>43638.115741317633</v>
      </c>
      <c r="Q92" s="59">
        <f t="shared" si="44"/>
        <v>69076.310049127642</v>
      </c>
      <c r="R92" s="59">
        <f t="shared" si="44"/>
        <v>1451.2932730704795</v>
      </c>
      <c r="T92" s="89">
        <f t="shared" si="45"/>
        <v>0</v>
      </c>
    </row>
    <row r="93" spans="1:20" x14ac:dyDescent="0.25">
      <c r="A93" s="22">
        <v>926</v>
      </c>
      <c r="B93" s="16" t="s">
        <v>377</v>
      </c>
      <c r="C93" s="16" t="str">
        <f>INDEX('Alloc Amt'!B:B,MATCH(Expenses!D:D,'Alloc Amt'!D:D,0))</f>
        <v>Salary &amp; Wages - Total</v>
      </c>
      <c r="D93" s="56">
        <v>78</v>
      </c>
      <c r="E93" s="57"/>
      <c r="F93" s="46">
        <v>35454127.155340493</v>
      </c>
      <c r="G93" s="59">
        <f t="shared" si="44"/>
        <v>21903620.951074392</v>
      </c>
      <c r="H93" s="59">
        <f t="shared" si="44"/>
        <v>4288270.89599689</v>
      </c>
      <c r="I93" s="59">
        <f t="shared" si="44"/>
        <v>3851122.4947652696</v>
      </c>
      <c r="J93" s="59">
        <f t="shared" si="44"/>
        <v>2112966.2485093037</v>
      </c>
      <c r="K93" s="59">
        <f t="shared" si="44"/>
        <v>1587253.3566166956</v>
      </c>
      <c r="L93" s="59">
        <f t="shared" si="44"/>
        <v>7689.3658924702004</v>
      </c>
      <c r="M93" s="59">
        <f t="shared" si="44"/>
        <v>181371.02495785998</v>
      </c>
      <c r="N93" s="59">
        <f t="shared" si="44"/>
        <v>213259.93850678069</v>
      </c>
      <c r="O93" s="59">
        <f t="shared" si="44"/>
        <v>503649.78633723722</v>
      </c>
      <c r="P93" s="59">
        <f t="shared" si="44"/>
        <v>307669.65223460953</v>
      </c>
      <c r="Q93" s="59">
        <f t="shared" si="44"/>
        <v>487021.12658687984</v>
      </c>
      <c r="R93" s="59">
        <f t="shared" si="44"/>
        <v>10232.313862104906</v>
      </c>
      <c r="T93" s="89">
        <f t="shared" si="45"/>
        <v>0</v>
      </c>
    </row>
    <row r="94" spans="1:20" x14ac:dyDescent="0.25">
      <c r="A94" s="22">
        <v>928</v>
      </c>
      <c r="B94" s="16" t="s">
        <v>378</v>
      </c>
      <c r="C94" s="16" t="str">
        <f>INDEX('Alloc Amt'!B:B,MATCH(Expenses!D:D,'Alloc Amt'!D:D,0))</f>
        <v>Firm Sales Revenue</v>
      </c>
      <c r="D94" s="56">
        <v>84</v>
      </c>
      <c r="E94" s="57"/>
      <c r="F94" s="46">
        <v>7659023.8861585967</v>
      </c>
      <c r="G94" s="59">
        <f t="shared" si="44"/>
        <v>4241400.9512555385</v>
      </c>
      <c r="H94" s="59">
        <f t="shared" si="44"/>
        <v>1010170.7008039075</v>
      </c>
      <c r="I94" s="59">
        <f t="shared" si="44"/>
        <v>1038217.4451974989</v>
      </c>
      <c r="J94" s="59">
        <f t="shared" si="44"/>
        <v>614718.73306899902</v>
      </c>
      <c r="K94" s="59">
        <f t="shared" si="44"/>
        <v>434363.24124265421</v>
      </c>
      <c r="L94" s="59">
        <f t="shared" si="44"/>
        <v>1027.9034446828339</v>
      </c>
      <c r="M94" s="59">
        <f t="shared" si="44"/>
        <v>40987.986400816255</v>
      </c>
      <c r="N94" s="59">
        <f t="shared" si="44"/>
        <v>21069.205517841994</v>
      </c>
      <c r="O94" s="59">
        <f t="shared" si="44"/>
        <v>153902.25972028796</v>
      </c>
      <c r="P94" s="59">
        <f t="shared" si="44"/>
        <v>38802.753943255826</v>
      </c>
      <c r="Q94" s="59">
        <f t="shared" si="44"/>
        <v>63118.772800850216</v>
      </c>
      <c r="R94" s="59">
        <f t="shared" si="44"/>
        <v>1243.9327622642893</v>
      </c>
      <c r="T94" s="89">
        <f t="shared" si="45"/>
        <v>0</v>
      </c>
    </row>
    <row r="95" spans="1:20" x14ac:dyDescent="0.25">
      <c r="A95" s="22">
        <v>930</v>
      </c>
      <c r="B95" s="16" t="s">
        <v>379</v>
      </c>
      <c r="C95" s="16" t="str">
        <f>INDEX('Alloc Amt'!B:B,MATCH(Expenses!D:D,'Alloc Amt'!D:D,0))</f>
        <v>Adj Total Prod Trans Dist &amp; Cust Exp</v>
      </c>
      <c r="D95" s="56">
        <v>62</v>
      </c>
      <c r="E95" s="57"/>
      <c r="F95" s="46">
        <v>5458093.0235263202</v>
      </c>
      <c r="G95" s="59">
        <f t="shared" si="44"/>
        <v>3480503.3703137925</v>
      </c>
      <c r="H95" s="59">
        <f t="shared" si="44"/>
        <v>666500.10676922859</v>
      </c>
      <c r="I95" s="59">
        <f t="shared" si="44"/>
        <v>551278.49935067561</v>
      </c>
      <c r="J95" s="59">
        <f t="shared" si="44"/>
        <v>303298.52974005247</v>
      </c>
      <c r="K95" s="59">
        <f t="shared" si="44"/>
        <v>241898.60044026442</v>
      </c>
      <c r="L95" s="59">
        <f t="shared" si="44"/>
        <v>1375.8909765810022</v>
      </c>
      <c r="M95" s="59">
        <f t="shared" si="44"/>
        <v>29342.714727622028</v>
      </c>
      <c r="N95" s="59">
        <f t="shared" si="44"/>
        <v>17319.054745562062</v>
      </c>
      <c r="O95" s="59">
        <f t="shared" si="44"/>
        <v>71736.458043300474</v>
      </c>
      <c r="P95" s="59">
        <f t="shared" si="44"/>
        <v>34564.233212663879</v>
      </c>
      <c r="Q95" s="59">
        <f t="shared" si="44"/>
        <v>58619.322184976292</v>
      </c>
      <c r="R95" s="59">
        <f t="shared" si="44"/>
        <v>1656.2430216003218</v>
      </c>
      <c r="T95" s="89">
        <f t="shared" si="45"/>
        <v>0</v>
      </c>
    </row>
    <row r="96" spans="1:20" x14ac:dyDescent="0.25">
      <c r="A96" s="22">
        <v>931</v>
      </c>
      <c r="B96" s="16" t="s">
        <v>380</v>
      </c>
      <c r="C96" s="16" t="str">
        <f>INDEX('Alloc Amt'!B:B,MATCH(Expenses!D:D,'Alloc Amt'!D:D,0))</f>
        <v>Adj Total Prod Trans Dist &amp; Cust Exp</v>
      </c>
      <c r="D96" s="56">
        <v>62</v>
      </c>
      <c r="E96" s="57"/>
      <c r="F96" s="46">
        <v>5083694.1010779496</v>
      </c>
      <c r="G96" s="59">
        <f t="shared" si="44"/>
        <v>3241757.5838629943</v>
      </c>
      <c r="H96" s="59">
        <f t="shared" si="44"/>
        <v>620781.405986642</v>
      </c>
      <c r="I96" s="59">
        <f t="shared" si="44"/>
        <v>513463.44650415971</v>
      </c>
      <c r="J96" s="59">
        <f t="shared" si="44"/>
        <v>282493.70977355685</v>
      </c>
      <c r="K96" s="59">
        <f t="shared" si="44"/>
        <v>225305.52022777448</v>
      </c>
      <c r="L96" s="59">
        <f t="shared" si="44"/>
        <v>1281.5114750192001</v>
      </c>
      <c r="M96" s="59">
        <f t="shared" si="44"/>
        <v>27329.945665537783</v>
      </c>
      <c r="N96" s="59">
        <f t="shared" si="44"/>
        <v>16131.05091224273</v>
      </c>
      <c r="O96" s="59">
        <f t="shared" si="44"/>
        <v>66815.682146681138</v>
      </c>
      <c r="P96" s="59">
        <f t="shared" si="44"/>
        <v>32193.293103307726</v>
      </c>
      <c r="Q96" s="59">
        <f t="shared" si="44"/>
        <v>54598.31870150513</v>
      </c>
      <c r="R96" s="59">
        <f t="shared" si="44"/>
        <v>1542.632718527992</v>
      </c>
      <c r="T96" s="89">
        <f t="shared" si="45"/>
        <v>0</v>
      </c>
    </row>
    <row r="97" spans="1:20" x14ac:dyDescent="0.25">
      <c r="A97" s="25"/>
      <c r="B97" s="24" t="s">
        <v>189</v>
      </c>
      <c r="C97" s="24"/>
      <c r="D97" s="60"/>
      <c r="E97" s="61"/>
      <c r="F97" s="47">
        <f>SUM(F87:F96)</f>
        <v>111069446.1574917</v>
      </c>
      <c r="G97" s="47">
        <f t="shared" ref="G97:R97" si="46">SUM(G87:G96)</f>
        <v>69146346.349988177</v>
      </c>
      <c r="H97" s="47">
        <f t="shared" si="46"/>
        <v>13604603.896875454</v>
      </c>
      <c r="I97" s="47">
        <f t="shared" si="46"/>
        <v>11889086.115530463</v>
      </c>
      <c r="J97" s="47">
        <f t="shared" si="46"/>
        <v>6575352.3405519128</v>
      </c>
      <c r="K97" s="47">
        <f t="shared" si="46"/>
        <v>5059980.7764638886</v>
      </c>
      <c r="L97" s="47">
        <f t="shared" si="46"/>
        <v>25627.010548909697</v>
      </c>
      <c r="M97" s="47">
        <f t="shared" si="46"/>
        <v>587932.69741687074</v>
      </c>
      <c r="N97" s="47">
        <f t="shared" si="46"/>
        <v>481015.15799537284</v>
      </c>
      <c r="O97" s="47">
        <f t="shared" si="46"/>
        <v>1569197.2892823303</v>
      </c>
      <c r="P97" s="47">
        <f t="shared" si="46"/>
        <v>806666.01348895265</v>
      </c>
      <c r="Q97" s="47">
        <f t="shared" si="46"/>
        <v>1291512.356735046</v>
      </c>
      <c r="R97" s="47">
        <f t="shared" si="46"/>
        <v>32126.152614305021</v>
      </c>
      <c r="T97" s="89">
        <f t="shared" si="45"/>
        <v>0</v>
      </c>
    </row>
    <row r="98" spans="1:20" x14ac:dyDescent="0.25">
      <c r="A98" s="22"/>
      <c r="B98" s="16"/>
      <c r="C98" s="16"/>
      <c r="E98" s="57"/>
      <c r="F98" s="46"/>
      <c r="G98" s="57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T98" s="89">
        <f t="shared" si="45"/>
        <v>0</v>
      </c>
    </row>
    <row r="99" spans="1:20" x14ac:dyDescent="0.25">
      <c r="A99" s="25"/>
      <c r="B99" s="24" t="s">
        <v>325</v>
      </c>
      <c r="C99" s="24"/>
      <c r="D99" s="60"/>
      <c r="E99" s="61"/>
      <c r="F99" s="47">
        <f>SUM(F17,F26,F32,F37,F52,F65,F73,F84,F97)</f>
        <v>1073570183.8110689</v>
      </c>
      <c r="G99" s="47">
        <f t="shared" ref="G99:R99" si="47">SUM(G17,G26,G32,G37,G52,G65,G73,G84,G97)</f>
        <v>603582002.21242177</v>
      </c>
      <c r="H99" s="47">
        <f t="shared" si="47"/>
        <v>139538080.19056103</v>
      </c>
      <c r="I99" s="47">
        <f t="shared" si="47"/>
        <v>143381573.13676649</v>
      </c>
      <c r="J99" s="47">
        <f t="shared" si="47"/>
        <v>87223670.333057404</v>
      </c>
      <c r="K99" s="47">
        <f t="shared" si="47"/>
        <v>62140650.274055541</v>
      </c>
      <c r="L99" s="47">
        <f t="shared" si="47"/>
        <v>185818.21451023826</v>
      </c>
      <c r="M99" s="47">
        <f t="shared" si="47"/>
        <v>4534636.1455547325</v>
      </c>
      <c r="N99" s="47">
        <f t="shared" si="47"/>
        <v>1133130.9246326024</v>
      </c>
      <c r="O99" s="47">
        <f t="shared" si="47"/>
        <v>24462265.852589723</v>
      </c>
      <c r="P99" s="47">
        <f t="shared" si="47"/>
        <v>2532675.241888735</v>
      </c>
      <c r="Q99" s="47">
        <f t="shared" si="47"/>
        <v>4520126.8005947806</v>
      </c>
      <c r="R99" s="47">
        <f t="shared" si="47"/>
        <v>335554.4844360493</v>
      </c>
      <c r="T99" s="89">
        <f t="shared" si="45"/>
        <v>0</v>
      </c>
    </row>
    <row r="100" spans="1:20" x14ac:dyDescent="0.25">
      <c r="A100" s="22"/>
      <c r="B100" s="16"/>
      <c r="C100" s="16"/>
      <c r="E100" s="57"/>
      <c r="F100" s="46"/>
      <c r="G100" s="57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T100" s="89">
        <f t="shared" si="45"/>
        <v>0</v>
      </c>
    </row>
    <row r="101" spans="1:20" x14ac:dyDescent="0.25">
      <c r="A101" s="22"/>
      <c r="B101" s="20" t="s">
        <v>381</v>
      </c>
      <c r="C101" s="16"/>
      <c r="E101" s="57"/>
      <c r="F101" s="46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T101" s="89">
        <f t="shared" si="45"/>
        <v>0</v>
      </c>
    </row>
    <row r="102" spans="1:20" x14ac:dyDescent="0.25">
      <c r="A102" s="22">
        <v>591</v>
      </c>
      <c r="B102" s="16" t="s">
        <v>382</v>
      </c>
      <c r="C102" s="16" t="str">
        <f>INDEX('Alloc Amt'!B:B,MATCH(Expenses!D:D,'Alloc Amt'!D:D,0))</f>
        <v>Total Struct and Improvements</v>
      </c>
      <c r="D102" s="56">
        <v>55</v>
      </c>
      <c r="E102" s="57"/>
      <c r="F102" s="46">
        <v>-4.9500000000000401</v>
      </c>
      <c r="G102" s="59">
        <f t="shared" ref="G102:R109" si="48">INDEX(Alloc,($D102),(G$1))*$F102</f>
        <v>-2.3170248352909937</v>
      </c>
      <c r="H102" s="59">
        <f t="shared" si="48"/>
        <v>-0.63784048762427215</v>
      </c>
      <c r="I102" s="59">
        <f t="shared" si="48"/>
        <v>-0.79218455723725789</v>
      </c>
      <c r="J102" s="59">
        <f t="shared" si="48"/>
        <v>-0.46072244973031046</v>
      </c>
      <c r="K102" s="59">
        <f t="shared" si="48"/>
        <v>-0.30246432014979041</v>
      </c>
      <c r="L102" s="59">
        <f t="shared" si="48"/>
        <v>-6.5776992984363989E-7</v>
      </c>
      <c r="M102" s="59">
        <f t="shared" si="48"/>
        <v>-3.7186036328815411E-2</v>
      </c>
      <c r="N102" s="59">
        <f t="shared" si="48"/>
        <v>-0.21934799521229179</v>
      </c>
      <c r="O102" s="59">
        <f t="shared" si="48"/>
        <v>-8.1998327530696677E-2</v>
      </c>
      <c r="P102" s="59">
        <f t="shared" si="48"/>
        <v>-9.7191625756441205E-2</v>
      </c>
      <c r="Q102" s="59">
        <f t="shared" si="48"/>
        <v>-3.5207135494880822E-3</v>
      </c>
      <c r="R102" s="59">
        <f t="shared" si="48"/>
        <v>-5.1799381975186634E-4</v>
      </c>
      <c r="T102" s="89">
        <f t="shared" si="45"/>
        <v>0</v>
      </c>
    </row>
    <row r="103" spans="1:20" x14ac:dyDescent="0.25">
      <c r="A103" s="22">
        <v>592</v>
      </c>
      <c r="B103" s="16" t="s">
        <v>383</v>
      </c>
      <c r="C103" s="16" t="str">
        <f>INDEX('Alloc Amt'!B:B,MATCH(Expenses!D:D,'Alloc Amt'!D:D,0))</f>
        <v>Total Station Equip</v>
      </c>
      <c r="D103" s="56">
        <v>56</v>
      </c>
      <c r="E103" s="57"/>
      <c r="F103" s="46">
        <v>1517580.5299129421</v>
      </c>
      <c r="G103" s="59">
        <f t="shared" si="48"/>
        <v>786999.68047471577</v>
      </c>
      <c r="H103" s="59">
        <f t="shared" si="48"/>
        <v>190276.02151185702</v>
      </c>
      <c r="I103" s="59">
        <f t="shared" si="48"/>
        <v>209073.32046527226</v>
      </c>
      <c r="J103" s="59">
        <f t="shared" si="48"/>
        <v>111246.17308995282</v>
      </c>
      <c r="K103" s="59">
        <f t="shared" si="48"/>
        <v>101149.66350552623</v>
      </c>
      <c r="L103" s="59">
        <f t="shared" si="48"/>
        <v>364.17289023270968</v>
      </c>
      <c r="M103" s="59">
        <f t="shared" si="48"/>
        <v>11373.746617277835</v>
      </c>
      <c r="N103" s="59">
        <f t="shared" si="48"/>
        <v>48828.714919468213</v>
      </c>
      <c r="O103" s="59">
        <f t="shared" si="48"/>
        <v>39657.948865601487</v>
      </c>
      <c r="P103" s="59">
        <f t="shared" si="48"/>
        <v>17085.981765228986</v>
      </c>
      <c r="Q103" s="59">
        <f t="shared" si="48"/>
        <v>1137.3980786020527</v>
      </c>
      <c r="R103" s="59">
        <f t="shared" si="48"/>
        <v>387.70772920688574</v>
      </c>
      <c r="T103" s="89">
        <f t="shared" si="45"/>
        <v>0</v>
      </c>
    </row>
    <row r="104" spans="1:20" x14ac:dyDescent="0.25">
      <c r="A104" s="22">
        <v>593</v>
      </c>
      <c r="B104" s="16" t="s">
        <v>347</v>
      </c>
      <c r="C104" s="16" t="str">
        <f>INDEX('Alloc Amt'!B:B,MATCH(Expenses!D:D,'Alloc Amt'!D:D,0))</f>
        <v>Total OVHD Lines</v>
      </c>
      <c r="D104" s="56">
        <v>57</v>
      </c>
      <c r="E104" s="57"/>
      <c r="F104" s="46">
        <v>35807045.891251087</v>
      </c>
      <c r="G104" s="59">
        <f t="shared" si="48"/>
        <v>24676585.211566951</v>
      </c>
      <c r="H104" s="59">
        <f t="shared" si="48"/>
        <v>4508837.4649111638</v>
      </c>
      <c r="I104" s="59">
        <f t="shared" si="48"/>
        <v>3505303.2202523295</v>
      </c>
      <c r="J104" s="59">
        <f t="shared" si="48"/>
        <v>1386643.0175794782</v>
      </c>
      <c r="K104" s="59">
        <f t="shared" si="48"/>
        <v>1297959.432296243</v>
      </c>
      <c r="L104" s="59">
        <f t="shared" si="48"/>
        <v>32510.12209896386</v>
      </c>
      <c r="M104" s="59">
        <f t="shared" si="48"/>
        <v>349771.5127594276</v>
      </c>
      <c r="N104" s="59">
        <f t="shared" si="48"/>
        <v>3044.2532515009184</v>
      </c>
      <c r="O104" s="59">
        <f t="shared" si="48"/>
        <v>0</v>
      </c>
      <c r="P104" s="59">
        <f t="shared" si="48"/>
        <v>0</v>
      </c>
      <c r="Q104" s="59">
        <f t="shared" si="48"/>
        <v>21685.402240791158</v>
      </c>
      <c r="R104" s="59">
        <f t="shared" si="48"/>
        <v>24706.254294234706</v>
      </c>
      <c r="T104" s="89">
        <f t="shared" si="45"/>
        <v>0</v>
      </c>
    </row>
    <row r="105" spans="1:20" x14ac:dyDescent="0.25">
      <c r="A105" s="22">
        <v>594</v>
      </c>
      <c r="B105" s="16" t="s">
        <v>348</v>
      </c>
      <c r="C105" s="16" t="str">
        <f>INDEX('Alloc Amt'!B:B,MATCH(Expenses!D:D,'Alloc Amt'!D:D,0))</f>
        <v>Total UNGD Lines</v>
      </c>
      <c r="D105" s="56">
        <v>58</v>
      </c>
      <c r="E105" s="57"/>
      <c r="F105" s="46">
        <v>12335802.999784056</v>
      </c>
      <c r="G105" s="59">
        <f t="shared" si="48"/>
        <v>8164260.3167417655</v>
      </c>
      <c r="H105" s="59">
        <f t="shared" si="48"/>
        <v>1454771.3082630883</v>
      </c>
      <c r="I105" s="59">
        <f t="shared" si="48"/>
        <v>1357561.9783692267</v>
      </c>
      <c r="J105" s="59">
        <f t="shared" si="48"/>
        <v>589415.77848515729</v>
      </c>
      <c r="K105" s="59">
        <f t="shared" si="48"/>
        <v>420418.32093329163</v>
      </c>
      <c r="L105" s="59">
        <f t="shared" si="48"/>
        <v>4992.805928954529</v>
      </c>
      <c r="M105" s="59">
        <f t="shared" si="48"/>
        <v>130907.76219988969</v>
      </c>
      <c r="N105" s="59">
        <f t="shared" si="48"/>
        <v>164408.62892545509</v>
      </c>
      <c r="O105" s="59">
        <f t="shared" si="48"/>
        <v>39911.38969979564</v>
      </c>
      <c r="P105" s="59">
        <f t="shared" si="48"/>
        <v>239.84471127403702</v>
      </c>
      <c r="Q105" s="59">
        <f t="shared" si="48"/>
        <v>5594.3488119610984</v>
      </c>
      <c r="R105" s="59">
        <f t="shared" si="48"/>
        <v>3320.5167141962643</v>
      </c>
      <c r="T105" s="89">
        <f t="shared" si="45"/>
        <v>0</v>
      </c>
    </row>
    <row r="106" spans="1:20" x14ac:dyDescent="0.25">
      <c r="A106" s="22">
        <v>595</v>
      </c>
      <c r="B106" s="16" t="s">
        <v>384</v>
      </c>
      <c r="C106" s="16" t="str">
        <f>INDEX('Alloc Amt'!B:B,MATCH(Expenses!D:D,'Alloc Amt'!D:D,0))</f>
        <v>Total Transformers</v>
      </c>
      <c r="D106" s="56">
        <v>59</v>
      </c>
      <c r="E106" s="57"/>
      <c r="F106" s="46">
        <v>174095.19128056592</v>
      </c>
      <c r="G106" s="59">
        <f t="shared" si="48"/>
        <v>133811.12333256874</v>
      </c>
      <c r="H106" s="59">
        <f t="shared" si="48"/>
        <v>21101.428452788619</v>
      </c>
      <c r="I106" s="59">
        <f t="shared" si="48"/>
        <v>7612.5851484937657</v>
      </c>
      <c r="J106" s="59">
        <f t="shared" si="48"/>
        <v>1816.8313499204373</v>
      </c>
      <c r="K106" s="59">
        <f t="shared" si="48"/>
        <v>873.95922458193309</v>
      </c>
      <c r="L106" s="59">
        <f t="shared" si="48"/>
        <v>0</v>
      </c>
      <c r="M106" s="59">
        <f t="shared" si="48"/>
        <v>50.087887975107023</v>
      </c>
      <c r="N106" s="59">
        <f t="shared" si="48"/>
        <v>1696.3875406277702</v>
      </c>
      <c r="O106" s="59">
        <f t="shared" si="48"/>
        <v>0</v>
      </c>
      <c r="P106" s="59">
        <f t="shared" si="48"/>
        <v>0</v>
      </c>
      <c r="Q106" s="59">
        <f t="shared" si="48"/>
        <v>7112.2259756132007</v>
      </c>
      <c r="R106" s="59">
        <f t="shared" si="48"/>
        <v>20.562367996360308</v>
      </c>
      <c r="T106" s="89">
        <f t="shared" si="45"/>
        <v>0</v>
      </c>
    </row>
    <row r="107" spans="1:20" x14ac:dyDescent="0.25">
      <c r="A107" s="22">
        <v>596</v>
      </c>
      <c r="B107" s="16" t="s">
        <v>349</v>
      </c>
      <c r="C107" s="16" t="str">
        <f>INDEX('Alloc Amt'!B:B,MATCH(Expenses!D:D,'Alloc Amt'!D:D,0))</f>
        <v>Str. &amp; Signal Systems</v>
      </c>
      <c r="D107" s="56">
        <v>12</v>
      </c>
      <c r="E107" s="57"/>
      <c r="F107" s="46">
        <v>2000850.553615283</v>
      </c>
      <c r="G107" s="59">
        <f t="shared" si="48"/>
        <v>0</v>
      </c>
      <c r="H107" s="59">
        <f t="shared" si="48"/>
        <v>0</v>
      </c>
      <c r="I107" s="59">
        <f t="shared" si="48"/>
        <v>0</v>
      </c>
      <c r="J107" s="59">
        <f t="shared" si="48"/>
        <v>0</v>
      </c>
      <c r="K107" s="59">
        <f t="shared" si="48"/>
        <v>0</v>
      </c>
      <c r="L107" s="59">
        <f t="shared" si="48"/>
        <v>0</v>
      </c>
      <c r="M107" s="59">
        <f t="shared" si="48"/>
        <v>0</v>
      </c>
      <c r="N107" s="59">
        <f t="shared" si="48"/>
        <v>0</v>
      </c>
      <c r="O107" s="59">
        <f t="shared" si="48"/>
        <v>0</v>
      </c>
      <c r="P107" s="59">
        <f t="shared" si="48"/>
        <v>0</v>
      </c>
      <c r="Q107" s="59">
        <f t="shared" si="48"/>
        <v>2000850.553615283</v>
      </c>
      <c r="R107" s="59">
        <f t="shared" si="48"/>
        <v>0</v>
      </c>
      <c r="T107" s="89">
        <f t="shared" si="45"/>
        <v>0</v>
      </c>
    </row>
    <row r="108" spans="1:20" x14ac:dyDescent="0.25">
      <c r="A108" s="22">
        <v>597</v>
      </c>
      <c r="B108" s="16" t="s">
        <v>385</v>
      </c>
      <c r="C108" s="16" t="str">
        <f>INDEX('Alloc Amt'!B:B,MATCH(Expenses!D:D,'Alloc Amt'!D:D,0))</f>
        <v>Meter Investment</v>
      </c>
      <c r="D108" s="56">
        <v>19</v>
      </c>
      <c r="E108" s="57"/>
      <c r="F108" s="46">
        <v>532950.46671577066</v>
      </c>
      <c r="G108" s="59">
        <f t="shared" si="48"/>
        <v>346005.28157058597</v>
      </c>
      <c r="H108" s="59">
        <f t="shared" si="48"/>
        <v>97118.645898711315</v>
      </c>
      <c r="I108" s="59">
        <f t="shared" si="48"/>
        <v>28702.065652725109</v>
      </c>
      <c r="J108" s="59">
        <f t="shared" si="48"/>
        <v>3225.865986024141</v>
      </c>
      <c r="K108" s="59">
        <f t="shared" si="48"/>
        <v>38638.781125996007</v>
      </c>
      <c r="L108" s="59">
        <f t="shared" si="48"/>
        <v>125.27910277462107</v>
      </c>
      <c r="M108" s="59">
        <f t="shared" si="48"/>
        <v>12487.346498412075</v>
      </c>
      <c r="N108" s="59">
        <f t="shared" si="48"/>
        <v>2525.5839784453915</v>
      </c>
      <c r="O108" s="59">
        <f t="shared" si="48"/>
        <v>1568.3816342540404</v>
      </c>
      <c r="P108" s="59">
        <f t="shared" si="48"/>
        <v>2525.0809129067861</v>
      </c>
      <c r="Q108" s="59">
        <f t="shared" si="48"/>
        <v>0</v>
      </c>
      <c r="R108" s="59">
        <f t="shared" si="48"/>
        <v>28.15435493514163</v>
      </c>
      <c r="T108" s="89">
        <f t="shared" si="45"/>
        <v>0</v>
      </c>
    </row>
    <row r="109" spans="1:20" x14ac:dyDescent="0.25">
      <c r="A109" s="22">
        <v>590</v>
      </c>
      <c r="B109" s="16" t="s">
        <v>386</v>
      </c>
      <c r="C109" s="16" t="str">
        <f>INDEX('Alloc Amt'!B:B,MATCH(Expenses!D:D,'Alloc Amt'!D:D,0))</f>
        <v>Dist O&amp;M - ID591.00 to ID597.00 Subtotal</v>
      </c>
      <c r="D109" s="56">
        <v>66</v>
      </c>
      <c r="E109" s="57"/>
      <c r="F109" s="46">
        <v>541367.62414587464</v>
      </c>
      <c r="G109" s="59">
        <f t="shared" si="48"/>
        <v>352594.51206271112</v>
      </c>
      <c r="H109" s="59">
        <f t="shared" si="48"/>
        <v>64839.088246136678</v>
      </c>
      <c r="I109" s="59">
        <f t="shared" si="48"/>
        <v>52807.545042700454</v>
      </c>
      <c r="J109" s="59">
        <f t="shared" si="48"/>
        <v>21630.043142707858</v>
      </c>
      <c r="K109" s="59">
        <f t="shared" si="48"/>
        <v>19218.183362981246</v>
      </c>
      <c r="L109" s="59">
        <f t="shared" si="48"/>
        <v>392.75356244274974</v>
      </c>
      <c r="M109" s="59">
        <f t="shared" si="48"/>
        <v>5216.300859367082</v>
      </c>
      <c r="N109" s="59">
        <f t="shared" si="48"/>
        <v>2279.4959386373966</v>
      </c>
      <c r="O109" s="59">
        <f t="shared" si="48"/>
        <v>838.77599757531721</v>
      </c>
      <c r="P109" s="59">
        <f t="shared" si="48"/>
        <v>205.21158238560824</v>
      </c>
      <c r="Q109" s="59">
        <f t="shared" si="48"/>
        <v>21051.470576024287</v>
      </c>
      <c r="R109" s="59">
        <f t="shared" si="48"/>
        <v>294.2437722047232</v>
      </c>
      <c r="T109" s="89">
        <f t="shared" si="45"/>
        <v>0</v>
      </c>
    </row>
    <row r="110" spans="1:20" x14ac:dyDescent="0.25">
      <c r="A110" s="25"/>
      <c r="B110" s="24" t="s">
        <v>189</v>
      </c>
      <c r="C110" s="24"/>
      <c r="D110" s="60"/>
      <c r="E110" s="61"/>
      <c r="F110" s="47">
        <f>SUM(F102:F109)</f>
        <v>52909688.306705572</v>
      </c>
      <c r="G110" s="47">
        <f t="shared" ref="G110:R110" si="49">SUM(G102:G109)</f>
        <v>34460253.808724463</v>
      </c>
      <c r="H110" s="47">
        <f t="shared" si="49"/>
        <v>6336943.3194432585</v>
      </c>
      <c r="I110" s="47">
        <f t="shared" si="49"/>
        <v>5161059.9227461899</v>
      </c>
      <c r="J110" s="47">
        <f t="shared" si="49"/>
        <v>2113977.2489107908</v>
      </c>
      <c r="K110" s="47">
        <f t="shared" si="49"/>
        <v>1878258.0379843002</v>
      </c>
      <c r="L110" s="47">
        <f t="shared" si="49"/>
        <v>38385.133582710696</v>
      </c>
      <c r="M110" s="47">
        <f t="shared" si="49"/>
        <v>509806.71963631304</v>
      </c>
      <c r="N110" s="47">
        <f t="shared" si="49"/>
        <v>222782.84520613958</v>
      </c>
      <c r="O110" s="47">
        <f t="shared" si="49"/>
        <v>81976.414198898943</v>
      </c>
      <c r="P110" s="47">
        <f t="shared" si="49"/>
        <v>20056.02178016966</v>
      </c>
      <c r="Q110" s="47">
        <f t="shared" si="49"/>
        <v>2057431.3957775612</v>
      </c>
      <c r="R110" s="47">
        <f t="shared" si="49"/>
        <v>28757.438714780259</v>
      </c>
      <c r="T110" s="89">
        <f t="shared" si="45"/>
        <v>0</v>
      </c>
    </row>
    <row r="111" spans="1:20" x14ac:dyDescent="0.25">
      <c r="A111" s="22"/>
      <c r="B111" s="16"/>
      <c r="C111" s="16"/>
      <c r="E111" s="57"/>
      <c r="F111" s="46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T111" s="89">
        <f t="shared" si="45"/>
        <v>0</v>
      </c>
    </row>
    <row r="112" spans="1:20" x14ac:dyDescent="0.25">
      <c r="A112" s="22"/>
      <c r="B112" s="20" t="s">
        <v>387</v>
      </c>
      <c r="C112" s="16"/>
      <c r="E112" s="57"/>
      <c r="F112" s="46"/>
      <c r="G112" s="57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T112" s="89">
        <f t="shared" si="45"/>
        <v>0</v>
      </c>
    </row>
    <row r="113" spans="1:20" x14ac:dyDescent="0.25">
      <c r="A113" s="22">
        <v>935</v>
      </c>
      <c r="B113" s="16" t="s">
        <v>388</v>
      </c>
      <c r="C113" s="16" t="str">
        <f>INDEX('Alloc Amt'!B:B,MATCH(Expenses!D:D,'Alloc Amt'!D:D,0))</f>
        <v>Total General Plant</v>
      </c>
      <c r="D113" s="56">
        <v>70</v>
      </c>
      <c r="E113" s="57"/>
      <c r="F113" s="46">
        <v>16720545.192083759</v>
      </c>
      <c r="G113" s="59">
        <f t="shared" ref="G113:R113" si="50">INDEX(Alloc,($D113),(G$1))*$F113</f>
        <v>10305182.972595084</v>
      </c>
      <c r="H113" s="59">
        <f t="shared" si="50"/>
        <v>2026076.249424764</v>
      </c>
      <c r="I113" s="59">
        <f t="shared" si="50"/>
        <v>1827696.2036575298</v>
      </c>
      <c r="J113" s="59">
        <f t="shared" si="50"/>
        <v>1002321.6095741073</v>
      </c>
      <c r="K113" s="59">
        <f t="shared" si="50"/>
        <v>752647.85742936644</v>
      </c>
      <c r="L113" s="59">
        <f t="shared" si="50"/>
        <v>3651.9800515129095</v>
      </c>
      <c r="M113" s="59">
        <f t="shared" si="50"/>
        <v>86109.266080891088</v>
      </c>
      <c r="N113" s="59">
        <f t="shared" si="50"/>
        <v>101127.62480416034</v>
      </c>
      <c r="O113" s="59">
        <f t="shared" si="50"/>
        <v>238938.17515181436</v>
      </c>
      <c r="P113" s="59">
        <f t="shared" si="50"/>
        <v>145483.60923933916</v>
      </c>
      <c r="Q113" s="59">
        <f t="shared" si="50"/>
        <v>226450.94048686084</v>
      </c>
      <c r="R113" s="59">
        <f t="shared" si="50"/>
        <v>4858.7035883312556</v>
      </c>
      <c r="T113" s="89">
        <f t="shared" si="45"/>
        <v>0</v>
      </c>
    </row>
    <row r="114" spans="1:20" x14ac:dyDescent="0.25">
      <c r="A114" s="25"/>
      <c r="B114" s="24" t="s">
        <v>189</v>
      </c>
      <c r="C114" s="24"/>
      <c r="D114" s="60"/>
      <c r="E114" s="61"/>
      <c r="F114" s="47">
        <f>SUM(F113)</f>
        <v>16720545.192083759</v>
      </c>
      <c r="G114" s="47">
        <f t="shared" ref="G114:R114" si="51">SUM(G113)</f>
        <v>10305182.972595084</v>
      </c>
      <c r="H114" s="47">
        <f t="shared" si="51"/>
        <v>2026076.249424764</v>
      </c>
      <c r="I114" s="47">
        <f t="shared" si="51"/>
        <v>1827696.2036575298</v>
      </c>
      <c r="J114" s="47">
        <f t="shared" si="51"/>
        <v>1002321.6095741073</v>
      </c>
      <c r="K114" s="47">
        <f t="shared" si="51"/>
        <v>752647.85742936644</v>
      </c>
      <c r="L114" s="47">
        <f t="shared" si="51"/>
        <v>3651.9800515129095</v>
      </c>
      <c r="M114" s="47">
        <f t="shared" si="51"/>
        <v>86109.266080891088</v>
      </c>
      <c r="N114" s="47">
        <f t="shared" si="51"/>
        <v>101127.62480416034</v>
      </c>
      <c r="O114" s="47">
        <f t="shared" si="51"/>
        <v>238938.17515181436</v>
      </c>
      <c r="P114" s="47">
        <f t="shared" si="51"/>
        <v>145483.60923933916</v>
      </c>
      <c r="Q114" s="47">
        <f t="shared" si="51"/>
        <v>226450.94048686084</v>
      </c>
      <c r="R114" s="47">
        <f t="shared" si="51"/>
        <v>4858.7035883312556</v>
      </c>
      <c r="T114" s="89">
        <f t="shared" si="45"/>
        <v>0</v>
      </c>
    </row>
    <row r="115" spans="1:20" x14ac:dyDescent="0.25">
      <c r="A115" s="22"/>
      <c r="B115" s="16"/>
      <c r="C115" s="16"/>
      <c r="E115" s="57"/>
      <c r="F115" s="46"/>
      <c r="G115" s="57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T115" s="89">
        <f t="shared" si="45"/>
        <v>0</v>
      </c>
    </row>
    <row r="116" spans="1:20" x14ac:dyDescent="0.25">
      <c r="A116" s="25"/>
      <c r="B116" s="24" t="s">
        <v>389</v>
      </c>
      <c r="C116" s="24"/>
      <c r="D116" s="60"/>
      <c r="E116" s="61"/>
      <c r="F116" s="47">
        <f>F110+F114</f>
        <v>69630233.498789325</v>
      </c>
      <c r="G116" s="47">
        <f t="shared" ref="G116:R116" si="52">G110+G114</f>
        <v>44765436.781319544</v>
      </c>
      <c r="H116" s="47">
        <f t="shared" si="52"/>
        <v>8363019.5688680224</v>
      </c>
      <c r="I116" s="47">
        <f t="shared" si="52"/>
        <v>6988756.1264037192</v>
      </c>
      <c r="J116" s="47">
        <f t="shared" si="52"/>
        <v>3116298.8584848982</v>
      </c>
      <c r="K116" s="47">
        <f t="shared" si="52"/>
        <v>2630905.8954136665</v>
      </c>
      <c r="L116" s="47">
        <f t="shared" si="52"/>
        <v>42037.113634223606</v>
      </c>
      <c r="M116" s="47">
        <f t="shared" si="52"/>
        <v>595915.98571720417</v>
      </c>
      <c r="N116" s="47">
        <f t="shared" si="52"/>
        <v>323910.47001029993</v>
      </c>
      <c r="O116" s="47">
        <f t="shared" si="52"/>
        <v>320914.5893507133</v>
      </c>
      <c r="P116" s="47">
        <f t="shared" si="52"/>
        <v>165539.63101950882</v>
      </c>
      <c r="Q116" s="47">
        <f t="shared" si="52"/>
        <v>2283882.3362644222</v>
      </c>
      <c r="R116" s="47">
        <f t="shared" si="52"/>
        <v>33616.142303111512</v>
      </c>
      <c r="T116" s="89">
        <f t="shared" si="45"/>
        <v>0</v>
      </c>
    </row>
    <row r="117" spans="1:20" x14ac:dyDescent="0.25">
      <c r="A117" s="22"/>
      <c r="B117" s="16"/>
      <c r="C117" s="16"/>
      <c r="E117" s="57"/>
      <c r="F117" s="46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T117" s="89">
        <f t="shared" si="45"/>
        <v>0</v>
      </c>
    </row>
    <row r="118" spans="1:20" x14ac:dyDescent="0.25">
      <c r="A118" s="25"/>
      <c r="B118" s="24" t="s">
        <v>390</v>
      </c>
      <c r="C118" s="24"/>
      <c r="D118" s="60"/>
      <c r="E118" s="47"/>
      <c r="F118" s="109">
        <f>SUM(F99,F116)</f>
        <v>1143200417.3098583</v>
      </c>
      <c r="G118" s="109">
        <f t="shared" ref="G118:R118" si="53">SUM(G99,G116)</f>
        <v>648347438.99374127</v>
      </c>
      <c r="H118" s="109">
        <f t="shared" si="53"/>
        <v>147901099.75942904</v>
      </c>
      <c r="I118" s="109">
        <f t="shared" si="53"/>
        <v>150370329.26317021</v>
      </c>
      <c r="J118" s="109">
        <f t="shared" si="53"/>
        <v>90339969.191542298</v>
      </c>
      <c r="K118" s="109">
        <f t="shared" si="53"/>
        <v>64771556.169469208</v>
      </c>
      <c r="L118" s="109">
        <f t="shared" si="53"/>
        <v>227855.32814446188</v>
      </c>
      <c r="M118" s="109">
        <f t="shared" si="53"/>
        <v>5130552.1312719369</v>
      </c>
      <c r="N118" s="109">
        <f t="shared" si="53"/>
        <v>1457041.3946429023</v>
      </c>
      <c r="O118" s="109">
        <f t="shared" si="53"/>
        <v>24783180.441940434</v>
      </c>
      <c r="P118" s="109">
        <f t="shared" si="53"/>
        <v>2698214.8729082439</v>
      </c>
      <c r="Q118" s="109">
        <f t="shared" si="53"/>
        <v>6804009.1368592028</v>
      </c>
      <c r="R118" s="109">
        <f t="shared" si="53"/>
        <v>369170.6267391608</v>
      </c>
      <c r="T118" s="89">
        <f t="shared" si="45"/>
        <v>0</v>
      </c>
    </row>
    <row r="119" spans="1:20" x14ac:dyDescent="0.25">
      <c r="A119" s="22"/>
      <c r="B119" s="16"/>
      <c r="C119" s="16"/>
      <c r="E119" s="57"/>
      <c r="F119" s="46"/>
      <c r="G119" s="57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T119" s="89">
        <f t="shared" si="45"/>
        <v>0</v>
      </c>
    </row>
    <row r="120" spans="1:20" x14ac:dyDescent="0.25">
      <c r="A120" s="22"/>
      <c r="B120" s="20" t="s">
        <v>391</v>
      </c>
      <c r="C120" s="16"/>
      <c r="E120" s="57"/>
      <c r="F120" s="46"/>
      <c r="G120" s="57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T120" s="89">
        <f t="shared" si="45"/>
        <v>0</v>
      </c>
    </row>
    <row r="121" spans="1:20" x14ac:dyDescent="0.25">
      <c r="A121" s="22">
        <v>403.01</v>
      </c>
      <c r="B121" s="16" t="s">
        <v>392</v>
      </c>
      <c r="C121" s="16" t="str">
        <f>INDEX('Alloc Amt'!B:B,MATCH(Expenses!D:D,'Alloc Amt'!D:D,0))</f>
        <v>Total Production Plant</v>
      </c>
      <c r="D121" s="56">
        <v>73</v>
      </c>
      <c r="E121" s="57"/>
      <c r="F121" s="46">
        <v>42426879.411666438</v>
      </c>
      <c r="G121" s="59">
        <f t="shared" ref="G121:R123" si="54">INDEX(Alloc,($D121),(G$1))*$F121</f>
        <v>22967080.926459365</v>
      </c>
      <c r="H121" s="59">
        <f t="shared" si="54"/>
        <v>5625298.1356887063</v>
      </c>
      <c r="I121" s="59">
        <f t="shared" si="54"/>
        <v>6169748.5343320724</v>
      </c>
      <c r="J121" s="59">
        <f t="shared" si="54"/>
        <v>3717172.5729726865</v>
      </c>
      <c r="K121" s="59">
        <f t="shared" si="54"/>
        <v>2598573.1681421376</v>
      </c>
      <c r="L121" s="59">
        <f t="shared" si="54"/>
        <v>5648.1443457221549</v>
      </c>
      <c r="M121" s="59">
        <f t="shared" si="54"/>
        <v>155113.8572418862</v>
      </c>
      <c r="N121" s="59">
        <f t="shared" si="54"/>
        <v>0</v>
      </c>
      <c r="O121" s="59">
        <f t="shared" si="54"/>
        <v>1048479.9417769338</v>
      </c>
      <c r="P121" s="59">
        <f t="shared" si="54"/>
        <v>0</v>
      </c>
      <c r="Q121" s="59">
        <f t="shared" si="54"/>
        <v>124976.34372509185</v>
      </c>
      <c r="R121" s="59">
        <f t="shared" si="54"/>
        <v>14787.786981834806</v>
      </c>
      <c r="T121" s="89">
        <f t="shared" si="45"/>
        <v>0</v>
      </c>
    </row>
    <row r="122" spans="1:20" x14ac:dyDescent="0.25">
      <c r="A122" s="22">
        <v>403.02</v>
      </c>
      <c r="B122" s="16" t="s">
        <v>393</v>
      </c>
      <c r="C122" s="16" t="str">
        <f>INDEX('Alloc Amt'!B:B,MATCH(Expenses!D:D,'Alloc Amt'!D:D,0))</f>
        <v>Total Production Plant</v>
      </c>
      <c r="D122" s="56">
        <v>73</v>
      </c>
      <c r="E122" s="57"/>
      <c r="F122" s="46">
        <v>19269085.490000002</v>
      </c>
      <c r="G122" s="59">
        <f t="shared" si="54"/>
        <v>10430996.857760916</v>
      </c>
      <c r="H122" s="59">
        <f t="shared" si="54"/>
        <v>2554850.8913789522</v>
      </c>
      <c r="I122" s="59">
        <f t="shared" si="54"/>
        <v>2802124.8229525951</v>
      </c>
      <c r="J122" s="59">
        <f t="shared" si="54"/>
        <v>1688234.3712980759</v>
      </c>
      <c r="K122" s="59">
        <f t="shared" si="54"/>
        <v>1180198.2427956343</v>
      </c>
      <c r="L122" s="59">
        <f t="shared" si="54"/>
        <v>2565.2269921047568</v>
      </c>
      <c r="M122" s="59">
        <f t="shared" si="54"/>
        <v>70448.315250253363</v>
      </c>
      <c r="N122" s="59">
        <f t="shared" si="54"/>
        <v>0</v>
      </c>
      <c r="O122" s="59">
        <f t="shared" si="54"/>
        <v>476189.85682681442</v>
      </c>
      <c r="P122" s="59">
        <f t="shared" si="54"/>
        <v>0</v>
      </c>
      <c r="Q122" s="59">
        <f t="shared" si="54"/>
        <v>56760.711248638872</v>
      </c>
      <c r="R122" s="59">
        <f t="shared" si="54"/>
        <v>6716.193496015876</v>
      </c>
      <c r="T122" s="89">
        <f t="shared" si="45"/>
        <v>0</v>
      </c>
    </row>
    <row r="123" spans="1:20" x14ac:dyDescent="0.25">
      <c r="A123" s="22">
        <v>403.03</v>
      </c>
      <c r="B123" s="16" t="s">
        <v>394</v>
      </c>
      <c r="C123" s="16" t="str">
        <f>INDEX('Alloc Amt'!B:B,MATCH(Expenses!D:D,'Alloc Amt'!D:D,0))</f>
        <v>Total Production Plant</v>
      </c>
      <c r="D123" s="56">
        <v>73</v>
      </c>
      <c r="E123" s="57"/>
      <c r="F123" s="46">
        <v>74989413.669999972</v>
      </c>
      <c r="G123" s="59">
        <f t="shared" si="54"/>
        <v>40594263.737272106</v>
      </c>
      <c r="H123" s="59">
        <f t="shared" si="54"/>
        <v>9942701.7674612217</v>
      </c>
      <c r="I123" s="59">
        <f t="shared" si="54"/>
        <v>10905016.619103055</v>
      </c>
      <c r="J123" s="59">
        <f t="shared" si="54"/>
        <v>6570094.1389711862</v>
      </c>
      <c r="K123" s="59">
        <f t="shared" si="54"/>
        <v>4592972.2138364371</v>
      </c>
      <c r="L123" s="59">
        <f t="shared" si="54"/>
        <v>9983.0823921677111</v>
      </c>
      <c r="M123" s="59">
        <f t="shared" si="54"/>
        <v>274163.39282927831</v>
      </c>
      <c r="N123" s="59">
        <f t="shared" si="54"/>
        <v>0</v>
      </c>
      <c r="O123" s="59">
        <f t="shared" si="54"/>
        <v>1853185.9323358082</v>
      </c>
      <c r="P123" s="59">
        <f t="shared" si="54"/>
        <v>0</v>
      </c>
      <c r="Q123" s="59">
        <f t="shared" si="54"/>
        <v>220895.40566087345</v>
      </c>
      <c r="R123" s="59">
        <f t="shared" si="54"/>
        <v>26137.38013783122</v>
      </c>
      <c r="T123" s="89">
        <f t="shared" si="45"/>
        <v>0</v>
      </c>
    </row>
    <row r="124" spans="1:20" x14ac:dyDescent="0.25">
      <c r="A124" s="22" t="s">
        <v>395</v>
      </c>
      <c r="B124" s="16" t="s">
        <v>396</v>
      </c>
      <c r="C124" s="16" t="s">
        <v>193</v>
      </c>
      <c r="E124" s="46">
        <v>28661894.716571223</v>
      </c>
      <c r="F124" s="46"/>
      <c r="G124" s="59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T124" s="89">
        <f t="shared" si="45"/>
        <v>0</v>
      </c>
    </row>
    <row r="125" spans="1:20" x14ac:dyDescent="0.25">
      <c r="A125" s="22"/>
      <c r="B125" s="20" t="s">
        <v>322</v>
      </c>
      <c r="C125" s="16" t="str">
        <f>INDEX('Alloc Amt'!B:B,MATCH(Expenses!D:D,'Alloc Amt'!D:D,0))</f>
        <v>4 CP Winter Peak - No Interruptibles</v>
      </c>
      <c r="D125" s="56">
        <v>29</v>
      </c>
      <c r="E125" s="111">
        <v>0.36530000000000001</v>
      </c>
      <c r="F125" s="46">
        <f>E124*E125</f>
        <v>10470190.139963469</v>
      </c>
      <c r="G125" s="59">
        <f t="shared" ref="G125:R126" si="55">INDEX(Alloc,($D125),(G$1))*$F125</f>
        <v>5598610.8269032855</v>
      </c>
      <c r="H125" s="59">
        <f t="shared" si="55"/>
        <v>1290776.4798384523</v>
      </c>
      <c r="I125" s="59">
        <f t="shared" si="55"/>
        <v>1381567.1264802385</v>
      </c>
      <c r="J125" s="59">
        <f t="shared" si="55"/>
        <v>725900.0327837998</v>
      </c>
      <c r="K125" s="59">
        <f t="shared" si="55"/>
        <v>512792.20713563287</v>
      </c>
      <c r="L125" s="59">
        <f t="shared" si="55"/>
        <v>17.524317125995776</v>
      </c>
      <c r="M125" s="59">
        <f t="shared" si="55"/>
        <v>0</v>
      </c>
      <c r="N125" s="59">
        <f t="shared" si="55"/>
        <v>132165.65515773953</v>
      </c>
      <c r="O125" s="59">
        <f t="shared" si="55"/>
        <v>174173.82735166358</v>
      </c>
      <c r="P125" s="59">
        <f t="shared" si="55"/>
        <v>630435.74502310902</v>
      </c>
      <c r="Q125" s="59">
        <f t="shared" si="55"/>
        <v>20174.937460466281</v>
      </c>
      <c r="R125" s="59">
        <f t="shared" si="55"/>
        <v>3575.7775119565717</v>
      </c>
      <c r="T125" s="89">
        <f t="shared" si="45"/>
        <v>0</v>
      </c>
    </row>
    <row r="126" spans="1:20" x14ac:dyDescent="0.25">
      <c r="A126" s="22"/>
      <c r="B126" s="20" t="s">
        <v>323</v>
      </c>
      <c r="C126" s="16" t="str">
        <f>INDEX('Alloc Amt'!B:B,MATCH(Expenses!D:D,'Alloc Amt'!D:D,0))</f>
        <v>Annual kWhs</v>
      </c>
      <c r="D126" s="56">
        <v>51</v>
      </c>
      <c r="E126" s="111">
        <f>1-E125</f>
        <v>0.63470000000000004</v>
      </c>
      <c r="F126" s="46">
        <f>E124*E126</f>
        <v>18191704.576607756</v>
      </c>
      <c r="G126" s="59">
        <f t="shared" si="55"/>
        <v>8540450.2349879779</v>
      </c>
      <c r="H126" s="59">
        <f t="shared" si="55"/>
        <v>2170028.1922409609</v>
      </c>
      <c r="I126" s="59">
        <f t="shared" si="55"/>
        <v>2413237.5301664718</v>
      </c>
      <c r="J126" s="59">
        <f t="shared" si="55"/>
        <v>1557421.0128294125</v>
      </c>
      <c r="K126" s="59">
        <f t="shared" si="55"/>
        <v>1083564.4393027918</v>
      </c>
      <c r="L126" s="59">
        <f t="shared" si="55"/>
        <v>3421.4721356823779</v>
      </c>
      <c r="M126" s="59">
        <f t="shared" si="55"/>
        <v>94430.970734140064</v>
      </c>
      <c r="N126" s="59">
        <f t="shared" si="55"/>
        <v>260527.33377294504</v>
      </c>
      <c r="O126" s="59">
        <f t="shared" si="55"/>
        <v>469010.74556396063</v>
      </c>
      <c r="P126" s="59">
        <f t="shared" si="55"/>
        <v>1537610.827083711</v>
      </c>
      <c r="Q126" s="59">
        <f t="shared" si="55"/>
        <v>56474.708240104737</v>
      </c>
      <c r="R126" s="59">
        <f t="shared" si="55"/>
        <v>5527.1095496009593</v>
      </c>
      <c r="T126" s="89">
        <f t="shared" si="45"/>
        <v>0</v>
      </c>
    </row>
    <row r="127" spans="1:20" x14ac:dyDescent="0.25">
      <c r="A127" s="22" t="s">
        <v>397</v>
      </c>
      <c r="B127" s="16" t="s">
        <v>398</v>
      </c>
      <c r="C127" s="16" t="s">
        <v>186</v>
      </c>
      <c r="E127" s="57">
        <v>3536313.4800000051</v>
      </c>
      <c r="F127" s="46"/>
      <c r="G127" s="59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T127" s="89">
        <f t="shared" si="45"/>
        <v>0</v>
      </c>
    </row>
    <row r="128" spans="1:20" x14ac:dyDescent="0.25">
      <c r="A128" s="22"/>
      <c r="B128" s="20" t="s">
        <v>322</v>
      </c>
      <c r="C128" s="16" t="str">
        <f>INDEX('Alloc Amt'!B:B,MATCH(Expenses!D:D,'Alloc Amt'!D:D,0))</f>
        <v>4 CP Winter Peak - No Interruptibles or Transportation</v>
      </c>
      <c r="D128" s="56">
        <v>30</v>
      </c>
      <c r="E128" s="111">
        <v>0.36530000000000001</v>
      </c>
      <c r="F128" s="46">
        <f>E127*E128</f>
        <v>1291815.3142440019</v>
      </c>
      <c r="G128" s="59">
        <f t="shared" ref="G128:R130" si="56">INDEX(Alloc,($D128),(G$1))*$F128</f>
        <v>745022.4147884422</v>
      </c>
      <c r="H128" s="59">
        <f t="shared" si="56"/>
        <v>171767.14718948997</v>
      </c>
      <c r="I128" s="59">
        <f t="shared" si="56"/>
        <v>183848.90619946236</v>
      </c>
      <c r="J128" s="59">
        <f t="shared" si="56"/>
        <v>96597.497493629271</v>
      </c>
      <c r="K128" s="59">
        <f t="shared" si="56"/>
        <v>68238.657812941761</v>
      </c>
      <c r="L128" s="59">
        <f t="shared" si="56"/>
        <v>2.332008683294994</v>
      </c>
      <c r="M128" s="59">
        <f t="shared" si="56"/>
        <v>0</v>
      </c>
      <c r="N128" s="59">
        <f t="shared" si="56"/>
        <v>0</v>
      </c>
      <c r="O128" s="59">
        <f t="shared" si="56"/>
        <v>23177.786322086016</v>
      </c>
      <c r="P128" s="59">
        <f t="shared" si="56"/>
        <v>0</v>
      </c>
      <c r="Q128" s="59">
        <f t="shared" si="56"/>
        <v>2684.7339616417389</v>
      </c>
      <c r="R128" s="59">
        <f t="shared" si="56"/>
        <v>475.83846762530357</v>
      </c>
      <c r="T128" s="89">
        <f t="shared" si="45"/>
        <v>0</v>
      </c>
    </row>
    <row r="129" spans="1:20" x14ac:dyDescent="0.25">
      <c r="A129" s="22"/>
      <c r="B129" s="20" t="s">
        <v>323</v>
      </c>
      <c r="C129" s="16" t="str">
        <f>INDEX('Alloc Amt'!B:B,MATCH(Expenses!D:D,'Alloc Amt'!D:D,0))</f>
        <v>Energy - NO RETAIL WHEELING</v>
      </c>
      <c r="D129" s="56">
        <v>52</v>
      </c>
      <c r="E129" s="111">
        <f>1-E128</f>
        <v>0.63470000000000004</v>
      </c>
      <c r="F129" s="46">
        <f>E127*E129</f>
        <v>2244498.1657560035</v>
      </c>
      <c r="G129" s="59">
        <f t="shared" si="56"/>
        <v>1169301.6882978652</v>
      </c>
      <c r="H129" s="59">
        <f t="shared" si="56"/>
        <v>297105.83857115492</v>
      </c>
      <c r="I129" s="59">
        <f t="shared" si="56"/>
        <v>330404.44480634556</v>
      </c>
      <c r="J129" s="59">
        <f t="shared" si="56"/>
        <v>213231.73481316664</v>
      </c>
      <c r="K129" s="59">
        <f t="shared" si="56"/>
        <v>148354.44190818677</v>
      </c>
      <c r="L129" s="59">
        <f t="shared" si="56"/>
        <v>468.44522649725843</v>
      </c>
      <c r="M129" s="59">
        <f t="shared" si="56"/>
        <v>12928.860946309547</v>
      </c>
      <c r="N129" s="59">
        <f t="shared" si="56"/>
        <v>0</v>
      </c>
      <c r="O129" s="59">
        <f t="shared" si="56"/>
        <v>64213.834344595496</v>
      </c>
      <c r="P129" s="59">
        <f t="shared" si="56"/>
        <v>0</v>
      </c>
      <c r="Q129" s="59">
        <f t="shared" si="56"/>
        <v>7732.1417342556288</v>
      </c>
      <c r="R129" s="59">
        <f t="shared" si="56"/>
        <v>756.7351076268817</v>
      </c>
      <c r="T129" s="89">
        <f t="shared" si="45"/>
        <v>0</v>
      </c>
    </row>
    <row r="130" spans="1:20" x14ac:dyDescent="0.25">
      <c r="A130" s="22" t="s">
        <v>399</v>
      </c>
      <c r="B130" s="16" t="s">
        <v>400</v>
      </c>
      <c r="C130" s="16" t="str">
        <f>INDEX('Alloc Amt'!B:B,MATCH(Expenses!D:D,'Alloc Amt'!D:D,0))</f>
        <v>Schedule 449 / 459 Retail Revenue</v>
      </c>
      <c r="D130" s="56">
        <v>6</v>
      </c>
      <c r="E130" s="57"/>
      <c r="F130" s="46">
        <v>9969.1200000000008</v>
      </c>
      <c r="G130" s="59">
        <f t="shared" si="56"/>
        <v>0</v>
      </c>
      <c r="H130" s="59">
        <f t="shared" si="56"/>
        <v>0</v>
      </c>
      <c r="I130" s="59">
        <f t="shared" si="56"/>
        <v>0</v>
      </c>
      <c r="J130" s="59">
        <f t="shared" si="56"/>
        <v>0</v>
      </c>
      <c r="K130" s="59">
        <f t="shared" si="56"/>
        <v>0</v>
      </c>
      <c r="L130" s="59">
        <f t="shared" si="56"/>
        <v>0</v>
      </c>
      <c r="M130" s="59">
        <f t="shared" si="56"/>
        <v>0</v>
      </c>
      <c r="N130" s="59">
        <f t="shared" si="56"/>
        <v>0</v>
      </c>
      <c r="O130" s="59">
        <f t="shared" si="56"/>
        <v>0</v>
      </c>
      <c r="P130" s="59">
        <f t="shared" si="56"/>
        <v>9969.1200000000008</v>
      </c>
      <c r="Q130" s="59">
        <f t="shared" si="56"/>
        <v>0</v>
      </c>
      <c r="R130" s="59">
        <f t="shared" si="56"/>
        <v>0</v>
      </c>
      <c r="T130" s="89">
        <f t="shared" si="45"/>
        <v>0</v>
      </c>
    </row>
    <row r="131" spans="1:20" x14ac:dyDescent="0.25">
      <c r="A131" s="22" t="s">
        <v>401</v>
      </c>
      <c r="B131" s="16" t="s">
        <v>402</v>
      </c>
      <c r="C131" s="16" t="s">
        <v>186</v>
      </c>
      <c r="E131" s="57">
        <v>3010267.3200000003</v>
      </c>
      <c r="F131" s="46"/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T131" s="89">
        <f t="shared" si="45"/>
        <v>0</v>
      </c>
    </row>
    <row r="132" spans="1:20" x14ac:dyDescent="0.25">
      <c r="A132" s="22"/>
      <c r="B132" s="20" t="s">
        <v>322</v>
      </c>
      <c r="C132" s="16" t="str">
        <f>INDEX('Alloc Amt'!B:B,MATCH(Expenses!D:D,'Alloc Amt'!D:D,0))</f>
        <v>4 CP Winter Peak - No Interruptibles or Transportation</v>
      </c>
      <c r="D132" s="56">
        <v>30</v>
      </c>
      <c r="E132" s="111">
        <v>0.36530000000000001</v>
      </c>
      <c r="F132" s="46">
        <f>E131*E132</f>
        <v>1099650.6519960002</v>
      </c>
      <c r="G132" s="59">
        <f t="shared" ref="G132:R147" si="57">INDEX(Alloc,($D132),(G$1))*$F132</f>
        <v>634196.21608464688</v>
      </c>
      <c r="H132" s="59">
        <f t="shared" si="57"/>
        <v>146215.83543384023</v>
      </c>
      <c r="I132" s="59">
        <f t="shared" si="57"/>
        <v>156500.36606765594</v>
      </c>
      <c r="J132" s="59">
        <f t="shared" si="57"/>
        <v>82228.086266507613</v>
      </c>
      <c r="K132" s="59">
        <f t="shared" si="57"/>
        <v>58087.780604495791</v>
      </c>
      <c r="L132" s="59">
        <f t="shared" si="57"/>
        <v>1.9851095127684046</v>
      </c>
      <c r="M132" s="59">
        <f t="shared" si="57"/>
        <v>0</v>
      </c>
      <c r="N132" s="59">
        <f t="shared" si="57"/>
        <v>0</v>
      </c>
      <c r="O132" s="59">
        <f t="shared" si="57"/>
        <v>19729.962603688189</v>
      </c>
      <c r="P132" s="59">
        <f t="shared" si="57"/>
        <v>0</v>
      </c>
      <c r="Q132" s="59">
        <f t="shared" si="57"/>
        <v>2285.364957979984</v>
      </c>
      <c r="R132" s="59">
        <f t="shared" si="57"/>
        <v>405.05486767290989</v>
      </c>
      <c r="T132" s="89">
        <f t="shared" si="45"/>
        <v>0</v>
      </c>
    </row>
    <row r="133" spans="1:20" x14ac:dyDescent="0.25">
      <c r="A133" s="22"/>
      <c r="B133" s="20" t="s">
        <v>323</v>
      </c>
      <c r="C133" s="16" t="str">
        <f>INDEX('Alloc Amt'!B:B,MATCH(Expenses!D:D,'Alloc Amt'!D:D,0))</f>
        <v>Energy - NO RETAIL WHEELING</v>
      </c>
      <c r="D133" s="56">
        <v>52</v>
      </c>
      <c r="E133" s="111">
        <f>1-E132</f>
        <v>0.63470000000000004</v>
      </c>
      <c r="F133" s="46">
        <f>E131*E133</f>
        <v>1910616.6680040003</v>
      </c>
      <c r="G133" s="59">
        <f t="shared" si="57"/>
        <v>995361.60451021034</v>
      </c>
      <c r="H133" s="59">
        <f t="shared" si="57"/>
        <v>252909.70426975322</v>
      </c>
      <c r="I133" s="59">
        <f t="shared" si="57"/>
        <v>281254.95893064444</v>
      </c>
      <c r="J133" s="59">
        <f t="shared" si="57"/>
        <v>181512.33665375755</v>
      </c>
      <c r="K133" s="59">
        <f t="shared" si="57"/>
        <v>126285.89936349548</v>
      </c>
      <c r="L133" s="59">
        <f t="shared" si="57"/>
        <v>398.76141199300383</v>
      </c>
      <c r="M133" s="59">
        <f t="shared" si="57"/>
        <v>11005.621478868397</v>
      </c>
      <c r="N133" s="59">
        <f t="shared" si="57"/>
        <v>0</v>
      </c>
      <c r="O133" s="59">
        <f t="shared" si="57"/>
        <v>54661.671854789631</v>
      </c>
      <c r="P133" s="59">
        <f t="shared" si="57"/>
        <v>0</v>
      </c>
      <c r="Q133" s="59">
        <f t="shared" si="57"/>
        <v>6581.9429493105381</v>
      </c>
      <c r="R133" s="59">
        <f t="shared" si="57"/>
        <v>644.16658117817133</v>
      </c>
      <c r="T133" s="89">
        <f t="shared" si="45"/>
        <v>0</v>
      </c>
    </row>
    <row r="134" spans="1:20" x14ac:dyDescent="0.25">
      <c r="A134" s="22" t="s">
        <v>403</v>
      </c>
      <c r="B134" s="16" t="s">
        <v>404</v>
      </c>
      <c r="C134" s="16" t="str">
        <f>INDEX('Alloc Amt'!B:B,MATCH(Expenses!D:D,'Alloc Amt'!D:D,0))</f>
        <v>Total Struct and Improvements</v>
      </c>
      <c r="D134" s="56">
        <v>54</v>
      </c>
      <c r="E134" s="57"/>
      <c r="F134" s="46">
        <v>71582.14</v>
      </c>
      <c r="G134" s="59">
        <f t="shared" si="57"/>
        <v>29713.450099386693</v>
      </c>
      <c r="H134" s="59">
        <f t="shared" si="57"/>
        <v>9578.9042275408301</v>
      </c>
      <c r="I134" s="59">
        <f t="shared" si="57"/>
        <v>12462.470301047517</v>
      </c>
      <c r="J134" s="59">
        <f t="shared" si="57"/>
        <v>7324.2967763313</v>
      </c>
      <c r="K134" s="59">
        <f t="shared" si="57"/>
        <v>6032.7788113126844</v>
      </c>
      <c r="L134" s="59">
        <f t="shared" si="57"/>
        <v>1.320552331085926</v>
      </c>
      <c r="M134" s="59">
        <f t="shared" si="57"/>
        <v>308.40899441452211</v>
      </c>
      <c r="N134" s="59">
        <f t="shared" si="57"/>
        <v>6092.0196687522339</v>
      </c>
      <c r="O134" s="59">
        <f t="shared" si="57"/>
        <v>22.309030880357984</v>
      </c>
      <c r="P134" s="59">
        <f t="shared" si="57"/>
        <v>0</v>
      </c>
      <c r="Q134" s="59">
        <f t="shared" si="57"/>
        <v>42.173194815993284</v>
      </c>
      <c r="R134" s="59">
        <f t="shared" si="57"/>
        <v>4.0083431867810173</v>
      </c>
      <c r="T134" s="89">
        <f t="shared" si="45"/>
        <v>0</v>
      </c>
    </row>
    <row r="135" spans="1:20" x14ac:dyDescent="0.25">
      <c r="A135" s="22" t="s">
        <v>405</v>
      </c>
      <c r="B135" s="16" t="s">
        <v>406</v>
      </c>
      <c r="C135" s="16" t="str">
        <f>INDEX('Alloc Amt'!B:B,MATCH(Expenses!D:D,'Alloc Amt'!D:D,0))</f>
        <v>Total Struct and Improvements</v>
      </c>
      <c r="D135" s="56">
        <v>55</v>
      </c>
      <c r="E135" s="57"/>
      <c r="F135" s="46">
        <v>142607.19</v>
      </c>
      <c r="G135" s="59">
        <f t="shared" si="57"/>
        <v>66752.40422647653</v>
      </c>
      <c r="H135" s="59">
        <f t="shared" si="57"/>
        <v>18375.886789560907</v>
      </c>
      <c r="I135" s="59">
        <f t="shared" si="57"/>
        <v>22822.467407878503</v>
      </c>
      <c r="J135" s="59">
        <f t="shared" si="57"/>
        <v>13273.198772920263</v>
      </c>
      <c r="K135" s="59">
        <f t="shared" si="57"/>
        <v>8713.8559134993211</v>
      </c>
      <c r="L135" s="59">
        <f t="shared" si="57"/>
        <v>1.8950044719494515E-2</v>
      </c>
      <c r="M135" s="59">
        <f t="shared" si="57"/>
        <v>1071.3123531495432</v>
      </c>
      <c r="N135" s="59">
        <f t="shared" si="57"/>
        <v>6319.3133796683096</v>
      </c>
      <c r="O135" s="59">
        <f t="shared" si="57"/>
        <v>2362.3335502731711</v>
      </c>
      <c r="P135" s="59">
        <f t="shared" si="57"/>
        <v>2800.045381951029</v>
      </c>
      <c r="Q135" s="59">
        <f t="shared" si="57"/>
        <v>101.4301143610944</v>
      </c>
      <c r="R135" s="59">
        <f t="shared" si="57"/>
        <v>14.92316021660193</v>
      </c>
      <c r="T135" s="89">
        <f t="shared" si="45"/>
        <v>0</v>
      </c>
    </row>
    <row r="136" spans="1:20" x14ac:dyDescent="0.25">
      <c r="A136" s="22" t="s">
        <v>407</v>
      </c>
      <c r="B136" s="16" t="s">
        <v>408</v>
      </c>
      <c r="C136" s="16" t="str">
        <f>INDEX('Alloc Amt'!B:B,MATCH(Expenses!D:D,'Alloc Amt'!D:D,0))</f>
        <v>Total Station Equip</v>
      </c>
      <c r="D136" s="56">
        <v>56</v>
      </c>
      <c r="E136" s="57"/>
      <c r="F136" s="46">
        <v>9552274.1199999992</v>
      </c>
      <c r="G136" s="59">
        <f t="shared" si="57"/>
        <v>4953698.6881863559</v>
      </c>
      <c r="H136" s="59">
        <f t="shared" si="57"/>
        <v>1197675.2996748991</v>
      </c>
      <c r="I136" s="59">
        <f t="shared" si="57"/>
        <v>1315993.2068827043</v>
      </c>
      <c r="J136" s="59">
        <f t="shared" si="57"/>
        <v>700229.02851630352</v>
      </c>
      <c r="K136" s="59">
        <f t="shared" si="57"/>
        <v>636677.45724569517</v>
      </c>
      <c r="L136" s="59">
        <f t="shared" si="57"/>
        <v>2292.2534956184973</v>
      </c>
      <c r="M136" s="59">
        <f t="shared" si="57"/>
        <v>71591.024870286885</v>
      </c>
      <c r="N136" s="59">
        <f t="shared" si="57"/>
        <v>307347.9533009369</v>
      </c>
      <c r="O136" s="59">
        <f t="shared" si="57"/>
        <v>249623.39140111406</v>
      </c>
      <c r="P136" s="59">
        <f t="shared" si="57"/>
        <v>107546.1751213634</v>
      </c>
      <c r="Q136" s="59">
        <f t="shared" si="57"/>
        <v>7159.2498824371323</v>
      </c>
      <c r="R136" s="59">
        <f t="shared" si="57"/>
        <v>2440.3914222854178</v>
      </c>
      <c r="T136" s="89">
        <f t="shared" si="45"/>
        <v>0</v>
      </c>
    </row>
    <row r="137" spans="1:20" x14ac:dyDescent="0.25">
      <c r="A137" s="22" t="s">
        <v>409</v>
      </c>
      <c r="B137" s="16" t="s">
        <v>410</v>
      </c>
      <c r="C137" s="16" t="str">
        <f>INDEX('Alloc Amt'!B:B,MATCH(Expenses!D:D,'Alloc Amt'!D:D,0))</f>
        <v>Allocate Substation Equipment - 12 NCP</v>
      </c>
      <c r="D137" s="56">
        <v>44</v>
      </c>
      <c r="E137" s="57"/>
      <c r="F137" s="46">
        <v>54950.929999999986</v>
      </c>
      <c r="G137" s="59">
        <f t="shared" si="57"/>
        <v>30673.375654063973</v>
      </c>
      <c r="H137" s="59">
        <f t="shared" si="57"/>
        <v>7416.0231961891568</v>
      </c>
      <c r="I137" s="59">
        <f t="shared" si="57"/>
        <v>8148.6494302075253</v>
      </c>
      <c r="J137" s="59">
        <f t="shared" si="57"/>
        <v>4335.8285167369559</v>
      </c>
      <c r="K137" s="59">
        <f t="shared" si="57"/>
        <v>3860.1257276085316</v>
      </c>
      <c r="L137" s="59">
        <f t="shared" si="57"/>
        <v>14.193667598945087</v>
      </c>
      <c r="M137" s="59">
        <f t="shared" si="57"/>
        <v>443.29268644107248</v>
      </c>
      <c r="N137" s="59">
        <f t="shared" si="57"/>
        <v>0</v>
      </c>
      <c r="O137" s="59">
        <f t="shared" si="57"/>
        <v>0</v>
      </c>
      <c r="P137" s="59">
        <f t="shared" si="57"/>
        <v>0</v>
      </c>
      <c r="Q137" s="59">
        <f t="shared" si="57"/>
        <v>44.330181318659626</v>
      </c>
      <c r="R137" s="59">
        <f t="shared" si="57"/>
        <v>15.110939835164247</v>
      </c>
      <c r="T137" s="89">
        <f t="shared" si="45"/>
        <v>0</v>
      </c>
    </row>
    <row r="138" spans="1:20" x14ac:dyDescent="0.25">
      <c r="A138" s="22" t="s">
        <v>411</v>
      </c>
      <c r="B138" s="16" t="s">
        <v>412</v>
      </c>
      <c r="C138" s="16" t="str">
        <f>INDEX('Alloc Amt'!B:B,MATCH(Expenses!D:D,'Alloc Amt'!D:D,0))</f>
        <v>Allocate Overhead Lines - 12 NCP</v>
      </c>
      <c r="D138" s="56">
        <v>45</v>
      </c>
      <c r="E138" s="57"/>
      <c r="F138" s="46">
        <v>12015090.43</v>
      </c>
      <c r="G138" s="59">
        <f t="shared" si="57"/>
        <v>8280957.1348556913</v>
      </c>
      <c r="H138" s="59">
        <f t="shared" si="57"/>
        <v>1513073.6062078436</v>
      </c>
      <c r="I138" s="59">
        <f t="shared" si="57"/>
        <v>1176308.0451656198</v>
      </c>
      <c r="J138" s="59">
        <f t="shared" si="57"/>
        <v>465329.02715162426</v>
      </c>
      <c r="K138" s="59">
        <f t="shared" si="57"/>
        <v>435568.63032201934</v>
      </c>
      <c r="L138" s="59">
        <f t="shared" si="57"/>
        <v>10909.731846700251</v>
      </c>
      <c r="M138" s="59">
        <f t="shared" si="57"/>
        <v>117376.16365155604</v>
      </c>
      <c r="N138" s="59">
        <f t="shared" si="57"/>
        <v>0</v>
      </c>
      <c r="O138" s="59">
        <f t="shared" si="57"/>
        <v>0</v>
      </c>
      <c r="P138" s="59">
        <f t="shared" si="57"/>
        <v>0</v>
      </c>
      <c r="Q138" s="59">
        <f t="shared" si="57"/>
        <v>7277.1773269471823</v>
      </c>
      <c r="R138" s="59">
        <f t="shared" si="57"/>
        <v>8290.9134719945505</v>
      </c>
      <c r="T138" s="89">
        <f t="shared" si="45"/>
        <v>0</v>
      </c>
    </row>
    <row r="139" spans="1:20" x14ac:dyDescent="0.25">
      <c r="A139" s="22" t="s">
        <v>413</v>
      </c>
      <c r="B139" s="16" t="s">
        <v>414</v>
      </c>
      <c r="C139" s="16" t="str">
        <f>INDEX('Alloc Amt'!B:B,MATCH(Expenses!D:D,'Alloc Amt'!D:D,0))</f>
        <v>Allocate Overhead Lines - 12 NCP</v>
      </c>
      <c r="D139" s="56">
        <v>45</v>
      </c>
      <c r="E139" s="57"/>
      <c r="F139" s="46">
        <v>17443235.939999998</v>
      </c>
      <c r="G139" s="59">
        <f t="shared" si="57"/>
        <v>12022105.863777025</v>
      </c>
      <c r="H139" s="59">
        <f t="shared" si="57"/>
        <v>2196645.9646255085</v>
      </c>
      <c r="I139" s="59">
        <f t="shared" si="57"/>
        <v>1707737.3565755244</v>
      </c>
      <c r="J139" s="59">
        <f t="shared" si="57"/>
        <v>675554.13399717933</v>
      </c>
      <c r="K139" s="59">
        <f t="shared" si="57"/>
        <v>632348.66445941688</v>
      </c>
      <c r="L139" s="59">
        <f t="shared" si="57"/>
        <v>15838.5014039486</v>
      </c>
      <c r="M139" s="59">
        <f t="shared" si="57"/>
        <v>170404.05382168596</v>
      </c>
      <c r="N139" s="59">
        <f t="shared" si="57"/>
        <v>0</v>
      </c>
      <c r="O139" s="59">
        <f t="shared" si="57"/>
        <v>0</v>
      </c>
      <c r="P139" s="59">
        <f t="shared" si="57"/>
        <v>0</v>
      </c>
      <c r="Q139" s="59">
        <f t="shared" si="57"/>
        <v>10564.84109135067</v>
      </c>
      <c r="R139" s="59">
        <f t="shared" si="57"/>
        <v>12036.560248354743</v>
      </c>
      <c r="T139" s="89">
        <f t="shared" si="45"/>
        <v>0</v>
      </c>
    </row>
    <row r="140" spans="1:20" x14ac:dyDescent="0.25">
      <c r="A140" s="22" t="s">
        <v>415</v>
      </c>
      <c r="B140" s="16" t="s">
        <v>416</v>
      </c>
      <c r="C140" s="16" t="str">
        <f>INDEX('Alloc Amt'!B:B,MATCH(Expenses!D:D,'Alloc Amt'!D:D,0))</f>
        <v>Allocate Underground Lines - 12 NCP</v>
      </c>
      <c r="D140" s="56">
        <v>47</v>
      </c>
      <c r="E140" s="57"/>
      <c r="F140" s="46">
        <v>13080710</v>
      </c>
      <c r="G140" s="59">
        <f t="shared" si="57"/>
        <v>8803246.325757876</v>
      </c>
      <c r="H140" s="59">
        <f t="shared" si="57"/>
        <v>1568630.7978229651</v>
      </c>
      <c r="I140" s="59">
        <f t="shared" si="57"/>
        <v>1463813.2585704878</v>
      </c>
      <c r="J140" s="59">
        <f t="shared" si="57"/>
        <v>635547.13899224869</v>
      </c>
      <c r="K140" s="59">
        <f t="shared" si="57"/>
        <v>453322.88479923527</v>
      </c>
      <c r="L140" s="59">
        <f t="shared" si="57"/>
        <v>5383.5741076458035</v>
      </c>
      <c r="M140" s="59">
        <f t="shared" si="57"/>
        <v>141153.42136215419</v>
      </c>
      <c r="N140" s="59">
        <f t="shared" si="57"/>
        <v>0</v>
      </c>
      <c r="O140" s="59">
        <f t="shared" si="57"/>
        <v>0</v>
      </c>
      <c r="P140" s="59">
        <f t="shared" si="57"/>
        <v>0</v>
      </c>
      <c r="Q140" s="59">
        <f t="shared" si="57"/>
        <v>6032.1974941091539</v>
      </c>
      <c r="R140" s="59">
        <f t="shared" si="57"/>
        <v>3580.4010932776905</v>
      </c>
      <c r="T140" s="89">
        <f t="shared" si="45"/>
        <v>0</v>
      </c>
    </row>
    <row r="141" spans="1:20" x14ac:dyDescent="0.25">
      <c r="A141" s="22" t="s">
        <v>417</v>
      </c>
      <c r="B141" s="16" t="s">
        <v>418</v>
      </c>
      <c r="C141" s="16" t="str">
        <f>INDEX('Alloc Amt'!B:B,MATCH(Expenses!D:D,'Alloc Amt'!D:D,0))</f>
        <v>Allocate Underground Lines - 12 NCP</v>
      </c>
      <c r="D141" s="56">
        <v>47</v>
      </c>
      <c r="E141" s="57"/>
      <c r="F141" s="46">
        <v>38836748.5598768</v>
      </c>
      <c r="G141" s="59">
        <f t="shared" si="57"/>
        <v>26136919.48404314</v>
      </c>
      <c r="H141" s="59">
        <f t="shared" si="57"/>
        <v>4657279.297402774</v>
      </c>
      <c r="I141" s="59">
        <f t="shared" si="57"/>
        <v>4346075.0572190629</v>
      </c>
      <c r="J141" s="59">
        <f t="shared" si="57"/>
        <v>1886945.3137475743</v>
      </c>
      <c r="K141" s="59">
        <f t="shared" si="57"/>
        <v>1345919.8234182927</v>
      </c>
      <c r="L141" s="59">
        <f t="shared" si="57"/>
        <v>15983.881148049548</v>
      </c>
      <c r="M141" s="59">
        <f t="shared" si="57"/>
        <v>419085.80908898101</v>
      </c>
      <c r="N141" s="59">
        <f t="shared" si="57"/>
        <v>0</v>
      </c>
      <c r="O141" s="59">
        <f t="shared" si="57"/>
        <v>0</v>
      </c>
      <c r="P141" s="59">
        <f t="shared" si="57"/>
        <v>0</v>
      </c>
      <c r="Q141" s="59">
        <f t="shared" si="57"/>
        <v>17909.649961067564</v>
      </c>
      <c r="R141" s="59">
        <f t="shared" si="57"/>
        <v>10630.243847859456</v>
      </c>
      <c r="T141" s="89">
        <f t="shared" si="45"/>
        <v>0</v>
      </c>
    </row>
    <row r="142" spans="1:20" x14ac:dyDescent="0.25">
      <c r="A142" s="22" t="s">
        <v>419</v>
      </c>
      <c r="B142" s="16" t="s">
        <v>420</v>
      </c>
      <c r="C142" s="16" t="str">
        <f>INDEX('Alloc Amt'!B:B,MATCH(Expenses!D:D,'Alloc Amt'!D:D,0))</f>
        <v>Total Transformers</v>
      </c>
      <c r="D142" s="56">
        <v>59</v>
      </c>
      <c r="E142" s="57"/>
      <c r="F142" s="46">
        <v>20242879.390000001</v>
      </c>
      <c r="G142" s="59">
        <f t="shared" ref="G142:R152" si="58">INDEX(Alloc,($D142),(G$1))*$F142</f>
        <v>15558858.408078134</v>
      </c>
      <c r="H142" s="59">
        <f t="shared" si="58"/>
        <v>2453563.8691945714</v>
      </c>
      <c r="I142" s="59">
        <f t="shared" si="58"/>
        <v>885151.63384795142</v>
      </c>
      <c r="J142" s="59">
        <f t="shared" si="58"/>
        <v>211251.65846275605</v>
      </c>
      <c r="K142" s="59">
        <f t="shared" si="58"/>
        <v>101619.41317769684</v>
      </c>
      <c r="L142" s="59">
        <f t="shared" si="57"/>
        <v>0</v>
      </c>
      <c r="M142" s="59">
        <f t="shared" si="57"/>
        <v>5823.957960710808</v>
      </c>
      <c r="N142" s="59">
        <f t="shared" si="58"/>
        <v>197247.08150201503</v>
      </c>
      <c r="O142" s="59">
        <f t="shared" si="58"/>
        <v>0</v>
      </c>
      <c r="P142" s="59">
        <f t="shared" si="58"/>
        <v>0</v>
      </c>
      <c r="Q142" s="59">
        <f t="shared" si="58"/>
        <v>826972.48304086016</v>
      </c>
      <c r="R142" s="59">
        <f t="shared" si="58"/>
        <v>2390.8847353073465</v>
      </c>
      <c r="T142" s="89">
        <f t="shared" si="45"/>
        <v>0</v>
      </c>
    </row>
    <row r="143" spans="1:20" x14ac:dyDescent="0.25">
      <c r="A143" s="22" t="s">
        <v>421</v>
      </c>
      <c r="B143" s="16" t="s">
        <v>422</v>
      </c>
      <c r="C143" s="16" t="str">
        <f>INDEX('Alloc Amt'!B:B,MATCH(Expenses!D:D,'Alloc Amt'!D:D,0))</f>
        <v>Total Services</v>
      </c>
      <c r="D143" s="56">
        <v>60</v>
      </c>
      <c r="E143" s="57"/>
      <c r="F143" s="46">
        <v>5946476.4000000004</v>
      </c>
      <c r="G143" s="59">
        <f t="shared" si="58"/>
        <v>5770232.7534907367</v>
      </c>
      <c r="H143" s="59">
        <f t="shared" si="58"/>
        <v>169604.63106701686</v>
      </c>
      <c r="I143" s="59">
        <f t="shared" si="58"/>
        <v>6498.2257651022683</v>
      </c>
      <c r="J143" s="59">
        <f t="shared" si="58"/>
        <v>140.78967714472898</v>
      </c>
      <c r="K143" s="59">
        <f t="shared" si="58"/>
        <v>0</v>
      </c>
      <c r="L143" s="59">
        <f t="shared" si="57"/>
        <v>0</v>
      </c>
      <c r="M143" s="59">
        <f t="shared" si="57"/>
        <v>0</v>
      </c>
      <c r="N143" s="59">
        <f t="shared" si="58"/>
        <v>0</v>
      </c>
      <c r="O143" s="59">
        <f t="shared" si="58"/>
        <v>0</v>
      </c>
      <c r="P143" s="59">
        <f t="shared" si="58"/>
        <v>0</v>
      </c>
      <c r="Q143" s="59">
        <f t="shared" si="58"/>
        <v>0</v>
      </c>
      <c r="R143" s="59">
        <f t="shared" si="58"/>
        <v>0</v>
      </c>
      <c r="T143" s="89">
        <f t="shared" si="45"/>
        <v>0</v>
      </c>
    </row>
    <row r="144" spans="1:20" x14ac:dyDescent="0.25">
      <c r="A144" s="22" t="s">
        <v>423</v>
      </c>
      <c r="B144" s="16" t="s">
        <v>424</v>
      </c>
      <c r="C144" s="16" t="str">
        <f>INDEX('Alloc Amt'!B:B,MATCH(Expenses!D:D,'Alloc Amt'!D:D,0))</f>
        <v>Meter Investment</v>
      </c>
      <c r="D144" s="56">
        <v>19</v>
      </c>
      <c r="E144" s="57"/>
      <c r="F144" s="46">
        <v>15485581.179727737</v>
      </c>
      <c r="G144" s="59">
        <f t="shared" si="58"/>
        <v>10053641.400099199</v>
      </c>
      <c r="H144" s="59">
        <f t="shared" si="58"/>
        <v>2821910.7948202551</v>
      </c>
      <c r="I144" s="59">
        <f t="shared" si="58"/>
        <v>833976.50522781222</v>
      </c>
      <c r="J144" s="59">
        <f t="shared" si="58"/>
        <v>93731.805714208371</v>
      </c>
      <c r="K144" s="59">
        <f t="shared" si="58"/>
        <v>1122700.9247211104</v>
      </c>
      <c r="L144" s="59">
        <f t="shared" si="57"/>
        <v>3640.1501402089707</v>
      </c>
      <c r="M144" s="59">
        <f t="shared" si="57"/>
        <v>362836.37973372452</v>
      </c>
      <c r="N144" s="59">
        <f t="shared" si="58"/>
        <v>73384.185148474222</v>
      </c>
      <c r="O144" s="59">
        <f t="shared" si="58"/>
        <v>45571.404163884014</v>
      </c>
      <c r="P144" s="59">
        <f t="shared" si="58"/>
        <v>73369.567913433959</v>
      </c>
      <c r="Q144" s="59">
        <f t="shared" si="58"/>
        <v>0</v>
      </c>
      <c r="R144" s="59">
        <f t="shared" si="58"/>
        <v>818.06204542367198</v>
      </c>
      <c r="T144" s="89">
        <f t="shared" si="45"/>
        <v>0</v>
      </c>
    </row>
    <row r="145" spans="1:20" x14ac:dyDescent="0.25">
      <c r="A145" s="22" t="s">
        <v>425</v>
      </c>
      <c r="B145" s="16" t="s">
        <v>426</v>
      </c>
      <c r="C145" s="16" t="str">
        <f>INDEX('Alloc Amt'!B:B,MATCH(Expenses!D:D,'Alloc Amt'!D:D,0))</f>
        <v>Str. &amp; Signal Systems</v>
      </c>
      <c r="D145" s="56">
        <v>12</v>
      </c>
      <c r="E145" s="57"/>
      <c r="F145" s="46">
        <v>2670044.1300000004</v>
      </c>
      <c r="G145" s="59">
        <f t="shared" si="58"/>
        <v>0</v>
      </c>
      <c r="H145" s="59">
        <f t="shared" si="58"/>
        <v>0</v>
      </c>
      <c r="I145" s="59">
        <f t="shared" si="58"/>
        <v>0</v>
      </c>
      <c r="J145" s="59">
        <f t="shared" si="58"/>
        <v>0</v>
      </c>
      <c r="K145" s="59">
        <f t="shared" si="58"/>
        <v>0</v>
      </c>
      <c r="L145" s="59">
        <f t="shared" si="57"/>
        <v>0</v>
      </c>
      <c r="M145" s="59">
        <f t="shared" si="57"/>
        <v>0</v>
      </c>
      <c r="N145" s="59">
        <f t="shared" si="58"/>
        <v>0</v>
      </c>
      <c r="O145" s="59">
        <f t="shared" si="58"/>
        <v>0</v>
      </c>
      <c r="P145" s="59">
        <f t="shared" si="58"/>
        <v>0</v>
      </c>
      <c r="Q145" s="59">
        <f t="shared" si="58"/>
        <v>2670044.1300000004</v>
      </c>
      <c r="R145" s="59">
        <f t="shared" si="58"/>
        <v>0</v>
      </c>
      <c r="T145" s="89">
        <f t="shared" si="45"/>
        <v>0</v>
      </c>
    </row>
    <row r="146" spans="1:20" x14ac:dyDescent="0.25">
      <c r="A146" s="22">
        <v>403.06</v>
      </c>
      <c r="B146" s="16" t="s">
        <v>427</v>
      </c>
      <c r="C146" s="16" t="str">
        <f>INDEX('Alloc Amt'!B:B,MATCH(Expenses!D:D,'Alloc Amt'!D:D,0))</f>
        <v>Total General Plant</v>
      </c>
      <c r="D146" s="56">
        <v>70</v>
      </c>
      <c r="E146" s="57"/>
      <c r="F146" s="46">
        <v>31544118.98686849</v>
      </c>
      <c r="G146" s="59">
        <f t="shared" si="58"/>
        <v>19441227.192932196</v>
      </c>
      <c r="H146" s="59">
        <f t="shared" si="58"/>
        <v>3822291.0529604726</v>
      </c>
      <c r="I146" s="59">
        <f t="shared" si="58"/>
        <v>3448037.4806986819</v>
      </c>
      <c r="J146" s="59">
        <f t="shared" si="58"/>
        <v>1890928.3012185649</v>
      </c>
      <c r="K146" s="59">
        <f t="shared" si="58"/>
        <v>1419906.6655556117</v>
      </c>
      <c r="L146" s="59">
        <f t="shared" si="57"/>
        <v>6889.637386772135</v>
      </c>
      <c r="M146" s="59">
        <f t="shared" si="57"/>
        <v>162449.3043691862</v>
      </c>
      <c r="N146" s="59">
        <f t="shared" si="58"/>
        <v>190782.16607387329</v>
      </c>
      <c r="O146" s="59">
        <f t="shared" si="58"/>
        <v>450768.44928851048</v>
      </c>
      <c r="P146" s="59">
        <f t="shared" si="58"/>
        <v>274461.88074402628</v>
      </c>
      <c r="Q146" s="59">
        <f t="shared" si="58"/>
        <v>427210.67580904695</v>
      </c>
      <c r="R146" s="59">
        <f t="shared" si="58"/>
        <v>9166.1798315528431</v>
      </c>
      <c r="T146" s="89">
        <f t="shared" si="45"/>
        <v>0</v>
      </c>
    </row>
    <row r="147" spans="1:20" x14ac:dyDescent="0.25">
      <c r="A147" s="22" t="s">
        <v>428</v>
      </c>
      <c r="B147" s="16" t="s">
        <v>429</v>
      </c>
      <c r="C147" s="16" t="str">
        <f>INDEX('Alloc Amt'!B:B,MATCH(Expenses!D:D,'Alloc Amt'!D:D,0))</f>
        <v>Total Production Plant</v>
      </c>
      <c r="D147" s="56">
        <v>73</v>
      </c>
      <c r="E147" s="57"/>
      <c r="F147" s="46">
        <v>7651253.0900000008</v>
      </c>
      <c r="G147" s="59">
        <f t="shared" si="58"/>
        <v>4141877.7752136854</v>
      </c>
      <c r="H147" s="59">
        <f t="shared" si="58"/>
        <v>1014464.8944184253</v>
      </c>
      <c r="I147" s="59">
        <f t="shared" si="58"/>
        <v>1112650.9465801194</v>
      </c>
      <c r="J147" s="59">
        <f t="shared" si="58"/>
        <v>670353.99561344774</v>
      </c>
      <c r="K147" s="59">
        <f t="shared" si="58"/>
        <v>468626.0516457269</v>
      </c>
      <c r="L147" s="59">
        <f t="shared" si="57"/>
        <v>1018.5849743662601</v>
      </c>
      <c r="M147" s="59">
        <f t="shared" si="57"/>
        <v>27973.195200339276</v>
      </c>
      <c r="N147" s="59">
        <f t="shared" si="58"/>
        <v>0</v>
      </c>
      <c r="O147" s="59">
        <f t="shared" si="58"/>
        <v>189082.6170948096</v>
      </c>
      <c r="P147" s="59">
        <f t="shared" si="58"/>
        <v>0</v>
      </c>
      <c r="Q147" s="59">
        <f t="shared" si="58"/>
        <v>22538.203359839157</v>
      </c>
      <c r="R147" s="59">
        <f t="shared" si="58"/>
        <v>2666.8258992414367</v>
      </c>
      <c r="T147" s="89">
        <f t="shared" si="45"/>
        <v>0</v>
      </c>
    </row>
    <row r="148" spans="1:20" x14ac:dyDescent="0.25">
      <c r="A148" s="22" t="s">
        <v>430</v>
      </c>
      <c r="B148" s="16" t="s">
        <v>431</v>
      </c>
      <c r="C148" s="16" t="str">
        <f>INDEX('Alloc Amt'!B:B,MATCH(Expenses!D:D,'Alloc Amt'!D:D,0))</f>
        <v>Total Transmission Plant</v>
      </c>
      <c r="D148" s="56">
        <v>82</v>
      </c>
      <c r="E148" s="57"/>
      <c r="F148" s="46">
        <v>88906.44</v>
      </c>
      <c r="G148" s="59">
        <f t="shared" si="58"/>
        <v>44817.99266147858</v>
      </c>
      <c r="H148" s="59">
        <f t="shared" si="58"/>
        <v>10971.805699181665</v>
      </c>
      <c r="I148" s="59">
        <f t="shared" si="58"/>
        <v>12031.429297397772</v>
      </c>
      <c r="J148" s="59">
        <f t="shared" si="58"/>
        <v>7241.5843012261594</v>
      </c>
      <c r="K148" s="59">
        <f t="shared" si="58"/>
        <v>5062.7510785880777</v>
      </c>
      <c r="L148" s="59">
        <f t="shared" si="58"/>
        <v>10.930449079116286</v>
      </c>
      <c r="M148" s="59">
        <f t="shared" si="58"/>
        <v>300.14839259744167</v>
      </c>
      <c r="N148" s="59">
        <f t="shared" si="58"/>
        <v>940.75392361558511</v>
      </c>
      <c r="O148" s="59">
        <f t="shared" si="58"/>
        <v>2040.5342456886253</v>
      </c>
      <c r="P148" s="59">
        <f t="shared" si="58"/>
        <v>5216.4674997491547</v>
      </c>
      <c r="Q148" s="59">
        <f t="shared" si="58"/>
        <v>243.18749235712912</v>
      </c>
      <c r="R148" s="59">
        <f t="shared" si="58"/>
        <v>28.854959040704042</v>
      </c>
      <c r="T148" s="89">
        <f t="shared" si="45"/>
        <v>0</v>
      </c>
    </row>
    <row r="149" spans="1:20" x14ac:dyDescent="0.25">
      <c r="A149" s="22" t="s">
        <v>432</v>
      </c>
      <c r="B149" s="16" t="s">
        <v>433</v>
      </c>
      <c r="C149" s="16" t="str">
        <f>INDEX('Alloc Amt'!B:B,MATCH(Expenses!D:D,'Alloc Amt'!D:D,0))</f>
        <v>Total Distribution Plant</v>
      </c>
      <c r="D149" s="56">
        <v>68</v>
      </c>
      <c r="E149" s="57"/>
      <c r="F149" s="46">
        <v>52744.2</v>
      </c>
      <c r="G149" s="59">
        <f t="shared" si="58"/>
        <v>35070.275070259799</v>
      </c>
      <c r="H149" s="59">
        <f t="shared" si="58"/>
        <v>6252.1627045031428</v>
      </c>
      <c r="I149" s="59">
        <f t="shared" si="58"/>
        <v>4963.8433462669764</v>
      </c>
      <c r="J149" s="59">
        <f t="shared" si="58"/>
        <v>2113.7587402921899</v>
      </c>
      <c r="K149" s="59">
        <f t="shared" si="58"/>
        <v>1862.629793555067</v>
      </c>
      <c r="L149" s="59">
        <f t="shared" si="58"/>
        <v>21.240486102670751</v>
      </c>
      <c r="M149" s="59">
        <f t="shared" si="58"/>
        <v>460.76718546509454</v>
      </c>
      <c r="N149" s="59">
        <f t="shared" si="58"/>
        <v>634.18256529725943</v>
      </c>
      <c r="O149" s="59">
        <f t="shared" si="58"/>
        <v>241.68901694500363</v>
      </c>
      <c r="P149" s="59">
        <f t="shared" si="58"/>
        <v>83.504604579257091</v>
      </c>
      <c r="Q149" s="59">
        <f t="shared" si="58"/>
        <v>1023.961656822574</v>
      </c>
      <c r="R149" s="59">
        <f t="shared" si="58"/>
        <v>16.18482991095474</v>
      </c>
      <c r="T149" s="89">
        <f t="shared" si="45"/>
        <v>0</v>
      </c>
    </row>
    <row r="150" spans="1:20" x14ac:dyDescent="0.25">
      <c r="A150" s="22" t="s">
        <v>434</v>
      </c>
      <c r="B150" s="16" t="s">
        <v>435</v>
      </c>
      <c r="C150" s="16" t="str">
        <f>INDEX('Alloc Amt'!B:B,MATCH(Expenses!D:D,'Alloc Amt'!D:D,0))</f>
        <v>Total General Plant</v>
      </c>
      <c r="D150" s="56">
        <v>70</v>
      </c>
      <c r="E150" s="57"/>
      <c r="F150" s="46">
        <v>15331.973602</v>
      </c>
      <c r="G150" s="59">
        <f t="shared" si="58"/>
        <v>9449.3804768047448</v>
      </c>
      <c r="H150" s="59">
        <f t="shared" si="58"/>
        <v>1857.8190612185656</v>
      </c>
      <c r="I150" s="59">
        <f t="shared" si="58"/>
        <v>1675.91365144121</v>
      </c>
      <c r="J150" s="59">
        <f t="shared" si="58"/>
        <v>919.08297738880231</v>
      </c>
      <c r="K150" s="59">
        <f t="shared" si="58"/>
        <v>690.14358976597543</v>
      </c>
      <c r="L150" s="59">
        <f t="shared" si="58"/>
        <v>3.3486983290075751</v>
      </c>
      <c r="M150" s="59">
        <f t="shared" si="58"/>
        <v>78.958250420259546</v>
      </c>
      <c r="N150" s="59">
        <f t="shared" si="58"/>
        <v>92.729397045283847</v>
      </c>
      <c r="O150" s="59">
        <f t="shared" si="58"/>
        <v>219.09535555527708</v>
      </c>
      <c r="P150" s="59">
        <f t="shared" si="58"/>
        <v>133.40180184060458</v>
      </c>
      <c r="Q150" s="59">
        <f t="shared" si="58"/>
        <v>207.64513368477915</v>
      </c>
      <c r="R150" s="59">
        <f t="shared" si="58"/>
        <v>4.4552085054921529</v>
      </c>
      <c r="T150" s="89">
        <f t="shared" si="45"/>
        <v>0</v>
      </c>
    </row>
    <row r="151" spans="1:20" x14ac:dyDescent="0.25">
      <c r="A151" s="22">
        <v>403.08</v>
      </c>
      <c r="B151" s="16" t="s">
        <v>436</v>
      </c>
      <c r="C151" s="16" t="str">
        <f>INDEX('Alloc Amt'!B:B,MATCH(Expenses!D:D,'Alloc Amt'!D:D,0))</f>
        <v>Total Distribution Plant</v>
      </c>
      <c r="D151" s="56">
        <v>68</v>
      </c>
      <c r="E151" s="57"/>
      <c r="F151" s="46">
        <v>0</v>
      </c>
      <c r="G151" s="59">
        <f t="shared" si="58"/>
        <v>0</v>
      </c>
      <c r="H151" s="59">
        <f t="shared" si="58"/>
        <v>0</v>
      </c>
      <c r="I151" s="59">
        <f t="shared" si="58"/>
        <v>0</v>
      </c>
      <c r="J151" s="59">
        <f t="shared" si="58"/>
        <v>0</v>
      </c>
      <c r="K151" s="59">
        <f t="shared" si="58"/>
        <v>0</v>
      </c>
      <c r="L151" s="59">
        <f t="shared" si="58"/>
        <v>0</v>
      </c>
      <c r="M151" s="59">
        <f t="shared" si="58"/>
        <v>0</v>
      </c>
      <c r="N151" s="59">
        <f t="shared" si="58"/>
        <v>0</v>
      </c>
      <c r="O151" s="59">
        <f t="shared" si="58"/>
        <v>0</v>
      </c>
      <c r="P151" s="59">
        <f t="shared" si="58"/>
        <v>0</v>
      </c>
      <c r="Q151" s="59">
        <f t="shared" si="58"/>
        <v>0</v>
      </c>
      <c r="R151" s="59">
        <f t="shared" si="58"/>
        <v>0</v>
      </c>
      <c r="T151" s="89">
        <f t="shared" ref="T151:T187" si="59">F151-SUM(G151:R151)</f>
        <v>0</v>
      </c>
    </row>
    <row r="152" spans="1:20" x14ac:dyDescent="0.25">
      <c r="A152" s="22">
        <v>404</v>
      </c>
      <c r="B152" s="16" t="s">
        <v>437</v>
      </c>
      <c r="C152" s="16" t="str">
        <f>INDEX('Alloc Amt'!B:B,MATCH(Expenses!D:D,'Alloc Amt'!D:D,0))</f>
        <v>Total Production Plant</v>
      </c>
      <c r="D152" s="56">
        <v>73</v>
      </c>
      <c r="E152" s="57"/>
      <c r="F152" s="46">
        <v>1210780.8199999998</v>
      </c>
      <c r="G152" s="59">
        <f t="shared" si="58"/>
        <v>655435.92794850294</v>
      </c>
      <c r="H152" s="59">
        <f t="shared" si="58"/>
        <v>160535.09435343408</v>
      </c>
      <c r="I152" s="59">
        <f t="shared" si="58"/>
        <v>176072.6523652419</v>
      </c>
      <c r="J152" s="59">
        <f t="shared" si="58"/>
        <v>106080.89301867892</v>
      </c>
      <c r="K152" s="59">
        <f t="shared" si="58"/>
        <v>74158.236358245398</v>
      </c>
      <c r="L152" s="59">
        <f t="shared" si="58"/>
        <v>161.18708086061483</v>
      </c>
      <c r="M152" s="59">
        <f t="shared" si="58"/>
        <v>4426.6485272789278</v>
      </c>
      <c r="N152" s="59">
        <f t="shared" si="58"/>
        <v>0</v>
      </c>
      <c r="O152" s="59">
        <f t="shared" si="58"/>
        <v>29921.583233603313</v>
      </c>
      <c r="P152" s="59">
        <f t="shared" si="58"/>
        <v>0</v>
      </c>
      <c r="Q152" s="59">
        <f t="shared" si="58"/>
        <v>3566.58236557599</v>
      </c>
      <c r="R152" s="59">
        <f t="shared" si="58"/>
        <v>422.01474857771086</v>
      </c>
      <c r="T152" s="89">
        <f t="shared" si="59"/>
        <v>0</v>
      </c>
    </row>
    <row r="153" spans="1:20" x14ac:dyDescent="0.25">
      <c r="A153" s="22">
        <v>404.01</v>
      </c>
      <c r="B153" s="16" t="s">
        <v>438</v>
      </c>
      <c r="C153" s="16"/>
      <c r="E153" s="57"/>
      <c r="F153" s="46">
        <v>0</v>
      </c>
      <c r="G153" s="59"/>
      <c r="H153" s="59"/>
      <c r="I153" s="59"/>
      <c r="J153" s="59"/>
      <c r="K153" s="59"/>
      <c r="L153" s="59"/>
      <c r="M153" s="59"/>
      <c r="N153" s="59"/>
      <c r="O153" s="59"/>
      <c r="P153" s="59"/>
      <c r="Q153" s="59"/>
      <c r="R153" s="59"/>
      <c r="T153" s="89">
        <f t="shared" si="59"/>
        <v>0</v>
      </c>
    </row>
    <row r="154" spans="1:20" x14ac:dyDescent="0.25">
      <c r="A154" s="22">
        <v>404.02</v>
      </c>
      <c r="B154" s="16" t="s">
        <v>439</v>
      </c>
      <c r="C154" s="16" t="str">
        <f>INDEX('Alloc Amt'!B:B,MATCH(Expenses!D:D,'Alloc Amt'!D:D,0))</f>
        <v>Total General Plant</v>
      </c>
      <c r="D154" s="56">
        <v>70</v>
      </c>
      <c r="E154" s="57"/>
      <c r="F154" s="46">
        <v>77938784.204467431</v>
      </c>
      <c r="G154" s="59">
        <f t="shared" ref="G154:R155" si="60">INDEX(Alloc,($D154),(G$1))*$F154</f>
        <v>48035122.220111459</v>
      </c>
      <c r="H154" s="59">
        <f t="shared" si="60"/>
        <v>9444065.2366093248</v>
      </c>
      <c r="I154" s="59">
        <f t="shared" si="60"/>
        <v>8519364.5525164995</v>
      </c>
      <c r="J154" s="59">
        <f t="shared" si="60"/>
        <v>4672080.1705111936</v>
      </c>
      <c r="K154" s="59">
        <f t="shared" si="60"/>
        <v>3508286.2591056302</v>
      </c>
      <c r="L154" s="59">
        <f t="shared" si="60"/>
        <v>17022.823232381277</v>
      </c>
      <c r="M154" s="59">
        <f t="shared" si="60"/>
        <v>401377.55258489057</v>
      </c>
      <c r="N154" s="59">
        <f t="shared" si="60"/>
        <v>471382.0055612406</v>
      </c>
      <c r="O154" s="59">
        <f t="shared" si="60"/>
        <v>1113752.6113791573</v>
      </c>
      <c r="P154" s="59">
        <f t="shared" si="60"/>
        <v>678136.71716638829</v>
      </c>
      <c r="Q154" s="59">
        <f t="shared" si="60"/>
        <v>1055546.3820557781</v>
      </c>
      <c r="R154" s="59">
        <f t="shared" si="60"/>
        <v>22647.673633495258</v>
      </c>
      <c r="T154" s="89">
        <f t="shared" si="59"/>
        <v>0</v>
      </c>
    </row>
    <row r="155" spans="1:20" x14ac:dyDescent="0.25">
      <c r="A155" s="22">
        <v>405</v>
      </c>
      <c r="B155" s="16" t="s">
        <v>440</v>
      </c>
      <c r="C155" s="16" t="str">
        <f>INDEX('Alloc Amt'!B:B,MATCH(Expenses!D:D,'Alloc Amt'!D:D,0))</f>
        <v>Prod Trans Dist Allocation Factor</v>
      </c>
      <c r="D155" s="56">
        <v>75</v>
      </c>
      <c r="E155" s="57"/>
      <c r="F155" s="46">
        <v>2500924.8299999996</v>
      </c>
      <c r="G155" s="59">
        <f t="shared" si="60"/>
        <v>1467856.662337888</v>
      </c>
      <c r="H155" s="59">
        <f t="shared" si="60"/>
        <v>313160.02295714495</v>
      </c>
      <c r="I155" s="59">
        <f t="shared" si="60"/>
        <v>305926.8808369888</v>
      </c>
      <c r="J155" s="59">
        <f t="shared" si="60"/>
        <v>166901.5385052374</v>
      </c>
      <c r="K155" s="59">
        <f t="shared" si="60"/>
        <v>124308.65291375967</v>
      </c>
      <c r="L155" s="59">
        <f t="shared" si="60"/>
        <v>610.6358116647649</v>
      </c>
      <c r="M155" s="59">
        <f t="shared" si="60"/>
        <v>14340.292665660489</v>
      </c>
      <c r="N155" s="59">
        <f t="shared" si="60"/>
        <v>16885.195352100305</v>
      </c>
      <c r="O155" s="59">
        <f t="shared" si="60"/>
        <v>40039.98771678051</v>
      </c>
      <c r="P155" s="59">
        <f t="shared" si="60"/>
        <v>25578.047758675042</v>
      </c>
      <c r="Q155" s="59">
        <f t="shared" si="60"/>
        <v>24498.594198433257</v>
      </c>
      <c r="R155" s="59">
        <f t="shared" si="60"/>
        <v>818.31894566767221</v>
      </c>
      <c r="T155" s="89">
        <f t="shared" si="59"/>
        <v>0</v>
      </c>
    </row>
    <row r="156" spans="1:20" x14ac:dyDescent="0.25">
      <c r="A156" s="22">
        <v>406</v>
      </c>
      <c r="B156" s="16" t="s">
        <v>441</v>
      </c>
      <c r="C156" s="16" t="s">
        <v>186</v>
      </c>
      <c r="E156" s="57">
        <v>25800</v>
      </c>
      <c r="F156" s="46"/>
      <c r="G156" s="59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T156" s="89">
        <f t="shared" si="59"/>
        <v>0</v>
      </c>
    </row>
    <row r="157" spans="1:20" x14ac:dyDescent="0.25">
      <c r="A157" s="22"/>
      <c r="B157" s="20" t="s">
        <v>322</v>
      </c>
      <c r="C157" s="16" t="str">
        <f>INDEX('Alloc Amt'!B:B,MATCH(Expenses!D:D,'Alloc Amt'!D:D,0))</f>
        <v>4 CP Winter Peak - No Interruptibles or Transportation</v>
      </c>
      <c r="D157" s="56">
        <v>30</v>
      </c>
      <c r="E157" s="111">
        <v>0.36530000000000001</v>
      </c>
      <c r="F157" s="46">
        <f>E156*E157</f>
        <v>9424.74</v>
      </c>
      <c r="G157" s="59">
        <f t="shared" ref="G157:R158" si="61">INDEX(Alloc,($D157),(G$1))*$F157</f>
        <v>5435.4848376003647</v>
      </c>
      <c r="H157" s="59">
        <f t="shared" si="61"/>
        <v>1253.1672948544242</v>
      </c>
      <c r="I157" s="59">
        <f t="shared" si="61"/>
        <v>1341.3125863338682</v>
      </c>
      <c r="J157" s="59">
        <f t="shared" si="61"/>
        <v>704.74957874368977</v>
      </c>
      <c r="K157" s="59">
        <f t="shared" si="61"/>
        <v>497.85104785843106</v>
      </c>
      <c r="L157" s="59">
        <f t="shared" si="61"/>
        <v>1.7013713396531453E-2</v>
      </c>
      <c r="M157" s="59">
        <f t="shared" si="61"/>
        <v>0</v>
      </c>
      <c r="N157" s="59">
        <f t="shared" si="61"/>
        <v>0</v>
      </c>
      <c r="O157" s="59">
        <f t="shared" si="61"/>
        <v>169.09894739021223</v>
      </c>
      <c r="P157" s="59">
        <f t="shared" si="61"/>
        <v>0</v>
      </c>
      <c r="Q157" s="59">
        <f t="shared" si="61"/>
        <v>19.587102953993988</v>
      </c>
      <c r="R157" s="59">
        <f t="shared" si="61"/>
        <v>3.4715905516195398</v>
      </c>
      <c r="T157" s="89">
        <f t="shared" si="59"/>
        <v>0</v>
      </c>
    </row>
    <row r="158" spans="1:20" x14ac:dyDescent="0.25">
      <c r="A158" s="22"/>
      <c r="B158" s="20" t="s">
        <v>323</v>
      </c>
      <c r="C158" s="16" t="str">
        <f>INDEX('Alloc Amt'!B:B,MATCH(Expenses!D:D,'Alloc Amt'!D:D,0))</f>
        <v>Energy - NO RETAIL WHEELING</v>
      </c>
      <c r="D158" s="56">
        <v>52</v>
      </c>
      <c r="E158" s="111">
        <f>1-E157</f>
        <v>0.63470000000000004</v>
      </c>
      <c r="F158" s="46">
        <f>E156*E158</f>
        <v>16375.26</v>
      </c>
      <c r="G158" s="59">
        <f t="shared" si="61"/>
        <v>8530.9132600102184</v>
      </c>
      <c r="H158" s="59">
        <f t="shared" si="61"/>
        <v>2167.6049588046658</v>
      </c>
      <c r="I158" s="59">
        <f t="shared" si="61"/>
        <v>2410.5427090145026</v>
      </c>
      <c r="J158" s="59">
        <f t="shared" si="61"/>
        <v>1555.6818673721457</v>
      </c>
      <c r="K158" s="59">
        <f t="shared" si="61"/>
        <v>1082.3544413916645</v>
      </c>
      <c r="L158" s="59">
        <f t="shared" si="61"/>
        <v>3.4176514361586658</v>
      </c>
      <c r="M158" s="59">
        <f t="shared" si="61"/>
        <v>94.325521281214534</v>
      </c>
      <c r="N158" s="59">
        <f t="shared" si="61"/>
        <v>0</v>
      </c>
      <c r="O158" s="59">
        <f t="shared" si="61"/>
        <v>468.48700927118068</v>
      </c>
      <c r="P158" s="59">
        <f t="shared" si="61"/>
        <v>0</v>
      </c>
      <c r="Q158" s="59">
        <f t="shared" si="61"/>
        <v>56.411643897529956</v>
      </c>
      <c r="R158" s="59">
        <f t="shared" si="61"/>
        <v>5.5209375207238462</v>
      </c>
      <c r="T158" s="89">
        <f t="shared" si="59"/>
        <v>0</v>
      </c>
    </row>
    <row r="159" spans="1:20" x14ac:dyDescent="0.25">
      <c r="A159" s="22">
        <v>406.01</v>
      </c>
      <c r="B159" s="16" t="s">
        <v>442</v>
      </c>
      <c r="C159" s="16" t="s">
        <v>148</v>
      </c>
      <c r="D159" s="56">
        <v>68</v>
      </c>
      <c r="E159" s="57"/>
      <c r="F159" s="46">
        <v>0</v>
      </c>
      <c r="G159" s="59">
        <f>INDEX(Alloc,($D159),(G$1))*$F159</f>
        <v>0</v>
      </c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T159" s="89">
        <f t="shared" si="59"/>
        <v>0</v>
      </c>
    </row>
    <row r="160" spans="1:20" x14ac:dyDescent="0.25">
      <c r="A160" s="22">
        <v>406.02</v>
      </c>
      <c r="B160" s="16" t="s">
        <v>443</v>
      </c>
      <c r="C160" s="16" t="s">
        <v>186</v>
      </c>
      <c r="E160" s="46">
        <v>715282.68</v>
      </c>
      <c r="F160" s="46"/>
      <c r="G160" s="59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T160" s="89">
        <f t="shared" si="59"/>
        <v>0</v>
      </c>
    </row>
    <row r="161" spans="1:20" x14ac:dyDescent="0.25">
      <c r="A161" s="22"/>
      <c r="B161" s="20" t="s">
        <v>322</v>
      </c>
      <c r="C161" s="16" t="str">
        <f>INDEX('Alloc Amt'!B:B,MATCH(Expenses!D:D,'Alloc Amt'!D:D,0))</f>
        <v>4 CP Winter Peak - No Interruptibles or Transportation</v>
      </c>
      <c r="D161" s="56">
        <v>30</v>
      </c>
      <c r="E161" s="111">
        <v>0.36530000000000001</v>
      </c>
      <c r="F161" s="46">
        <f>E160*E161</f>
        <v>261292.76300400004</v>
      </c>
      <c r="G161" s="59">
        <f t="shared" ref="G161:R169" si="62">INDEX(Alloc,($D161),(G$1))*$F161</f>
        <v>150694.11479605248</v>
      </c>
      <c r="H161" s="59">
        <f t="shared" si="62"/>
        <v>34742.979114411741</v>
      </c>
      <c r="I161" s="59">
        <f t="shared" si="62"/>
        <v>37186.731064752748</v>
      </c>
      <c r="J161" s="59">
        <f t="shared" si="62"/>
        <v>19538.572380335561</v>
      </c>
      <c r="K161" s="59">
        <f t="shared" si="62"/>
        <v>13802.48960282895</v>
      </c>
      <c r="L161" s="59">
        <f t="shared" si="62"/>
        <v>0.47169048507840783</v>
      </c>
      <c r="M161" s="59">
        <f t="shared" si="62"/>
        <v>0</v>
      </c>
      <c r="N161" s="59">
        <f t="shared" si="62"/>
        <v>0</v>
      </c>
      <c r="O161" s="59">
        <f t="shared" si="62"/>
        <v>4688.1220261414737</v>
      </c>
      <c r="P161" s="59">
        <f t="shared" si="62"/>
        <v>0</v>
      </c>
      <c r="Q161" s="59">
        <f t="shared" si="62"/>
        <v>543.03548427785813</v>
      </c>
      <c r="R161" s="59">
        <f t="shared" si="62"/>
        <v>96.24684471415128</v>
      </c>
      <c r="T161" s="89">
        <f t="shared" si="59"/>
        <v>0</v>
      </c>
    </row>
    <row r="162" spans="1:20" x14ac:dyDescent="0.25">
      <c r="A162" s="22"/>
      <c r="B162" s="20" t="s">
        <v>323</v>
      </c>
      <c r="C162" s="16" t="str">
        <f>INDEX('Alloc Amt'!B:B,MATCH(Expenses!D:D,'Alloc Amt'!D:D,0))</f>
        <v>Energy - NO RETAIL WHEELING</v>
      </c>
      <c r="D162" s="56">
        <v>52</v>
      </c>
      <c r="E162" s="111">
        <f>1-E161</f>
        <v>0.63470000000000004</v>
      </c>
      <c r="F162" s="46">
        <f>E160*E162</f>
        <v>453989.91699600004</v>
      </c>
      <c r="G162" s="59">
        <f t="shared" si="62"/>
        <v>236512.18990184675</v>
      </c>
      <c r="H162" s="59">
        <f t="shared" si="62"/>
        <v>60094.972252522908</v>
      </c>
      <c r="I162" s="59">
        <f t="shared" si="62"/>
        <v>66830.211207688131</v>
      </c>
      <c r="J162" s="59">
        <f t="shared" si="62"/>
        <v>43129.933927184225</v>
      </c>
      <c r="K162" s="59">
        <f t="shared" si="62"/>
        <v>30007.34052513693</v>
      </c>
      <c r="L162" s="59">
        <f t="shared" si="62"/>
        <v>94.751429401605407</v>
      </c>
      <c r="M162" s="59">
        <f t="shared" si="62"/>
        <v>2615.0934749776811</v>
      </c>
      <c r="N162" s="59">
        <f t="shared" si="62"/>
        <v>0</v>
      </c>
      <c r="O162" s="59">
        <f t="shared" si="62"/>
        <v>12988.397036305232</v>
      </c>
      <c r="P162" s="59">
        <f t="shared" si="62"/>
        <v>0</v>
      </c>
      <c r="Q162" s="59">
        <f t="shared" si="62"/>
        <v>1563.9640244275533</v>
      </c>
      <c r="R162" s="59">
        <f t="shared" si="62"/>
        <v>153.06321650914376</v>
      </c>
      <c r="T162" s="89">
        <f t="shared" si="59"/>
        <v>0</v>
      </c>
    </row>
    <row r="163" spans="1:20" x14ac:dyDescent="0.25">
      <c r="A163" s="22">
        <v>406.03</v>
      </c>
      <c r="B163" s="16" t="s">
        <v>444</v>
      </c>
      <c r="C163" s="16" t="str">
        <f>INDEX('Alloc Amt'!B:B,MATCH(Expenses!D:D,'Alloc Amt'!D:D,0))</f>
        <v>Total Production Plant</v>
      </c>
      <c r="D163" s="56">
        <v>73</v>
      </c>
      <c r="E163" s="57"/>
      <c r="F163" s="46">
        <v>8414393.160000002</v>
      </c>
      <c r="G163" s="59">
        <f t="shared" si="62"/>
        <v>4554990.8768361043</v>
      </c>
      <c r="H163" s="59">
        <f t="shared" si="62"/>
        <v>1115648.164849102</v>
      </c>
      <c r="I163" s="59">
        <f t="shared" si="62"/>
        <v>1223627.3462980276</v>
      </c>
      <c r="J163" s="59">
        <f t="shared" si="62"/>
        <v>737215.46119558124</v>
      </c>
      <c r="K163" s="59">
        <f t="shared" si="62"/>
        <v>515367.06434652937</v>
      </c>
      <c r="L163" s="59">
        <f t="shared" si="62"/>
        <v>1120.1791837716135</v>
      </c>
      <c r="M163" s="59">
        <f t="shared" si="62"/>
        <v>30763.256631088603</v>
      </c>
      <c r="N163" s="59">
        <f t="shared" si="62"/>
        <v>0</v>
      </c>
      <c r="O163" s="59">
        <f t="shared" si="62"/>
        <v>207941.81831952251</v>
      </c>
      <c r="P163" s="59">
        <f t="shared" si="62"/>
        <v>0</v>
      </c>
      <c r="Q163" s="59">
        <f t="shared" si="62"/>
        <v>24786.17580139669</v>
      </c>
      <c r="R163" s="59">
        <f t="shared" si="62"/>
        <v>2932.8165388772936</v>
      </c>
      <c r="T163" s="89">
        <f t="shared" si="59"/>
        <v>0</v>
      </c>
    </row>
    <row r="164" spans="1:20" x14ac:dyDescent="0.25">
      <c r="A164" s="22">
        <v>407</v>
      </c>
      <c r="B164" s="16" t="s">
        <v>445</v>
      </c>
      <c r="C164" s="16" t="str">
        <f>INDEX('Alloc Amt'!B:B,MATCH(Expenses!D:D,'Alloc Amt'!D:D,0))</f>
        <v>Total Production Plant</v>
      </c>
      <c r="D164" s="56">
        <v>73</v>
      </c>
      <c r="E164" s="57"/>
      <c r="F164" s="46">
        <v>10322245.039999999</v>
      </c>
      <c r="G164" s="59">
        <f t="shared" si="62"/>
        <v>5587774.5538653573</v>
      </c>
      <c r="H164" s="59">
        <f t="shared" si="62"/>
        <v>1368606.5669884556</v>
      </c>
      <c r="I164" s="59">
        <f t="shared" si="62"/>
        <v>1501068.5935351723</v>
      </c>
      <c r="J164" s="59">
        <f t="shared" si="62"/>
        <v>904369.27453213965</v>
      </c>
      <c r="K164" s="59">
        <f t="shared" si="62"/>
        <v>632219.70052684366</v>
      </c>
      <c r="L164" s="59">
        <f t="shared" si="62"/>
        <v>1374.1649342657745</v>
      </c>
      <c r="M164" s="59">
        <f t="shared" si="62"/>
        <v>37738.416441489564</v>
      </c>
      <c r="N164" s="59">
        <f t="shared" si="62"/>
        <v>0</v>
      </c>
      <c r="O164" s="59">
        <f t="shared" si="62"/>
        <v>255089.86351634556</v>
      </c>
      <c r="P164" s="59">
        <f t="shared" si="62"/>
        <v>0</v>
      </c>
      <c r="Q164" s="59">
        <f t="shared" si="62"/>
        <v>30406.111927688307</v>
      </c>
      <c r="R164" s="59">
        <f t="shared" si="62"/>
        <v>3597.793732240591</v>
      </c>
      <c r="T164" s="89">
        <f t="shared" si="59"/>
        <v>0</v>
      </c>
    </row>
    <row r="165" spans="1:20" x14ac:dyDescent="0.25">
      <c r="A165" s="22">
        <v>407.01</v>
      </c>
      <c r="B165" s="16" t="s">
        <v>446</v>
      </c>
      <c r="C165" s="16" t="str">
        <f>INDEX('Alloc Amt'!B:B,MATCH(Expenses!D:D,'Alloc Amt'!D:D,0))</f>
        <v>Total Transmission &amp; Distribution Plant</v>
      </c>
      <c r="D165" s="56">
        <v>80</v>
      </c>
      <c r="E165" s="57"/>
      <c r="F165" s="46">
        <v>32828154.283406239</v>
      </c>
      <c r="G165" s="59">
        <f t="shared" si="62"/>
        <v>20346721.285867099</v>
      </c>
      <c r="H165" s="59">
        <f t="shared" si="62"/>
        <v>3936229.6123619275</v>
      </c>
      <c r="I165" s="59">
        <f t="shared" si="62"/>
        <v>3469121.8899095645</v>
      </c>
      <c r="J165" s="59">
        <f t="shared" si="62"/>
        <v>1696701.9752752357</v>
      </c>
      <c r="K165" s="59">
        <f t="shared" si="62"/>
        <v>1358531.2482417517</v>
      </c>
      <c r="L165" s="59">
        <f t="shared" si="62"/>
        <v>10643.392436451984</v>
      </c>
      <c r="M165" s="59">
        <f t="shared" si="62"/>
        <v>237416.06301750292</v>
      </c>
      <c r="N165" s="59">
        <f t="shared" si="62"/>
        <v>381432.5410152509</v>
      </c>
      <c r="O165" s="59">
        <f t="shared" si="62"/>
        <v>319616.36965848238</v>
      </c>
      <c r="P165" s="59">
        <f t="shared" si="62"/>
        <v>577802.00627571077</v>
      </c>
      <c r="Q165" s="59">
        <f t="shared" si="62"/>
        <v>483701.39479158161</v>
      </c>
      <c r="R165" s="59">
        <f t="shared" si="62"/>
        <v>10236.504555683092</v>
      </c>
      <c r="T165" s="89">
        <f t="shared" si="59"/>
        <v>0</v>
      </c>
    </row>
    <row r="166" spans="1:20" x14ac:dyDescent="0.25">
      <c r="A166" s="22">
        <v>407.02</v>
      </c>
      <c r="B166" s="16" t="s">
        <v>447</v>
      </c>
      <c r="C166" s="16" t="str">
        <f>INDEX('Alloc Amt'!B:B,MATCH(Expenses!D:D,'Alloc Amt'!D:D,0))</f>
        <v>Total Production Plant</v>
      </c>
      <c r="D166" s="56">
        <v>73</v>
      </c>
      <c r="E166" s="57"/>
      <c r="F166" s="46">
        <v>17023692.917146448</v>
      </c>
      <c r="G166" s="59">
        <f t="shared" si="62"/>
        <v>9215491.1772225127</v>
      </c>
      <c r="H166" s="59">
        <f t="shared" si="62"/>
        <v>2257138.6196041601</v>
      </c>
      <c r="I166" s="59">
        <f t="shared" si="62"/>
        <v>2475598.155720172</v>
      </c>
      <c r="J166" s="59">
        <f t="shared" si="62"/>
        <v>1491507.3953076452</v>
      </c>
      <c r="K166" s="59">
        <f t="shared" si="62"/>
        <v>1042671.8215109606</v>
      </c>
      <c r="L166" s="59">
        <f t="shared" si="62"/>
        <v>2266.3056115989357</v>
      </c>
      <c r="M166" s="59">
        <f t="shared" si="62"/>
        <v>62239.097230277439</v>
      </c>
      <c r="N166" s="59">
        <f t="shared" si="62"/>
        <v>0</v>
      </c>
      <c r="O166" s="59">
        <f t="shared" si="62"/>
        <v>420700.29203444161</v>
      </c>
      <c r="P166" s="59">
        <f t="shared" si="62"/>
        <v>0</v>
      </c>
      <c r="Q166" s="59">
        <f t="shared" si="62"/>
        <v>50146.485600321459</v>
      </c>
      <c r="R166" s="59">
        <f t="shared" si="62"/>
        <v>5933.5673043563047</v>
      </c>
      <c r="T166" s="89">
        <f t="shared" si="59"/>
        <v>0</v>
      </c>
    </row>
    <row r="167" spans="1:20" x14ac:dyDescent="0.25">
      <c r="A167" s="22">
        <v>411</v>
      </c>
      <c r="B167" s="16" t="s">
        <v>448</v>
      </c>
      <c r="C167" s="16" t="str">
        <f>INDEX('Alloc Amt'!B:B,MATCH(Expenses!D:D,'Alloc Amt'!D:D,0))</f>
        <v>Total Production Plant</v>
      </c>
      <c r="D167" s="56">
        <v>73</v>
      </c>
      <c r="E167" s="57"/>
      <c r="F167" s="46">
        <v>3537694.08</v>
      </c>
      <c r="G167" s="59">
        <f t="shared" si="62"/>
        <v>1915071.4677845042</v>
      </c>
      <c r="H167" s="59">
        <f t="shared" si="62"/>
        <v>469056.03685263637</v>
      </c>
      <c r="I167" s="59">
        <f t="shared" si="62"/>
        <v>514454.11889033258</v>
      </c>
      <c r="J167" s="59">
        <f t="shared" si="62"/>
        <v>309950.19167324918</v>
      </c>
      <c r="K167" s="59">
        <f t="shared" si="62"/>
        <v>216677.65908928547</v>
      </c>
      <c r="L167" s="59">
        <f t="shared" si="62"/>
        <v>470.96102970402069</v>
      </c>
      <c r="M167" s="59">
        <f t="shared" si="62"/>
        <v>12933.908458506457</v>
      </c>
      <c r="N167" s="59">
        <f t="shared" si="62"/>
        <v>0</v>
      </c>
      <c r="O167" s="59">
        <f t="shared" si="62"/>
        <v>87425.738929152925</v>
      </c>
      <c r="P167" s="59">
        <f t="shared" si="62"/>
        <v>0</v>
      </c>
      <c r="Q167" s="59">
        <f t="shared" si="62"/>
        <v>10420.942512560265</v>
      </c>
      <c r="R167" s="59">
        <f t="shared" si="62"/>
        <v>1233.0547800683335</v>
      </c>
      <c r="T167" s="89">
        <f t="shared" si="59"/>
        <v>0</v>
      </c>
    </row>
    <row r="168" spans="1:20" x14ac:dyDescent="0.25">
      <c r="A168" s="22">
        <v>411.01</v>
      </c>
      <c r="B168" s="16" t="s">
        <v>449</v>
      </c>
      <c r="C168" s="16" t="str">
        <f>INDEX('Alloc Amt'!B:B,MATCH(Expenses!D:D,'Alloc Amt'!D:D,0))</f>
        <v>Prod Trans Dist Allocation Factor</v>
      </c>
      <c r="D168" s="56">
        <v>75</v>
      </c>
      <c r="E168" s="57"/>
      <c r="F168" s="46">
        <v>-4297707.3533333335</v>
      </c>
      <c r="G168" s="59">
        <f t="shared" si="62"/>
        <v>-2522434.219411891</v>
      </c>
      <c r="H168" s="59">
        <f t="shared" si="62"/>
        <v>-538148.97484662011</v>
      </c>
      <c r="I168" s="59">
        <f t="shared" si="62"/>
        <v>-525719.20178642776</v>
      </c>
      <c r="J168" s="59">
        <f t="shared" si="62"/>
        <v>-286811.48697964079</v>
      </c>
      <c r="K168" s="59">
        <f t="shared" si="62"/>
        <v>-213617.86060176231</v>
      </c>
      <c r="L168" s="59">
        <f t="shared" si="62"/>
        <v>-1049.3454207499428</v>
      </c>
      <c r="M168" s="59">
        <f t="shared" si="62"/>
        <v>-24643.036247579326</v>
      </c>
      <c r="N168" s="59">
        <f t="shared" si="62"/>
        <v>-29016.317226612253</v>
      </c>
      <c r="O168" s="59">
        <f t="shared" si="62"/>
        <v>-68806.606089709618</v>
      </c>
      <c r="P168" s="59">
        <f t="shared" si="62"/>
        <v>-43954.525389061346</v>
      </c>
      <c r="Q168" s="59">
        <f t="shared" si="62"/>
        <v>-42099.541405623124</v>
      </c>
      <c r="R168" s="59">
        <f t="shared" si="62"/>
        <v>-1406.2379276581198</v>
      </c>
      <c r="T168" s="89">
        <f t="shared" si="59"/>
        <v>0</v>
      </c>
    </row>
    <row r="169" spans="1:20" x14ac:dyDescent="0.25">
      <c r="A169" s="22">
        <v>411.02</v>
      </c>
      <c r="B169" s="16" t="s">
        <v>450</v>
      </c>
      <c r="C169" s="16" t="str">
        <f>INDEX('Alloc Amt'!B:B,MATCH(Expenses!D:D,'Alloc Amt'!D:D,0))</f>
        <v>Prod Trans Dist Allocation Factor</v>
      </c>
      <c r="D169" s="56">
        <v>75</v>
      </c>
      <c r="E169" s="57"/>
      <c r="F169" s="46">
        <v>-4419.1099999999997</v>
      </c>
      <c r="G169" s="59">
        <f t="shared" si="62"/>
        <v>-2593.6885336549617</v>
      </c>
      <c r="H169" s="59">
        <f t="shared" si="62"/>
        <v>-553.35073347652315</v>
      </c>
      <c r="I169" s="59">
        <f t="shared" si="62"/>
        <v>-540.56984126769839</v>
      </c>
      <c r="J169" s="59">
        <f t="shared" si="62"/>
        <v>-294.91340522373065</v>
      </c>
      <c r="K169" s="59">
        <f t="shared" si="62"/>
        <v>-219.65218809784238</v>
      </c>
      <c r="L169" s="59">
        <f t="shared" si="62"/>
        <v>-1.0789875766421495</v>
      </c>
      <c r="M169" s="59">
        <f t="shared" si="62"/>
        <v>-25.339158523108001</v>
      </c>
      <c r="N169" s="59">
        <f t="shared" si="62"/>
        <v>-29.835976970335405</v>
      </c>
      <c r="O169" s="59">
        <f t="shared" si="62"/>
        <v>-70.750271258293651</v>
      </c>
      <c r="P169" s="59">
        <f t="shared" si="62"/>
        <v>-45.19616314531072</v>
      </c>
      <c r="Q169" s="59">
        <f t="shared" si="62"/>
        <v>-43.288779138651037</v>
      </c>
      <c r="R169" s="59">
        <f t="shared" si="62"/>
        <v>-1.4459616669044255</v>
      </c>
      <c r="T169" s="89">
        <f t="shared" si="59"/>
        <v>0</v>
      </c>
    </row>
    <row r="170" spans="1:20" x14ac:dyDescent="0.25">
      <c r="A170" s="25"/>
      <c r="B170" s="24" t="s">
        <v>451</v>
      </c>
      <c r="C170" s="24"/>
      <c r="D170" s="60"/>
      <c r="E170" s="47"/>
      <c r="F170" s="47">
        <f>SUM(F121:F169)</f>
        <v>497013983.85999942</v>
      </c>
      <c r="G170" s="47">
        <f t="shared" ref="G170:R170" si="63">SUM(G121:G169)</f>
        <v>296709135.37851065</v>
      </c>
      <c r="H170" s="47">
        <f t="shared" si="63"/>
        <v>62545242.554562151</v>
      </c>
      <c r="I170" s="47">
        <f t="shared" si="63"/>
        <v>58748793.015017942</v>
      </c>
      <c r="J170" s="47">
        <f t="shared" si="63"/>
        <v>31960240.164645899</v>
      </c>
      <c r="K170" s="47">
        <f t="shared" si="63"/>
        <v>24315753.016081247</v>
      </c>
      <c r="L170" s="47">
        <f t="shared" si="63"/>
        <v>117232.22394369359</v>
      </c>
      <c r="M170" s="47">
        <f t="shared" si="63"/>
        <v>2878723.4955487</v>
      </c>
      <c r="N170" s="47">
        <f t="shared" si="63"/>
        <v>2016186.9626153717</v>
      </c>
      <c r="O170" s="47">
        <f t="shared" si="63"/>
        <v>7546680.3955736272</v>
      </c>
      <c r="P170" s="47">
        <f t="shared" si="63"/>
        <v>3879143.7848223313</v>
      </c>
      <c r="Q170" s="47">
        <f t="shared" si="63"/>
        <v>6139050.4630015139</v>
      </c>
      <c r="R170" s="47">
        <f t="shared" si="63"/>
        <v>157802.40567627241</v>
      </c>
      <c r="T170" s="89">
        <f t="shared" si="59"/>
        <v>0</v>
      </c>
    </row>
    <row r="171" spans="1:20" x14ac:dyDescent="0.25">
      <c r="A171" s="22"/>
      <c r="B171" s="16"/>
      <c r="C171" s="16"/>
      <c r="E171" s="57"/>
      <c r="F171" s="46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T171" s="89">
        <f t="shared" si="59"/>
        <v>0</v>
      </c>
    </row>
    <row r="172" spans="1:20" x14ac:dyDescent="0.25">
      <c r="A172" s="22"/>
      <c r="B172" s="20" t="s">
        <v>452</v>
      </c>
      <c r="C172" s="16"/>
      <c r="E172" s="57"/>
      <c r="F172" s="46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T172" s="89">
        <f t="shared" si="59"/>
        <v>0</v>
      </c>
    </row>
    <row r="173" spans="1:20" x14ac:dyDescent="0.25">
      <c r="A173" s="22">
        <v>236</v>
      </c>
      <c r="B173" s="16" t="s">
        <v>453</v>
      </c>
      <c r="C173" s="16" t="str">
        <f>INDEX('Alloc Amt'!B:B,MATCH(Expenses!D:D,'Alloc Amt'!D:D,0))</f>
        <v>Total Prod, Trans, Dist &amp; Gen Plant</v>
      </c>
      <c r="D173" s="56">
        <v>74</v>
      </c>
      <c r="E173" s="57"/>
      <c r="F173" s="46">
        <v>1.6871670037508011</v>
      </c>
      <c r="G173" s="59">
        <f t="shared" ref="G173:R175" si="64">INDEX(Alloc,($D173),(G$1))*$F173</f>
        <v>0.99283617609037589</v>
      </c>
      <c r="H173" s="59">
        <f t="shared" si="64"/>
        <v>0.21090607964842983</v>
      </c>
      <c r="I173" s="59">
        <f t="shared" si="64"/>
        <v>0.2052344218077588</v>
      </c>
      <c r="J173" s="59">
        <f t="shared" si="64"/>
        <v>0.11199520895751822</v>
      </c>
      <c r="K173" s="59">
        <f t="shared" si="64"/>
        <v>8.3446583643821237E-2</v>
      </c>
      <c r="L173" s="59">
        <f t="shared" si="64"/>
        <v>4.0967216906769829E-4</v>
      </c>
      <c r="M173" s="59">
        <f t="shared" si="64"/>
        <v>9.6226463753850619E-3</v>
      </c>
      <c r="N173" s="59">
        <f t="shared" si="64"/>
        <v>1.1328942348623933E-2</v>
      </c>
      <c r="O173" s="59">
        <f t="shared" si="64"/>
        <v>2.6859829354932425E-2</v>
      </c>
      <c r="P173" s="59">
        <f t="shared" si="64"/>
        <v>1.7120631110580601E-2</v>
      </c>
      <c r="Q173" s="59">
        <f t="shared" si="64"/>
        <v>1.6857993251490545E-2</v>
      </c>
      <c r="R173" s="59">
        <f t="shared" si="64"/>
        <v>5.4881899281660959E-4</v>
      </c>
      <c r="T173" s="89">
        <f t="shared" si="59"/>
        <v>0</v>
      </c>
    </row>
    <row r="174" spans="1:20" x14ac:dyDescent="0.25">
      <c r="A174" s="22">
        <v>236.01</v>
      </c>
      <c r="B174" s="16" t="s">
        <v>454</v>
      </c>
      <c r="C174" s="16" t="str">
        <f>INDEX('Alloc Amt'!B:B,MATCH(Expenses!D:D,'Alloc Amt'!D:D,0))</f>
        <v>Salary &amp; Wages - Total</v>
      </c>
      <c r="D174" s="56">
        <v>78</v>
      </c>
      <c r="E174" s="57"/>
      <c r="F174" s="46">
        <v>7271650.778474519</v>
      </c>
      <c r="G174" s="59">
        <f t="shared" si="64"/>
        <v>4492438.4019505912</v>
      </c>
      <c r="H174" s="59">
        <f t="shared" si="64"/>
        <v>879525.48549734394</v>
      </c>
      <c r="I174" s="59">
        <f t="shared" si="64"/>
        <v>789866.23374938534</v>
      </c>
      <c r="J174" s="59">
        <f t="shared" si="64"/>
        <v>433369.93175838632</v>
      </c>
      <c r="K174" s="59">
        <f t="shared" si="64"/>
        <v>325546.07974715042</v>
      </c>
      <c r="L174" s="59">
        <f t="shared" si="64"/>
        <v>1577.0909613137635</v>
      </c>
      <c r="M174" s="59">
        <f t="shared" si="64"/>
        <v>37199.244788878736</v>
      </c>
      <c r="N174" s="59">
        <f t="shared" si="64"/>
        <v>43739.669321591762</v>
      </c>
      <c r="O174" s="59">
        <f t="shared" si="64"/>
        <v>103298.70327511449</v>
      </c>
      <c r="P174" s="59">
        <f t="shared" si="64"/>
        <v>63103.126368964389</v>
      </c>
      <c r="Q174" s="59">
        <f t="shared" si="64"/>
        <v>99888.160798948622</v>
      </c>
      <c r="R174" s="59">
        <f t="shared" si="64"/>
        <v>2098.6502568506448</v>
      </c>
      <c r="T174" s="89">
        <f t="shared" si="59"/>
        <v>0</v>
      </c>
    </row>
    <row r="175" spans="1:20" x14ac:dyDescent="0.25">
      <c r="A175" s="22">
        <v>236.02</v>
      </c>
      <c r="B175" s="16" t="s">
        <v>455</v>
      </c>
      <c r="C175" s="16" t="str">
        <f>INDEX('Alloc Amt'!B:B,MATCH(Expenses!D:D,'Alloc Amt'!D:D,0))</f>
        <v>Firm Sales Revenue</v>
      </c>
      <c r="D175" s="56">
        <v>84</v>
      </c>
      <c r="E175" s="57"/>
      <c r="F175" s="46">
        <v>78476383.807139233</v>
      </c>
      <c r="G175" s="59">
        <f>INDEX(Alloc,($D175),(G$1))*$F175</f>
        <v>43458515.5860686</v>
      </c>
      <c r="H175" s="59">
        <f t="shared" si="64"/>
        <v>10350476.092688439</v>
      </c>
      <c r="I175" s="59">
        <f t="shared" si="64"/>
        <v>10637850.451390972</v>
      </c>
      <c r="J175" s="59">
        <f t="shared" si="64"/>
        <v>6298570.6725555714</v>
      </c>
      <c r="K175" s="59">
        <f t="shared" si="64"/>
        <v>4450600.6167540615</v>
      </c>
      <c r="L175" s="59">
        <f t="shared" si="64"/>
        <v>10532.170475064138</v>
      </c>
      <c r="M175" s="59">
        <f t="shared" si="64"/>
        <v>419973.74601289415</v>
      </c>
      <c r="N175" s="59">
        <f t="shared" si="64"/>
        <v>215880.6504987868</v>
      </c>
      <c r="O175" s="59">
        <f t="shared" si="64"/>
        <v>1576923.2453266236</v>
      </c>
      <c r="P175" s="59">
        <f t="shared" si="64"/>
        <v>397583.27647052257</v>
      </c>
      <c r="Q175" s="59">
        <f t="shared" si="64"/>
        <v>646731.63491588214</v>
      </c>
      <c r="R175" s="59">
        <f t="shared" si="64"/>
        <v>12745.663981822165</v>
      </c>
      <c r="T175" s="89">
        <f t="shared" si="59"/>
        <v>0</v>
      </c>
    </row>
    <row r="176" spans="1:20" x14ac:dyDescent="0.25">
      <c r="A176" s="22">
        <v>236.03</v>
      </c>
      <c r="B176" s="16" t="s">
        <v>456</v>
      </c>
      <c r="C176" s="16"/>
      <c r="E176" s="57"/>
      <c r="F176" s="46">
        <v>0</v>
      </c>
      <c r="G176" s="59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T176" s="89">
        <f t="shared" si="59"/>
        <v>0</v>
      </c>
    </row>
    <row r="177" spans="1:20" x14ac:dyDescent="0.25">
      <c r="A177" s="22">
        <v>236.04</v>
      </c>
      <c r="B177" s="16" t="s">
        <v>457</v>
      </c>
      <c r="C177" s="16" t="str">
        <f>INDEX('Alloc Amt'!B:B,MATCH(Expenses!D:D,'Alloc Amt'!D:D,0))</f>
        <v>Energy - NO RETAIL WHEELING</v>
      </c>
      <c r="D177" s="56">
        <v>52</v>
      </c>
      <c r="E177" s="57"/>
      <c r="F177" s="46">
        <v>747526.2321675783</v>
      </c>
      <c r="G177" s="59">
        <f t="shared" ref="G177:R177" si="65">INDEX(Alloc,($D177),(G$1))*$F177</f>
        <v>389433.90493976098</v>
      </c>
      <c r="H177" s="59">
        <f t="shared" si="65"/>
        <v>98950.585681266166</v>
      </c>
      <c r="I177" s="59">
        <f t="shared" si="65"/>
        <v>110040.62889680151</v>
      </c>
      <c r="J177" s="59">
        <f t="shared" si="65"/>
        <v>71016.460487840945</v>
      </c>
      <c r="K177" s="59">
        <f t="shared" si="65"/>
        <v>49409.190293366635</v>
      </c>
      <c r="L177" s="59">
        <f t="shared" si="65"/>
        <v>156.01487249263829</v>
      </c>
      <c r="M177" s="59">
        <f t="shared" si="65"/>
        <v>4305.9347772547744</v>
      </c>
      <c r="N177" s="59">
        <f t="shared" si="65"/>
        <v>0</v>
      </c>
      <c r="O177" s="59">
        <f t="shared" si="65"/>
        <v>21386.306468412899</v>
      </c>
      <c r="P177" s="59">
        <f t="shared" si="65"/>
        <v>0</v>
      </c>
      <c r="Q177" s="59">
        <f t="shared" si="65"/>
        <v>2575.1764315864129</v>
      </c>
      <c r="R177" s="59">
        <f t="shared" si="65"/>
        <v>252.02931879550664</v>
      </c>
      <c r="T177" s="89">
        <f t="shared" si="59"/>
        <v>0</v>
      </c>
    </row>
    <row r="178" spans="1:20" x14ac:dyDescent="0.25">
      <c r="A178" s="25"/>
      <c r="B178" s="24" t="s">
        <v>458</v>
      </c>
      <c r="C178" s="24"/>
      <c r="D178" s="60"/>
      <c r="E178" s="61"/>
      <c r="F178" s="47">
        <f>SUM(F173:F177)</f>
        <v>86495562.504948333</v>
      </c>
      <c r="G178" s="47">
        <f t="shared" ref="G178:R178" si="66">SUM(G173:G177)</f>
        <v>48340388.885795131</v>
      </c>
      <c r="H178" s="47">
        <f t="shared" si="66"/>
        <v>11328952.37477313</v>
      </c>
      <c r="I178" s="47">
        <f t="shared" si="66"/>
        <v>11537757.519271581</v>
      </c>
      <c r="J178" s="47">
        <f t="shared" si="66"/>
        <v>6802957.1767970072</v>
      </c>
      <c r="K178" s="47">
        <f t="shared" si="66"/>
        <v>4825555.9702411629</v>
      </c>
      <c r="L178" s="47">
        <f t="shared" si="66"/>
        <v>12265.276718542709</v>
      </c>
      <c r="M178" s="47">
        <f t="shared" si="66"/>
        <v>461478.935201674</v>
      </c>
      <c r="N178" s="47">
        <f t="shared" si="66"/>
        <v>259620.3311493209</v>
      </c>
      <c r="O178" s="47">
        <f t="shared" si="66"/>
        <v>1701608.2819299803</v>
      </c>
      <c r="P178" s="47">
        <f t="shared" si="66"/>
        <v>460686.41996011807</v>
      </c>
      <c r="Q178" s="47">
        <f t="shared" si="66"/>
        <v>749194.98900441045</v>
      </c>
      <c r="R178" s="47">
        <f t="shared" si="66"/>
        <v>15096.34410628731</v>
      </c>
      <c r="T178" s="89">
        <f t="shared" si="59"/>
        <v>0</v>
      </c>
    </row>
    <row r="179" spans="1:20" x14ac:dyDescent="0.25">
      <c r="A179" s="22"/>
      <c r="B179" s="16"/>
      <c r="C179" s="16"/>
      <c r="E179" s="57"/>
      <c r="F179" s="46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T179" s="89">
        <f t="shared" si="59"/>
        <v>0</v>
      </c>
    </row>
    <row r="180" spans="1:20" x14ac:dyDescent="0.25">
      <c r="A180" s="22"/>
      <c r="B180" s="20" t="s">
        <v>459</v>
      </c>
      <c r="C180" s="16"/>
      <c r="E180" s="57"/>
      <c r="F180" s="46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T180" s="89">
        <f t="shared" si="59"/>
        <v>0</v>
      </c>
    </row>
    <row r="181" spans="1:20" x14ac:dyDescent="0.25">
      <c r="A181" s="22" t="s">
        <v>460</v>
      </c>
      <c r="B181" s="16" t="s">
        <v>461</v>
      </c>
      <c r="C181" s="16" t="s">
        <v>164</v>
      </c>
      <c r="E181" s="57"/>
      <c r="F181" s="46">
        <v>75069264.46233812</v>
      </c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9"/>
      <c r="T181" s="89">
        <f t="shared" si="59"/>
        <v>75069264.46233812</v>
      </c>
    </row>
    <row r="182" spans="1:20" x14ac:dyDescent="0.25">
      <c r="A182" s="22" t="s">
        <v>462</v>
      </c>
      <c r="B182" s="16" t="s">
        <v>463</v>
      </c>
      <c r="C182" s="16" t="s">
        <v>164</v>
      </c>
      <c r="E182" s="57"/>
      <c r="F182" s="46">
        <v>-60815173.145295307</v>
      </c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59"/>
      <c r="T182" s="89">
        <f t="shared" si="59"/>
        <v>-60815173.145295307</v>
      </c>
    </row>
    <row r="183" spans="1:20" x14ac:dyDescent="0.25">
      <c r="A183" s="25"/>
      <c r="B183" s="24" t="s">
        <v>464</v>
      </c>
      <c r="C183" s="24"/>
      <c r="D183" s="60"/>
      <c r="E183" s="61"/>
      <c r="F183" s="47">
        <f>SUM(F181:F182)</f>
        <v>14254091.317042813</v>
      </c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T183" s="89">
        <f t="shared" si="59"/>
        <v>14254091.317042813</v>
      </c>
    </row>
    <row r="184" spans="1:20" x14ac:dyDescent="0.25">
      <c r="A184" s="22"/>
      <c r="B184" s="16"/>
      <c r="C184" s="16"/>
      <c r="E184" s="57"/>
      <c r="F184" s="46"/>
      <c r="G184" s="57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T184" s="89">
        <f t="shared" si="59"/>
        <v>0</v>
      </c>
    </row>
    <row r="185" spans="1:20" ht="15.75" thickBot="1" x14ac:dyDescent="0.3">
      <c r="A185" s="29"/>
      <c r="B185" s="28" t="s">
        <v>325</v>
      </c>
      <c r="C185" s="28"/>
      <c r="D185" s="110"/>
      <c r="E185" s="48">
        <v>1740964054.9918489</v>
      </c>
      <c r="F185" s="48">
        <f>SUM(F118,F170,F178,F183)</f>
        <v>1740964054.9918489</v>
      </c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  <c r="T185" s="89">
        <f t="shared" si="59"/>
        <v>1740964054.9918489</v>
      </c>
    </row>
    <row r="186" spans="1:20" ht="15.75" thickTop="1" x14ac:dyDescent="0.25">
      <c r="A186" s="41"/>
      <c r="B186" s="16"/>
      <c r="C186" s="16"/>
      <c r="E186" s="57"/>
      <c r="F186" s="46"/>
      <c r="G186" s="57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T186" s="89">
        <f t="shared" si="59"/>
        <v>0</v>
      </c>
    </row>
    <row r="187" spans="1:20" x14ac:dyDescent="0.25">
      <c r="A187" s="41"/>
      <c r="B187" s="16"/>
      <c r="C187" s="16"/>
      <c r="E187" s="57"/>
      <c r="F187" s="46">
        <v>1740964054.9918489</v>
      </c>
      <c r="G187" s="57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T187" s="89">
        <f t="shared" si="59"/>
        <v>1740964054.9918489</v>
      </c>
    </row>
    <row r="188" spans="1:20" x14ac:dyDescent="0.25">
      <c r="A188" s="16"/>
      <c r="B188" s="16"/>
      <c r="C188" s="16"/>
      <c r="E188" s="57"/>
      <c r="F188" s="49">
        <v>0</v>
      </c>
      <c r="G188" s="57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</row>
    <row r="189" spans="1:20" x14ac:dyDescent="0.25">
      <c r="A189" s="43"/>
      <c r="B189" s="43"/>
      <c r="C189" s="44"/>
      <c r="E189" s="57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</row>
  </sheetData>
  <autoFilter ref="D1:D189" xr:uid="{91AC8D71-894E-4740-91D6-EEF74B1C60D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159AC-0145-4C13-B424-A4F6F6996419}">
  <dimension ref="A1:T41"/>
  <sheetViews>
    <sheetView topLeftCell="A13" workbookViewId="0">
      <selection activeCell="F41" sqref="F41:R41"/>
    </sheetView>
  </sheetViews>
  <sheetFormatPr defaultRowHeight="15" x14ac:dyDescent="0.25"/>
  <cols>
    <col min="2" max="2" width="45.140625" bestFit="1" customWidth="1"/>
    <col min="3" max="3" width="16" bestFit="1" customWidth="1"/>
    <col min="5" max="5" width="11.28515625" bestFit="1" customWidth="1"/>
    <col min="6" max="6" width="12.28515625" bestFit="1" customWidth="1"/>
    <col min="7" max="9" width="11.28515625" bestFit="1" customWidth="1"/>
    <col min="10" max="11" width="10.28515625" bestFit="1" customWidth="1"/>
    <col min="12" max="13" width="10.28515625" customWidth="1"/>
    <col min="14" max="17" width="10.28515625" bestFit="1" customWidth="1"/>
    <col min="18" max="18" width="7.7109375" bestFit="1" customWidth="1"/>
  </cols>
  <sheetData>
    <row r="1" spans="1:20" x14ac:dyDescent="0.25">
      <c r="F1">
        <v>4</v>
      </c>
      <c r="G1">
        <f>F1+1</f>
        <v>5</v>
      </c>
      <c r="H1">
        <f t="shared" ref="H1:K1" si="0">G1+1</f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ref="L1" si="1">K1+1</f>
        <v>10</v>
      </c>
      <c r="M1">
        <f t="shared" ref="M1" si="2">L1+1</f>
        <v>11</v>
      </c>
      <c r="N1">
        <f t="shared" ref="N1" si="3">M1+1</f>
        <v>12</v>
      </c>
      <c r="O1">
        <f t="shared" ref="O1" si="4">N1+1</f>
        <v>13</v>
      </c>
      <c r="P1">
        <f t="shared" ref="P1" si="5">O1+1</f>
        <v>14</v>
      </c>
      <c r="Q1">
        <f t="shared" ref="Q1" si="6">P1+1</f>
        <v>15</v>
      </c>
      <c r="R1">
        <f t="shared" ref="R1" si="7">Q1+1</f>
        <v>16</v>
      </c>
    </row>
    <row r="7" spans="1:20" ht="64.5" x14ac:dyDescent="0.25">
      <c r="C7" t="s">
        <v>119</v>
      </c>
      <c r="D7" t="s">
        <v>320</v>
      </c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x14ac:dyDescent="0.25">
      <c r="B8" t="s">
        <v>180</v>
      </c>
      <c r="C8" t="s">
        <v>490</v>
      </c>
      <c r="D8" t="s">
        <v>321</v>
      </c>
      <c r="F8" t="s">
        <v>1</v>
      </c>
    </row>
    <row r="9" spans="1:20" x14ac:dyDescent="0.25">
      <c r="A9" s="21"/>
      <c r="B9" s="20" t="s">
        <v>466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20" x14ac:dyDescent="0.25">
      <c r="A10" s="21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1" spans="1:20" x14ac:dyDescent="0.25">
      <c r="A11" s="21"/>
      <c r="B11" s="20" t="s">
        <v>467</v>
      </c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</row>
    <row r="12" spans="1:20" x14ac:dyDescent="0.25">
      <c r="A12" s="21" t="s">
        <v>468</v>
      </c>
      <c r="B12" s="16" t="s">
        <v>469</v>
      </c>
      <c r="C12" t="str">
        <f>INDEX('Alloc Amt'!B:B,MATCH(Labor!D:D,'Alloc Amt'!D:D,0))</f>
        <v>Total Production Plant</v>
      </c>
      <c r="D12">
        <v>73</v>
      </c>
      <c r="F12" s="46">
        <v>28389225.455022946</v>
      </c>
      <c r="G12" s="39">
        <f t="shared" ref="G12:R12" si="8">INDEX(Alloc,($D12),(G$1))*$F12</f>
        <v>15368031.953010477</v>
      </c>
      <c r="H12" s="39">
        <f t="shared" si="8"/>
        <v>3764072.6643184042</v>
      </c>
      <c r="I12" s="39">
        <f t="shared" si="8"/>
        <v>4128382.3974521928</v>
      </c>
      <c r="J12" s="39">
        <f t="shared" si="8"/>
        <v>2487282.8662560461</v>
      </c>
      <c r="K12" s="39">
        <f t="shared" si="8"/>
        <v>1738791.0813792942</v>
      </c>
      <c r="L12" s="39">
        <f t="shared" si="8"/>
        <v>3779.3598175671541</v>
      </c>
      <c r="M12" s="39">
        <f t="shared" si="8"/>
        <v>103791.80193081254</v>
      </c>
      <c r="N12" s="39">
        <f t="shared" si="8"/>
        <v>0</v>
      </c>
      <c r="O12" s="39">
        <f t="shared" si="8"/>
        <v>701572.53762080497</v>
      </c>
      <c r="P12" s="39">
        <f t="shared" si="8"/>
        <v>0</v>
      </c>
      <c r="Q12" s="39">
        <f t="shared" si="8"/>
        <v>83625.796847563091</v>
      </c>
      <c r="R12" s="39">
        <f t="shared" si="8"/>
        <v>9894.9963897821399</v>
      </c>
      <c r="T12" s="11">
        <f>F12-SUM(G12:R12)</f>
        <v>0</v>
      </c>
    </row>
    <row r="13" spans="1:20" s="53" customFormat="1" x14ac:dyDescent="0.25">
      <c r="A13" s="51"/>
      <c r="B13" s="53" t="s">
        <v>189</v>
      </c>
      <c r="F13" s="55">
        <f>SUM(F12)</f>
        <v>28389225.455022946</v>
      </c>
      <c r="G13" s="55">
        <f t="shared" ref="G13:R13" si="9">SUM(G12)</f>
        <v>15368031.953010477</v>
      </c>
      <c r="H13" s="55">
        <f t="shared" si="9"/>
        <v>3764072.6643184042</v>
      </c>
      <c r="I13" s="55">
        <f t="shared" si="9"/>
        <v>4128382.3974521928</v>
      </c>
      <c r="J13" s="55">
        <f t="shared" si="9"/>
        <v>2487282.8662560461</v>
      </c>
      <c r="K13" s="55">
        <f t="shared" si="9"/>
        <v>1738791.0813792942</v>
      </c>
      <c r="L13" s="55">
        <f t="shared" si="9"/>
        <v>3779.3598175671541</v>
      </c>
      <c r="M13" s="55">
        <f t="shared" si="9"/>
        <v>103791.80193081254</v>
      </c>
      <c r="N13" s="55">
        <f t="shared" si="9"/>
        <v>0</v>
      </c>
      <c r="O13" s="55">
        <f t="shared" si="9"/>
        <v>701572.53762080497</v>
      </c>
      <c r="P13" s="55">
        <f t="shared" si="9"/>
        <v>0</v>
      </c>
      <c r="Q13" s="55">
        <f t="shared" si="9"/>
        <v>83625.796847563091</v>
      </c>
      <c r="R13" s="55">
        <f t="shared" si="9"/>
        <v>9894.9963897821399</v>
      </c>
      <c r="T13" s="11">
        <f>F13-SUM(G13:R13)</f>
        <v>0</v>
      </c>
    </row>
    <row r="14" spans="1:20" x14ac:dyDescent="0.25">
      <c r="A14" s="21"/>
      <c r="B14" s="53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20" x14ac:dyDescent="0.25">
      <c r="A15" s="21"/>
      <c r="B15" s="20" t="s">
        <v>470</v>
      </c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</row>
    <row r="16" spans="1:20" x14ac:dyDescent="0.25">
      <c r="A16" s="21" t="s">
        <v>471</v>
      </c>
      <c r="B16" s="16" t="s">
        <v>472</v>
      </c>
      <c r="C16" t="str">
        <f>INDEX('Alloc Amt'!B:B,MATCH(Labor!D:D,'Alloc Amt'!D:D,0))</f>
        <v>Total Transmission Plant</v>
      </c>
      <c r="D16">
        <v>82</v>
      </c>
      <c r="F16" s="46">
        <v>9524371.1429421082</v>
      </c>
      <c r="G16" s="39">
        <f t="shared" ref="G16:R16" si="10">INDEX(Alloc,($D16),(G$1))*$F16</f>
        <v>4801262.9455141574</v>
      </c>
      <c r="H16" s="39">
        <f t="shared" si="10"/>
        <v>1175387.852525122</v>
      </c>
      <c r="I16" s="39">
        <f t="shared" si="10"/>
        <v>1288903.2336519556</v>
      </c>
      <c r="J16" s="39">
        <f t="shared" si="10"/>
        <v>775776.60907107545</v>
      </c>
      <c r="K16" s="39">
        <f t="shared" si="10"/>
        <v>542362.51363572001</v>
      </c>
      <c r="L16" s="39">
        <f t="shared" si="10"/>
        <v>1170.9573995824521</v>
      </c>
      <c r="M16" s="39">
        <f t="shared" si="10"/>
        <v>32154.303884572724</v>
      </c>
      <c r="N16" s="39">
        <f t="shared" si="10"/>
        <v>100781.10790055078</v>
      </c>
      <c r="O16" s="39">
        <f t="shared" si="10"/>
        <v>218598.39946152252</v>
      </c>
      <c r="P16" s="39">
        <f t="shared" si="10"/>
        <v>558829.84992657695</v>
      </c>
      <c r="Q16" s="39">
        <f t="shared" si="10"/>
        <v>26052.195257516723</v>
      </c>
      <c r="R16" s="39">
        <f t="shared" si="10"/>
        <v>3091.1747137559223</v>
      </c>
      <c r="T16" s="11">
        <f t="shared" ref="T16:T17" si="11">F16-SUM(G16:R16)</f>
        <v>0</v>
      </c>
    </row>
    <row r="17" spans="1:20" s="53" customFormat="1" x14ac:dyDescent="0.25">
      <c r="A17" s="51"/>
      <c r="B17" s="53" t="s">
        <v>189</v>
      </c>
      <c r="F17" s="55">
        <f>SUM(F16)</f>
        <v>9524371.1429421082</v>
      </c>
      <c r="G17" s="55">
        <f t="shared" ref="G17:R17" si="12">SUM(G16)</f>
        <v>4801262.9455141574</v>
      </c>
      <c r="H17" s="55">
        <f t="shared" si="12"/>
        <v>1175387.852525122</v>
      </c>
      <c r="I17" s="55">
        <f t="shared" si="12"/>
        <v>1288903.2336519556</v>
      </c>
      <c r="J17" s="55">
        <f t="shared" si="12"/>
        <v>775776.60907107545</v>
      </c>
      <c r="K17" s="55">
        <f t="shared" si="12"/>
        <v>542362.51363572001</v>
      </c>
      <c r="L17" s="55">
        <f t="shared" si="12"/>
        <v>1170.9573995824521</v>
      </c>
      <c r="M17" s="55">
        <f t="shared" si="12"/>
        <v>32154.303884572724</v>
      </c>
      <c r="N17" s="55">
        <f t="shared" si="12"/>
        <v>100781.10790055078</v>
      </c>
      <c r="O17" s="55">
        <f t="shared" si="12"/>
        <v>218598.39946152252</v>
      </c>
      <c r="P17" s="55">
        <f t="shared" si="12"/>
        <v>558829.84992657695</v>
      </c>
      <c r="Q17" s="55">
        <f t="shared" si="12"/>
        <v>26052.195257516723</v>
      </c>
      <c r="R17" s="55">
        <f t="shared" si="12"/>
        <v>3091.1747137559223</v>
      </c>
      <c r="T17" s="11">
        <f t="shared" si="11"/>
        <v>0</v>
      </c>
    </row>
    <row r="18" spans="1:20" x14ac:dyDescent="0.25">
      <c r="A18" s="21"/>
      <c r="B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</row>
    <row r="19" spans="1:20" x14ac:dyDescent="0.25">
      <c r="A19" s="21"/>
      <c r="B19" s="20" t="s">
        <v>473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</row>
    <row r="20" spans="1:20" x14ac:dyDescent="0.25">
      <c r="A20" s="21" t="s">
        <v>474</v>
      </c>
      <c r="B20" s="16" t="s">
        <v>475</v>
      </c>
      <c r="C20" t="str">
        <f>INDEX('Alloc Amt'!B:B,MATCH(Labor!D:D,'Alloc Amt'!D:D,0))</f>
        <v>Total Distribution Plant</v>
      </c>
      <c r="D20">
        <v>68</v>
      </c>
      <c r="F20" s="46">
        <v>28292537.446778752</v>
      </c>
      <c r="G20" s="39">
        <f t="shared" ref="G20:R20" si="13">INDEX(Alloc,($D20),(G$1))*$F20</f>
        <v>18812060.296566386</v>
      </c>
      <c r="H20" s="39">
        <f t="shared" si="13"/>
        <v>3353725.1003998294</v>
      </c>
      <c r="I20" s="39">
        <f t="shared" si="13"/>
        <v>2662657.1974587156</v>
      </c>
      <c r="J20" s="39">
        <f t="shared" si="13"/>
        <v>1133842.1724696301</v>
      </c>
      <c r="K20" s="39">
        <f t="shared" si="13"/>
        <v>999133.9935697671</v>
      </c>
      <c r="L20" s="39">
        <f t="shared" si="13"/>
        <v>11393.617657440931</v>
      </c>
      <c r="M20" s="39">
        <f t="shared" si="13"/>
        <v>247160.31049893712</v>
      </c>
      <c r="N20" s="39">
        <f t="shared" si="13"/>
        <v>340182.12384995742</v>
      </c>
      <c r="O20" s="39">
        <f t="shared" si="13"/>
        <v>129644.50237925042</v>
      </c>
      <c r="P20" s="39">
        <f t="shared" si="13"/>
        <v>44792.738387103869</v>
      </c>
      <c r="Q20" s="39">
        <f t="shared" si="13"/>
        <v>549263.68244694755</v>
      </c>
      <c r="R20" s="39">
        <f t="shared" si="13"/>
        <v>8681.7110947825895</v>
      </c>
      <c r="T20" s="11">
        <f t="shared" ref="T20:T21" si="14">F20-SUM(G20:R20)</f>
        <v>0</v>
      </c>
    </row>
    <row r="21" spans="1:20" s="53" customFormat="1" x14ac:dyDescent="0.25">
      <c r="A21" s="51"/>
      <c r="B21" s="53" t="s">
        <v>189</v>
      </c>
      <c r="F21" s="52">
        <f>SUM(F20)</f>
        <v>28292537.446778752</v>
      </c>
      <c r="G21" s="52">
        <f t="shared" ref="G21:R21" si="15">SUM(G20)</f>
        <v>18812060.296566386</v>
      </c>
      <c r="H21" s="52">
        <f t="shared" si="15"/>
        <v>3353725.1003998294</v>
      </c>
      <c r="I21" s="52">
        <f t="shared" si="15"/>
        <v>2662657.1974587156</v>
      </c>
      <c r="J21" s="52">
        <f t="shared" si="15"/>
        <v>1133842.1724696301</v>
      </c>
      <c r="K21" s="52">
        <f t="shared" si="15"/>
        <v>999133.9935697671</v>
      </c>
      <c r="L21" s="52">
        <f t="shared" si="15"/>
        <v>11393.617657440931</v>
      </c>
      <c r="M21" s="52">
        <f t="shared" si="15"/>
        <v>247160.31049893712</v>
      </c>
      <c r="N21" s="52">
        <f t="shared" si="15"/>
        <v>340182.12384995742</v>
      </c>
      <c r="O21" s="52">
        <f t="shared" si="15"/>
        <v>129644.50237925042</v>
      </c>
      <c r="P21" s="52">
        <f t="shared" si="15"/>
        <v>44792.738387103869</v>
      </c>
      <c r="Q21" s="52">
        <f t="shared" si="15"/>
        <v>549263.68244694755</v>
      </c>
      <c r="R21" s="52">
        <f t="shared" si="15"/>
        <v>8681.7110947825895</v>
      </c>
      <c r="T21" s="11">
        <f t="shared" si="14"/>
        <v>0</v>
      </c>
    </row>
    <row r="22" spans="1:20" x14ac:dyDescent="0.25">
      <c r="A22" s="21"/>
      <c r="B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20" x14ac:dyDescent="0.25">
      <c r="A23" s="21"/>
      <c r="B23" s="20" t="s">
        <v>476</v>
      </c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</row>
    <row r="24" spans="1:20" x14ac:dyDescent="0.25">
      <c r="A24" s="21" t="s">
        <v>477</v>
      </c>
      <c r="B24" s="16" t="s">
        <v>478</v>
      </c>
      <c r="C24" t="str">
        <f>INDEX('Alloc Amt'!B:B,MATCH(Labor!D:D,'Alloc Amt'!D:D,0))</f>
        <v>Cust Accts Exp - Total</v>
      </c>
      <c r="D24">
        <v>63</v>
      </c>
      <c r="F24" s="46">
        <v>11005573.481128439</v>
      </c>
      <c r="G24" s="39">
        <f t="shared" ref="G24:R24" si="16">INDEX(Alloc,($D24),(G$1))*$F24</f>
        <v>9572809.3555943463</v>
      </c>
      <c r="H24" s="39">
        <f t="shared" si="16"/>
        <v>1002769.3972109647</v>
      </c>
      <c r="I24" s="39">
        <f t="shared" si="16"/>
        <v>100891.00110746252</v>
      </c>
      <c r="J24" s="39">
        <f t="shared" si="16"/>
        <v>107054.81822825941</v>
      </c>
      <c r="K24" s="39">
        <f t="shared" si="16"/>
        <v>115711.15618826138</v>
      </c>
      <c r="L24" s="39">
        <f t="shared" si="16"/>
        <v>9.7679277053206981</v>
      </c>
      <c r="M24" s="39">
        <f t="shared" si="16"/>
        <v>3238.5780321294897</v>
      </c>
      <c r="N24" s="39">
        <f t="shared" si="16"/>
        <v>13140.966580869263</v>
      </c>
      <c r="O24" s="39">
        <f t="shared" si="16"/>
        <v>20961.424315093176</v>
      </c>
      <c r="P24" s="39">
        <f t="shared" si="16"/>
        <v>37427.87766192665</v>
      </c>
      <c r="Q24" s="39">
        <f t="shared" si="16"/>
        <v>31538.431796987199</v>
      </c>
      <c r="R24" s="39">
        <f t="shared" si="16"/>
        <v>20.706484432343885</v>
      </c>
      <c r="T24" s="11">
        <f t="shared" ref="T24:T25" si="17">F24-SUM(G24:R24)</f>
        <v>0</v>
      </c>
    </row>
    <row r="25" spans="1:20" s="53" customFormat="1" x14ac:dyDescent="0.25">
      <c r="A25" s="51"/>
      <c r="B25" s="53" t="s">
        <v>189</v>
      </c>
      <c r="F25" s="52">
        <f>SUM(F24)</f>
        <v>11005573.481128439</v>
      </c>
      <c r="G25" s="52">
        <f t="shared" ref="G25:R25" si="18">SUM(G24)</f>
        <v>9572809.3555943463</v>
      </c>
      <c r="H25" s="52">
        <f t="shared" si="18"/>
        <v>1002769.3972109647</v>
      </c>
      <c r="I25" s="52">
        <f t="shared" si="18"/>
        <v>100891.00110746252</v>
      </c>
      <c r="J25" s="52">
        <f t="shared" si="18"/>
        <v>107054.81822825941</v>
      </c>
      <c r="K25" s="52">
        <f t="shared" si="18"/>
        <v>115711.15618826138</v>
      </c>
      <c r="L25" s="52">
        <f t="shared" si="18"/>
        <v>9.7679277053206981</v>
      </c>
      <c r="M25" s="52">
        <f t="shared" si="18"/>
        <v>3238.5780321294897</v>
      </c>
      <c r="N25" s="52">
        <f t="shared" si="18"/>
        <v>13140.966580869263</v>
      </c>
      <c r="O25" s="52">
        <f t="shared" si="18"/>
        <v>20961.424315093176</v>
      </c>
      <c r="P25" s="52">
        <f t="shared" si="18"/>
        <v>37427.87766192665</v>
      </c>
      <c r="Q25" s="52">
        <f t="shared" si="18"/>
        <v>31538.431796987199</v>
      </c>
      <c r="R25" s="52">
        <f t="shared" si="18"/>
        <v>20.706484432343885</v>
      </c>
      <c r="T25" s="11">
        <f t="shared" si="17"/>
        <v>0</v>
      </c>
    </row>
    <row r="26" spans="1:20" x14ac:dyDescent="0.25">
      <c r="A26" s="21"/>
      <c r="B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20" x14ac:dyDescent="0.25">
      <c r="A27" s="21"/>
      <c r="B27" s="20" t="s">
        <v>479</v>
      </c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0" x14ac:dyDescent="0.25">
      <c r="A28" s="21" t="s">
        <v>480</v>
      </c>
      <c r="B28" s="16" t="s">
        <v>481</v>
      </c>
      <c r="C28" t="str">
        <f>INDEX('Alloc Amt'!B:B,MATCH(Labor!D:D,'Alloc Amt'!D:D,0))</f>
        <v>Ave. No. Cust.</v>
      </c>
      <c r="D28">
        <v>1</v>
      </c>
      <c r="F28" s="46">
        <v>1376273.7558263356</v>
      </c>
      <c r="G28" s="39">
        <f t="shared" ref="G28:R28" si="19">INDEX(Alloc,($D28),(G$1))*$F28</f>
        <v>1209631.7695763246</v>
      </c>
      <c r="H28" s="39">
        <f t="shared" si="19"/>
        <v>145550.04880101755</v>
      </c>
      <c r="I28" s="39">
        <f t="shared" si="19"/>
        <v>9772.1228836946921</v>
      </c>
      <c r="J28" s="39">
        <f t="shared" si="19"/>
        <v>1007.8549078969783</v>
      </c>
      <c r="K28" s="39">
        <f t="shared" si="19"/>
        <v>582.92795741784857</v>
      </c>
      <c r="L28" s="39">
        <f t="shared" si="19"/>
        <v>2.3939546505866467</v>
      </c>
      <c r="M28" s="39">
        <f t="shared" si="19"/>
        <v>185.53148542046515</v>
      </c>
      <c r="N28" s="39">
        <f t="shared" si="19"/>
        <v>111.31889125227907</v>
      </c>
      <c r="O28" s="39">
        <f t="shared" si="19"/>
        <v>29.924433132333085</v>
      </c>
      <c r="P28" s="39">
        <f t="shared" si="19"/>
        <v>19.151637204693174</v>
      </c>
      <c r="Q28" s="39">
        <f t="shared" si="19"/>
        <v>9371.1354797214281</v>
      </c>
      <c r="R28" s="39">
        <f t="shared" si="19"/>
        <v>9.5758186023465868</v>
      </c>
      <c r="T28" s="11">
        <f t="shared" ref="T28:T29" si="20">F28-SUM(G28:R28)</f>
        <v>0</v>
      </c>
    </row>
    <row r="29" spans="1:20" s="53" customFormat="1" x14ac:dyDescent="0.25">
      <c r="A29" s="51"/>
      <c r="B29" s="53" t="s">
        <v>189</v>
      </c>
      <c r="F29" s="52">
        <f>SUM(F28)</f>
        <v>1376273.7558263356</v>
      </c>
      <c r="G29" s="52">
        <f t="shared" ref="G29:R29" si="21">SUM(G28)</f>
        <v>1209631.7695763246</v>
      </c>
      <c r="H29" s="52">
        <f t="shared" si="21"/>
        <v>145550.04880101755</v>
      </c>
      <c r="I29" s="52">
        <f t="shared" si="21"/>
        <v>9772.1228836946921</v>
      </c>
      <c r="J29" s="52">
        <f t="shared" si="21"/>
        <v>1007.8549078969783</v>
      </c>
      <c r="K29" s="52">
        <f t="shared" si="21"/>
        <v>582.92795741784857</v>
      </c>
      <c r="L29" s="52">
        <f t="shared" si="21"/>
        <v>2.3939546505866467</v>
      </c>
      <c r="M29" s="52">
        <f t="shared" si="21"/>
        <v>185.53148542046515</v>
      </c>
      <c r="N29" s="52">
        <f t="shared" si="21"/>
        <v>111.31889125227907</v>
      </c>
      <c r="O29" s="52">
        <f t="shared" si="21"/>
        <v>29.924433132333085</v>
      </c>
      <c r="P29" s="52">
        <f t="shared" si="21"/>
        <v>19.151637204693174</v>
      </c>
      <c r="Q29" s="52">
        <f t="shared" si="21"/>
        <v>9371.1354797214281</v>
      </c>
      <c r="R29" s="52">
        <f t="shared" si="21"/>
        <v>9.5758186023465868</v>
      </c>
      <c r="T29" s="11">
        <f t="shared" si="20"/>
        <v>0</v>
      </c>
    </row>
    <row r="30" spans="1:20" x14ac:dyDescent="0.25">
      <c r="A30" s="21"/>
      <c r="B30" s="1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</row>
    <row r="31" spans="1:20" x14ac:dyDescent="0.25">
      <c r="A31" s="51"/>
      <c r="B31" s="20" t="s">
        <v>482</v>
      </c>
      <c r="F31" s="52">
        <f>SUM(F13,F17,F21,F25,F29)</f>
        <v>78587981.281698585</v>
      </c>
      <c r="G31" s="52">
        <f t="shared" ref="G31:R31" si="22">SUM(G13,G17,G21,G25,G29)</f>
        <v>49763796.320261694</v>
      </c>
      <c r="H31" s="52">
        <f t="shared" si="22"/>
        <v>9441505.063255338</v>
      </c>
      <c r="I31" s="52">
        <f t="shared" si="22"/>
        <v>8190605.952554022</v>
      </c>
      <c r="J31" s="52">
        <f t="shared" si="22"/>
        <v>4504964.3209329089</v>
      </c>
      <c r="K31" s="52">
        <f t="shared" si="22"/>
        <v>3396581.6727304603</v>
      </c>
      <c r="L31" s="52">
        <f t="shared" si="22"/>
        <v>16356.096756946445</v>
      </c>
      <c r="M31" s="52">
        <f t="shared" si="22"/>
        <v>386530.52583187236</v>
      </c>
      <c r="N31" s="52">
        <f t="shared" si="22"/>
        <v>454215.51722262974</v>
      </c>
      <c r="O31" s="52">
        <f t="shared" si="22"/>
        <v>1070806.7882098034</v>
      </c>
      <c r="P31" s="52">
        <f t="shared" si="22"/>
        <v>641069.6176128122</v>
      </c>
      <c r="Q31" s="52">
        <f t="shared" si="22"/>
        <v>699851.24182873603</v>
      </c>
      <c r="R31" s="52">
        <f t="shared" si="22"/>
        <v>21698.164501355339</v>
      </c>
      <c r="T31" s="11">
        <f>F31-SUM(G31:R31)</f>
        <v>0</v>
      </c>
    </row>
    <row r="32" spans="1:20" x14ac:dyDescent="0.25">
      <c r="A32" s="51"/>
      <c r="B32" s="20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20" x14ac:dyDescent="0.25">
      <c r="A33" s="21"/>
      <c r="B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</row>
    <row r="34" spans="1:20" x14ac:dyDescent="0.25">
      <c r="A34" s="21"/>
      <c r="B34" s="20" t="s">
        <v>483</v>
      </c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</row>
    <row r="35" spans="1:20" x14ac:dyDescent="0.25">
      <c r="A35" s="21" t="s">
        <v>484</v>
      </c>
      <c r="B35" s="16" t="s">
        <v>485</v>
      </c>
      <c r="C35" t="str">
        <f>INDEX('Alloc Amt'!B:B,MATCH(Labor!D:D,'Alloc Amt'!D:D,0))</f>
        <v>Prod Trans Dist Allocation Factor</v>
      </c>
      <c r="D35">
        <v>75</v>
      </c>
      <c r="F35" s="46">
        <v>29215057.33172036</v>
      </c>
      <c r="G35" s="39">
        <f t="shared" ref="G35:R35" si="23">INDEX(Alloc,($D35),(G$1))*$F35</f>
        <v>17147063.370532852</v>
      </c>
      <c r="H35" s="39">
        <f t="shared" si="23"/>
        <v>3658241.9091324131</v>
      </c>
      <c r="I35" s="39">
        <f t="shared" si="23"/>
        <v>3573746.5019958285</v>
      </c>
      <c r="J35" s="39">
        <f t="shared" si="23"/>
        <v>1949693.9522899792</v>
      </c>
      <c r="K35" s="39">
        <f t="shared" si="23"/>
        <v>1452136.576893603</v>
      </c>
      <c r="L35" s="39">
        <f t="shared" si="23"/>
        <v>7133.2652755451691</v>
      </c>
      <c r="M35" s="39">
        <f t="shared" si="23"/>
        <v>167519.0183068878</v>
      </c>
      <c r="N35" s="39">
        <f t="shared" si="23"/>
        <v>197247.81183003754</v>
      </c>
      <c r="O35" s="39">
        <f t="shared" si="23"/>
        <v>467735.18447058712</v>
      </c>
      <c r="P35" s="39">
        <f t="shared" si="23"/>
        <v>298795.11880537926</v>
      </c>
      <c r="Q35" s="39">
        <f t="shared" si="23"/>
        <v>286185.26453423215</v>
      </c>
      <c r="R35" s="39">
        <f t="shared" si="23"/>
        <v>9559.3576530303017</v>
      </c>
      <c r="T35" s="11">
        <f t="shared" ref="T35:T37" si="24">F35-SUM(G35:R35)</f>
        <v>0</v>
      </c>
    </row>
    <row r="36" spans="1:20" x14ac:dyDescent="0.25">
      <c r="A36" s="21" t="s">
        <v>486</v>
      </c>
      <c r="B36" s="16" t="s">
        <v>487</v>
      </c>
      <c r="D36" t="s">
        <v>465</v>
      </c>
      <c r="F36" s="46">
        <v>501708.48065521597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/>
      <c r="M36" s="46"/>
      <c r="N36" s="46">
        <v>0</v>
      </c>
      <c r="O36" s="46">
        <v>0</v>
      </c>
      <c r="P36" s="46">
        <v>0</v>
      </c>
      <c r="Q36" s="46">
        <v>501708.48065521597</v>
      </c>
      <c r="R36" s="46">
        <v>0</v>
      </c>
      <c r="T36" s="11">
        <f t="shared" si="24"/>
        <v>0</v>
      </c>
    </row>
    <row r="37" spans="1:20" s="53" customFormat="1" x14ac:dyDescent="0.25">
      <c r="A37" s="20"/>
      <c r="B37" s="20" t="s">
        <v>189</v>
      </c>
      <c r="F37" s="52">
        <f>SUM(F35:F36)</f>
        <v>29716765.812375575</v>
      </c>
      <c r="G37" s="52">
        <f t="shared" ref="G37:R37" si="25">SUM(G35:G36)</f>
        <v>17147063.370532852</v>
      </c>
      <c r="H37" s="52">
        <f t="shared" si="25"/>
        <v>3658241.9091324131</v>
      </c>
      <c r="I37" s="52">
        <f t="shared" si="25"/>
        <v>3573746.5019958285</v>
      </c>
      <c r="J37" s="52">
        <f t="shared" si="25"/>
        <v>1949693.9522899792</v>
      </c>
      <c r="K37" s="52">
        <f t="shared" si="25"/>
        <v>1452136.576893603</v>
      </c>
      <c r="L37" s="52">
        <f t="shared" si="25"/>
        <v>7133.2652755451691</v>
      </c>
      <c r="M37" s="52">
        <f t="shared" si="25"/>
        <v>167519.0183068878</v>
      </c>
      <c r="N37" s="52">
        <f t="shared" si="25"/>
        <v>197247.81183003754</v>
      </c>
      <c r="O37" s="52">
        <f t="shared" si="25"/>
        <v>467735.18447058712</v>
      </c>
      <c r="P37" s="52">
        <f t="shared" si="25"/>
        <v>298795.11880537926</v>
      </c>
      <c r="Q37" s="52">
        <f t="shared" si="25"/>
        <v>787893.74518944812</v>
      </c>
      <c r="R37" s="52">
        <f t="shared" si="25"/>
        <v>9559.3576530303017</v>
      </c>
      <c r="T37" s="11">
        <f t="shared" si="24"/>
        <v>0</v>
      </c>
    </row>
    <row r="38" spans="1:20" x14ac:dyDescent="0.25">
      <c r="A38" s="16"/>
      <c r="B38" s="1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</row>
    <row r="39" spans="1:20" x14ac:dyDescent="0.25">
      <c r="A39" s="20"/>
      <c r="B39" s="20" t="s">
        <v>488</v>
      </c>
      <c r="F39" s="52">
        <f>F37</f>
        <v>29716765.812375575</v>
      </c>
      <c r="G39" s="52">
        <f t="shared" ref="G39:R39" si="26">G37</f>
        <v>17147063.370532852</v>
      </c>
      <c r="H39" s="52">
        <f t="shared" si="26"/>
        <v>3658241.9091324131</v>
      </c>
      <c r="I39" s="52">
        <f t="shared" si="26"/>
        <v>3573746.5019958285</v>
      </c>
      <c r="J39" s="52">
        <f t="shared" si="26"/>
        <v>1949693.9522899792</v>
      </c>
      <c r="K39" s="52">
        <f t="shared" si="26"/>
        <v>1452136.576893603</v>
      </c>
      <c r="L39" s="52">
        <f t="shared" si="26"/>
        <v>7133.2652755451691</v>
      </c>
      <c r="M39" s="52">
        <f t="shared" si="26"/>
        <v>167519.0183068878</v>
      </c>
      <c r="N39" s="52">
        <f t="shared" si="26"/>
        <v>197247.81183003754</v>
      </c>
      <c r="O39" s="52">
        <f t="shared" si="26"/>
        <v>467735.18447058712</v>
      </c>
      <c r="P39" s="52">
        <f t="shared" si="26"/>
        <v>298795.11880537926</v>
      </c>
      <c r="Q39" s="52">
        <f t="shared" si="26"/>
        <v>787893.74518944812</v>
      </c>
      <c r="R39" s="52">
        <f t="shared" si="26"/>
        <v>9559.3576530303017</v>
      </c>
      <c r="T39" s="11">
        <f>F39-SUM(G39:R39)</f>
        <v>0</v>
      </c>
    </row>
    <row r="40" spans="1:20" x14ac:dyDescent="0.25">
      <c r="A40" s="16"/>
      <c r="B40" s="1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</row>
    <row r="41" spans="1:20" x14ac:dyDescent="0.25">
      <c r="A41" s="20"/>
      <c r="B41" s="20" t="s">
        <v>489</v>
      </c>
      <c r="F41" s="52">
        <f>F31+F39</f>
        <v>108304747.09407416</v>
      </c>
      <c r="G41" s="52">
        <f t="shared" ref="G41:R41" si="27">G31+G39</f>
        <v>66910859.690794542</v>
      </c>
      <c r="H41" s="52">
        <f t="shared" si="27"/>
        <v>13099746.972387752</v>
      </c>
      <c r="I41" s="52">
        <f t="shared" si="27"/>
        <v>11764352.454549851</v>
      </c>
      <c r="J41" s="52">
        <f t="shared" si="27"/>
        <v>6454658.2732228879</v>
      </c>
      <c r="K41" s="52">
        <f t="shared" si="27"/>
        <v>4848718.2496240633</v>
      </c>
      <c r="L41" s="52">
        <f t="shared" si="27"/>
        <v>23489.362032491612</v>
      </c>
      <c r="M41" s="52">
        <f t="shared" si="27"/>
        <v>554049.54413876019</v>
      </c>
      <c r="N41" s="52">
        <f t="shared" si="27"/>
        <v>651463.32905266725</v>
      </c>
      <c r="O41" s="52">
        <f t="shared" si="27"/>
        <v>1538541.9726803906</v>
      </c>
      <c r="P41" s="52">
        <f t="shared" si="27"/>
        <v>939864.73641819146</v>
      </c>
      <c r="Q41" s="52">
        <f t="shared" si="27"/>
        <v>1487744.9870181843</v>
      </c>
      <c r="R41" s="52">
        <f t="shared" si="27"/>
        <v>31257.522154385639</v>
      </c>
      <c r="T41" s="11">
        <f>F41-SUM(G41:R41)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01DE1-3101-4F51-B388-D071281CD12E}">
  <dimension ref="A1:T59"/>
  <sheetViews>
    <sheetView topLeftCell="C29" workbookViewId="0">
      <selection activeCell="G56" sqref="G56:R56"/>
    </sheetView>
  </sheetViews>
  <sheetFormatPr defaultRowHeight="15" x14ac:dyDescent="0.25"/>
  <cols>
    <col min="1" max="1" width="7.42578125" style="19" bestFit="1" customWidth="1"/>
    <col min="2" max="2" width="59" style="19" bestFit="1" customWidth="1"/>
    <col min="3" max="3" width="55.28515625" style="19" bestFit="1" customWidth="1"/>
    <col min="4" max="4" width="15" style="19" bestFit="1" customWidth="1"/>
    <col min="5" max="5" width="9.140625" style="19"/>
    <col min="6" max="7" width="15" style="19" bestFit="1" customWidth="1"/>
    <col min="8" max="11" width="13.42578125" style="19" bestFit="1" customWidth="1"/>
    <col min="12" max="13" width="13.42578125" style="19" customWidth="1"/>
    <col min="14" max="14" width="11.28515625" style="19" bestFit="1" customWidth="1"/>
    <col min="15" max="17" width="12.28515625" style="19" bestFit="1" customWidth="1"/>
    <col min="18" max="18" width="9.7109375" style="19" bestFit="1" customWidth="1"/>
    <col min="19" max="19" width="9.140625" style="19"/>
    <col min="20" max="20" width="16" style="19" bestFit="1" customWidth="1"/>
    <col min="21" max="16384" width="9.140625" style="19"/>
  </cols>
  <sheetData>
    <row r="1" spans="1:20" customFormat="1" x14ac:dyDescent="0.25">
      <c r="A1" s="19"/>
      <c r="B1" s="19"/>
      <c r="C1" s="19">
        <v>2</v>
      </c>
      <c r="D1" s="19">
        <v>3</v>
      </c>
      <c r="E1" s="19"/>
      <c r="F1" s="19">
        <v>4</v>
      </c>
      <c r="G1" s="19">
        <v>5</v>
      </c>
      <c r="H1" s="19">
        <v>6</v>
      </c>
      <c r="I1" s="19">
        <v>7</v>
      </c>
      <c r="J1" s="19">
        <v>8</v>
      </c>
      <c r="K1" s="19">
        <v>9</v>
      </c>
      <c r="L1" s="19">
        <f>K1+1</f>
        <v>10</v>
      </c>
      <c r="M1" s="19">
        <f t="shared" ref="M1:R1" si="0">L1+1</f>
        <v>11</v>
      </c>
      <c r="N1" s="19">
        <f t="shared" si="0"/>
        <v>12</v>
      </c>
      <c r="O1" s="19">
        <f t="shared" si="0"/>
        <v>13</v>
      </c>
      <c r="P1" s="19">
        <f t="shared" si="0"/>
        <v>14</v>
      </c>
      <c r="Q1" s="19">
        <f t="shared" si="0"/>
        <v>15</v>
      </c>
      <c r="R1" s="19">
        <f t="shared" si="0"/>
        <v>16</v>
      </c>
    </row>
    <row r="2" spans="1:20" customFormat="1" x14ac:dyDescent="0.25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0" customFormat="1" x14ac:dyDescent="0.25">
      <c r="A3" s="19"/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20" customFormat="1" x14ac:dyDescent="0.25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20" customFormat="1" x14ac:dyDescent="0.25">
      <c r="A5" s="19"/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20" customFormat="1" x14ac:dyDescent="0.25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20" customFormat="1" ht="51.75" x14ac:dyDescent="0.25">
      <c r="A7" s="19"/>
      <c r="B7" s="19"/>
      <c r="C7" s="19"/>
      <c r="D7" s="19" t="s">
        <v>320</v>
      </c>
      <c r="E7" s="19"/>
      <c r="F7" s="19"/>
      <c r="G7" s="33" t="s">
        <v>313</v>
      </c>
      <c r="H7" s="33" t="s">
        <v>314</v>
      </c>
      <c r="I7" s="33" t="s">
        <v>315</v>
      </c>
      <c r="J7" s="33" t="s">
        <v>316</v>
      </c>
      <c r="K7" s="98" t="s">
        <v>583</v>
      </c>
      <c r="L7" s="98" t="s">
        <v>584</v>
      </c>
      <c r="M7" s="98" t="s">
        <v>585</v>
      </c>
      <c r="N7" s="33" t="s">
        <v>9</v>
      </c>
      <c r="O7" s="33" t="s">
        <v>317</v>
      </c>
      <c r="P7" s="33" t="s">
        <v>318</v>
      </c>
      <c r="Q7" s="33" t="s">
        <v>319</v>
      </c>
      <c r="R7" s="33" t="s">
        <v>13</v>
      </c>
      <c r="T7" s="33" t="s">
        <v>535</v>
      </c>
    </row>
    <row r="8" spans="1:20" customFormat="1" x14ac:dyDescent="0.25">
      <c r="A8" s="45"/>
      <c r="B8" s="35" t="s">
        <v>180</v>
      </c>
      <c r="C8" s="34" t="s">
        <v>181</v>
      </c>
      <c r="D8" s="34" t="s">
        <v>321</v>
      </c>
      <c r="E8" s="45"/>
      <c r="F8" s="34" t="s">
        <v>1</v>
      </c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20" x14ac:dyDescent="0.25">
      <c r="A9" s="70"/>
      <c r="B9" s="70"/>
      <c r="C9" s="70"/>
      <c r="D9" s="70"/>
    </row>
    <row r="10" spans="1:20" x14ac:dyDescent="0.25">
      <c r="A10" s="71"/>
      <c r="B10" s="20" t="s">
        <v>492</v>
      </c>
      <c r="C10" s="72"/>
      <c r="F10" s="71"/>
    </row>
    <row r="11" spans="1:20" x14ac:dyDescent="0.25">
      <c r="A11" s="73">
        <v>447</v>
      </c>
      <c r="B11" s="71" t="s">
        <v>493</v>
      </c>
      <c r="C11" s="72" t="str">
        <f>INDEX('Alloc Amt'!B:B,MATCH(Revenue!D:D,'Alloc Amt'!D:D,0))</f>
        <v>Proforma Retail Revenue - No Transportation &amp; Special Contract</v>
      </c>
      <c r="D11" s="19">
        <v>23</v>
      </c>
      <c r="F11" s="74">
        <v>1981067118.0012321</v>
      </c>
      <c r="G11" s="59">
        <f t="shared" ref="G11:R14" si="1">INDEX(Alloc,($D11),(G$1))*$F11</f>
        <v>1105896513.2900393</v>
      </c>
      <c r="H11" s="59">
        <f t="shared" si="1"/>
        <v>263390391.2140398</v>
      </c>
      <c r="I11" s="59">
        <f t="shared" si="1"/>
        <v>270703257.2199825</v>
      </c>
      <c r="J11" s="59">
        <f t="shared" si="1"/>
        <v>160280839.13024956</v>
      </c>
      <c r="K11" s="59">
        <f t="shared" si="1"/>
        <v>113255219.09203497</v>
      </c>
      <c r="L11" s="59">
        <f t="shared" si="1"/>
        <v>268014.00021779712</v>
      </c>
      <c r="M11" s="59">
        <f t="shared" si="1"/>
        <v>10687146.00868473</v>
      </c>
      <c r="N11" s="59">
        <f t="shared" si="1"/>
        <v>0</v>
      </c>
      <c r="O11" s="59">
        <f t="shared" si="1"/>
        <v>40128244.032609545</v>
      </c>
      <c r="P11" s="59">
        <f t="shared" si="1"/>
        <v>0</v>
      </c>
      <c r="Q11" s="59">
        <f t="shared" si="1"/>
        <v>16457494.013373908</v>
      </c>
      <c r="R11" s="59">
        <f t="shared" si="1"/>
        <v>0</v>
      </c>
      <c r="T11" s="79">
        <f>SUM(G11:R11)-F11</f>
        <v>0</v>
      </c>
    </row>
    <row r="12" spans="1:20" x14ac:dyDescent="0.25">
      <c r="A12" s="73">
        <v>447.01</v>
      </c>
      <c r="B12" s="71" t="s">
        <v>494</v>
      </c>
      <c r="C12" s="72" t="str">
        <f>INDEX('Alloc Amt'!B:B,MATCH(Revenue!D:D,'Alloc Amt'!D:D,0))</f>
        <v>Schedule 449 / 459 Retail Revenue</v>
      </c>
      <c r="D12" s="19">
        <v>6</v>
      </c>
      <c r="F12" s="74">
        <v>10117371.780000001</v>
      </c>
      <c r="G12" s="59">
        <f t="shared" si="1"/>
        <v>0</v>
      </c>
      <c r="H12" s="59">
        <f t="shared" si="1"/>
        <v>0</v>
      </c>
      <c r="I12" s="59">
        <f t="shared" si="1"/>
        <v>0</v>
      </c>
      <c r="J12" s="59">
        <f t="shared" si="1"/>
        <v>0</v>
      </c>
      <c r="K12" s="59">
        <f t="shared" si="1"/>
        <v>0</v>
      </c>
      <c r="L12" s="59">
        <f t="shared" si="1"/>
        <v>0</v>
      </c>
      <c r="M12" s="59">
        <f t="shared" si="1"/>
        <v>0</v>
      </c>
      <c r="N12" s="59">
        <f t="shared" si="1"/>
        <v>0</v>
      </c>
      <c r="O12" s="59">
        <f t="shared" si="1"/>
        <v>0</v>
      </c>
      <c r="P12" s="59">
        <f t="shared" si="1"/>
        <v>10117371.780000001</v>
      </c>
      <c r="Q12" s="59">
        <f t="shared" si="1"/>
        <v>0</v>
      </c>
      <c r="R12" s="59">
        <f t="shared" si="1"/>
        <v>0</v>
      </c>
      <c r="T12" s="79">
        <f t="shared" ref="T12:T58" si="2">SUM(G12:R12)-F12</f>
        <v>0</v>
      </c>
    </row>
    <row r="13" spans="1:20" x14ac:dyDescent="0.25">
      <c r="A13" s="73">
        <v>447.02</v>
      </c>
      <c r="B13" s="71" t="s">
        <v>495</v>
      </c>
      <c r="C13" s="72" t="str">
        <f>INDEX('Alloc Amt'!B:B,MATCH(Revenue!D:D,'Alloc Amt'!D:D,0))</f>
        <v>Direct Assignment Special Contract</v>
      </c>
      <c r="D13" s="19">
        <v>5</v>
      </c>
      <c r="F13" s="74">
        <v>5493553</v>
      </c>
      <c r="G13" s="59">
        <f t="shared" si="1"/>
        <v>0</v>
      </c>
      <c r="H13" s="59">
        <f t="shared" si="1"/>
        <v>0</v>
      </c>
      <c r="I13" s="59">
        <f t="shared" si="1"/>
        <v>0</v>
      </c>
      <c r="J13" s="59">
        <f t="shared" si="1"/>
        <v>0</v>
      </c>
      <c r="K13" s="59">
        <f t="shared" si="1"/>
        <v>0</v>
      </c>
      <c r="L13" s="59">
        <f t="shared" si="1"/>
        <v>0</v>
      </c>
      <c r="M13" s="59">
        <f t="shared" si="1"/>
        <v>0</v>
      </c>
      <c r="N13" s="59">
        <f t="shared" si="1"/>
        <v>5493553</v>
      </c>
      <c r="O13" s="59">
        <f t="shared" si="1"/>
        <v>0</v>
      </c>
      <c r="P13" s="59">
        <f t="shared" si="1"/>
        <v>0</v>
      </c>
      <c r="Q13" s="59">
        <f t="shared" si="1"/>
        <v>0</v>
      </c>
      <c r="R13" s="59">
        <f t="shared" si="1"/>
        <v>0</v>
      </c>
      <c r="T13" s="79">
        <f t="shared" si="2"/>
        <v>0</v>
      </c>
    </row>
    <row r="14" spans="1:20" x14ac:dyDescent="0.25">
      <c r="A14" s="73">
        <v>447.03</v>
      </c>
      <c r="B14" s="71" t="s">
        <v>496</v>
      </c>
      <c r="C14" s="72" t="str">
        <f>INDEX('Alloc Amt'!B:B,MATCH(Revenue!D:D,'Alloc Amt'!D:D,0))</f>
        <v>Small Firm Resale Allocation Only</v>
      </c>
      <c r="D14" s="19">
        <v>8</v>
      </c>
      <c r="F14" s="74">
        <v>324341.16000000003</v>
      </c>
      <c r="G14" s="59">
        <f t="shared" si="1"/>
        <v>0</v>
      </c>
      <c r="H14" s="59">
        <f t="shared" si="1"/>
        <v>0</v>
      </c>
      <c r="I14" s="59">
        <f t="shared" si="1"/>
        <v>0</v>
      </c>
      <c r="J14" s="59">
        <f t="shared" si="1"/>
        <v>0</v>
      </c>
      <c r="K14" s="59">
        <f t="shared" si="1"/>
        <v>0</v>
      </c>
      <c r="L14" s="59">
        <f t="shared" si="1"/>
        <v>0</v>
      </c>
      <c r="M14" s="59">
        <f t="shared" si="1"/>
        <v>0</v>
      </c>
      <c r="N14" s="59">
        <f t="shared" si="1"/>
        <v>0</v>
      </c>
      <c r="O14" s="59">
        <f t="shared" si="1"/>
        <v>0</v>
      </c>
      <c r="P14" s="59">
        <f t="shared" si="1"/>
        <v>0</v>
      </c>
      <c r="Q14" s="59">
        <f t="shared" si="1"/>
        <v>0</v>
      </c>
      <c r="R14" s="59">
        <f t="shared" si="1"/>
        <v>324341.16000000003</v>
      </c>
      <c r="T14" s="79">
        <f t="shared" si="2"/>
        <v>0</v>
      </c>
    </row>
    <row r="15" spans="1:20" x14ac:dyDescent="0.25">
      <c r="A15" s="75"/>
      <c r="B15" s="24" t="s">
        <v>491</v>
      </c>
      <c r="C15" s="26"/>
      <c r="D15" s="50"/>
      <c r="E15" s="50"/>
      <c r="F15" s="76">
        <f>SUM(F11:F14)</f>
        <v>1997002383.9412322</v>
      </c>
      <c r="G15" s="76">
        <f t="shared" ref="G15:R15" si="3">SUM(G11:G14)</f>
        <v>1105896513.2900393</v>
      </c>
      <c r="H15" s="76">
        <f t="shared" si="3"/>
        <v>263390391.2140398</v>
      </c>
      <c r="I15" s="76">
        <f t="shared" si="3"/>
        <v>270703257.2199825</v>
      </c>
      <c r="J15" s="76">
        <f t="shared" si="3"/>
        <v>160280839.13024956</v>
      </c>
      <c r="K15" s="76">
        <f t="shared" si="3"/>
        <v>113255219.09203497</v>
      </c>
      <c r="L15" s="76">
        <f t="shared" si="3"/>
        <v>268014.00021779712</v>
      </c>
      <c r="M15" s="76">
        <f t="shared" si="3"/>
        <v>10687146.00868473</v>
      </c>
      <c r="N15" s="76">
        <f t="shared" si="3"/>
        <v>5493553</v>
      </c>
      <c r="O15" s="76">
        <f t="shared" si="3"/>
        <v>40128244.032609545</v>
      </c>
      <c r="P15" s="76">
        <f t="shared" si="3"/>
        <v>10117371.780000001</v>
      </c>
      <c r="Q15" s="76">
        <f t="shared" si="3"/>
        <v>16457494.013373908</v>
      </c>
      <c r="R15" s="76">
        <f t="shared" si="3"/>
        <v>324341.16000000003</v>
      </c>
      <c r="T15" s="79">
        <f t="shared" si="2"/>
        <v>0</v>
      </c>
    </row>
    <row r="16" spans="1:20" x14ac:dyDescent="0.25">
      <c r="A16" s="73"/>
      <c r="B16" s="71"/>
      <c r="C16" s="72"/>
      <c r="F16" s="74"/>
      <c r="T16" s="79">
        <f t="shared" si="2"/>
        <v>0</v>
      </c>
    </row>
    <row r="17" spans="1:20" x14ac:dyDescent="0.25">
      <c r="A17" s="73"/>
      <c r="B17" s="20" t="s">
        <v>497</v>
      </c>
      <c r="C17" s="72"/>
      <c r="F17" s="74"/>
      <c r="T17" s="79">
        <f t="shared" si="2"/>
        <v>0</v>
      </c>
    </row>
    <row r="18" spans="1:20" x14ac:dyDescent="0.25">
      <c r="A18" s="73">
        <v>447.07</v>
      </c>
      <c r="B18" s="71" t="s">
        <v>498</v>
      </c>
      <c r="C18" s="72" t="str">
        <f>INDEX('Alloc Amt'!B:B,MATCH(Revenue!D:D,'Alloc Amt'!D:D,0))</f>
        <v>Total Production Plant</v>
      </c>
      <c r="D18" s="19">
        <v>73</v>
      </c>
      <c r="F18" s="74">
        <v>5469488.0226491988</v>
      </c>
      <c r="G18" s="59">
        <f t="shared" ref="G18:R19" si="4">INDEX(Alloc,($D18),(G$1))*$F18</f>
        <v>2960815.7796291322</v>
      </c>
      <c r="H18" s="59">
        <f t="shared" si="4"/>
        <v>725188.87091469357</v>
      </c>
      <c r="I18" s="59">
        <f t="shared" si="4"/>
        <v>795377.03878375515</v>
      </c>
      <c r="J18" s="59">
        <f t="shared" si="4"/>
        <v>479201.65583527781</v>
      </c>
      <c r="K18" s="59">
        <f t="shared" si="4"/>
        <v>334996.70530146948</v>
      </c>
      <c r="L18" s="59">
        <f t="shared" si="4"/>
        <v>728.1341045466188</v>
      </c>
      <c r="M18" s="59">
        <f t="shared" si="4"/>
        <v>19996.601119292438</v>
      </c>
      <c r="N18" s="59">
        <f t="shared" si="4"/>
        <v>0</v>
      </c>
      <c r="O18" s="59">
        <f t="shared" si="4"/>
        <v>135165.45555693095</v>
      </c>
      <c r="P18" s="59">
        <f t="shared" si="4"/>
        <v>0</v>
      </c>
      <c r="Q18" s="59">
        <f t="shared" si="4"/>
        <v>16111.404482199945</v>
      </c>
      <c r="R18" s="59">
        <f t="shared" si="4"/>
        <v>1906.3769218999546</v>
      </c>
      <c r="T18" s="79">
        <f t="shared" si="2"/>
        <v>0</v>
      </c>
    </row>
    <row r="19" spans="1:20" x14ac:dyDescent="0.25">
      <c r="A19" s="73">
        <v>449.01</v>
      </c>
      <c r="B19" s="71" t="s">
        <v>499</v>
      </c>
      <c r="C19" s="72" t="str">
        <f>INDEX('Alloc Amt'!B:B,MATCH(Revenue!D:D,'Alloc Amt'!D:D,0))</f>
        <v>Total Ratebase</v>
      </c>
      <c r="D19" s="19">
        <v>76</v>
      </c>
      <c r="F19" s="74">
        <v>0</v>
      </c>
      <c r="G19" s="74">
        <v>0</v>
      </c>
      <c r="H19" s="74">
        <v>0</v>
      </c>
      <c r="I19" s="74">
        <v>0</v>
      </c>
      <c r="J19" s="74">
        <v>0</v>
      </c>
      <c r="K19" s="74">
        <v>0</v>
      </c>
      <c r="L19" s="59">
        <f t="shared" si="4"/>
        <v>0</v>
      </c>
      <c r="M19" s="59">
        <f t="shared" si="4"/>
        <v>0</v>
      </c>
      <c r="N19" s="74">
        <v>0</v>
      </c>
      <c r="O19" s="74">
        <v>0</v>
      </c>
      <c r="P19" s="74">
        <v>0</v>
      </c>
      <c r="Q19" s="74">
        <v>0</v>
      </c>
      <c r="R19" s="74">
        <v>0</v>
      </c>
      <c r="T19" s="79">
        <f t="shared" si="2"/>
        <v>0</v>
      </c>
    </row>
    <row r="20" spans="1:20" x14ac:dyDescent="0.25">
      <c r="A20" s="75"/>
      <c r="B20" s="24" t="s">
        <v>500</v>
      </c>
      <c r="C20" s="26"/>
      <c r="D20" s="50"/>
      <c r="E20" s="50"/>
      <c r="F20" s="76">
        <f>SUM(F18:F19)</f>
        <v>5469488.0226491988</v>
      </c>
      <c r="G20" s="76">
        <f t="shared" ref="G20:R20" si="5">SUM(G18:G19)</f>
        <v>2960815.7796291322</v>
      </c>
      <c r="H20" s="76">
        <f t="shared" si="5"/>
        <v>725188.87091469357</v>
      </c>
      <c r="I20" s="76">
        <f t="shared" si="5"/>
        <v>795377.03878375515</v>
      </c>
      <c r="J20" s="76">
        <f t="shared" si="5"/>
        <v>479201.65583527781</v>
      </c>
      <c r="K20" s="76">
        <f t="shared" si="5"/>
        <v>334996.70530146948</v>
      </c>
      <c r="L20" s="76">
        <f t="shared" si="5"/>
        <v>728.1341045466188</v>
      </c>
      <c r="M20" s="76">
        <f t="shared" si="5"/>
        <v>19996.601119292438</v>
      </c>
      <c r="N20" s="76">
        <f t="shared" si="5"/>
        <v>0</v>
      </c>
      <c r="O20" s="76">
        <f t="shared" si="5"/>
        <v>135165.45555693095</v>
      </c>
      <c r="P20" s="76">
        <f t="shared" si="5"/>
        <v>0</v>
      </c>
      <c r="Q20" s="76">
        <f t="shared" si="5"/>
        <v>16111.404482199945</v>
      </c>
      <c r="R20" s="76">
        <f t="shared" si="5"/>
        <v>1906.3769218999546</v>
      </c>
      <c r="T20" s="79">
        <f t="shared" si="2"/>
        <v>0</v>
      </c>
    </row>
    <row r="21" spans="1:20" x14ac:dyDescent="0.25">
      <c r="A21" s="73"/>
      <c r="B21" s="71"/>
      <c r="C21" s="72"/>
      <c r="F21" s="74"/>
      <c r="T21" s="79">
        <f t="shared" si="2"/>
        <v>0</v>
      </c>
    </row>
    <row r="22" spans="1:20" x14ac:dyDescent="0.25">
      <c r="A22" s="73"/>
      <c r="B22" s="20" t="s">
        <v>501</v>
      </c>
      <c r="C22" s="72"/>
      <c r="F22" s="74"/>
      <c r="T22" s="79">
        <f t="shared" si="2"/>
        <v>0</v>
      </c>
    </row>
    <row r="23" spans="1:20" x14ac:dyDescent="0.25">
      <c r="A23" s="73">
        <v>450.01</v>
      </c>
      <c r="B23" s="71" t="s">
        <v>502</v>
      </c>
      <c r="C23" s="72" t="str">
        <f>INDEX('Alloc Amt'!B:B,MATCH(Revenue!D:D,'Alloc Amt'!D:D,0))</f>
        <v>Late Payment Interest Rev</v>
      </c>
      <c r="D23" s="19">
        <v>13</v>
      </c>
      <c r="F23" s="74">
        <v>2151272.19</v>
      </c>
      <c r="G23" s="59">
        <f t="shared" ref="G23:R38" si="6">INDEX(Alloc,($D23),(G$1))*$F23</f>
        <v>1682000.0314221452</v>
      </c>
      <c r="H23" s="59">
        <f t="shared" si="6"/>
        <v>246772.06005798699</v>
      </c>
      <c r="I23" s="59">
        <f t="shared" si="6"/>
        <v>90978.809853960847</v>
      </c>
      <c r="J23" s="59">
        <f t="shared" si="6"/>
        <v>23981.165497099108</v>
      </c>
      <c r="K23" s="59">
        <f t="shared" si="6"/>
        <v>20156.079805606169</v>
      </c>
      <c r="L23" s="59">
        <f t="shared" si="6"/>
        <v>0</v>
      </c>
      <c r="M23" s="59">
        <f t="shared" si="6"/>
        <v>143.12822117685513</v>
      </c>
      <c r="N23" s="59">
        <f t="shared" si="6"/>
        <v>0</v>
      </c>
      <c r="O23" s="59">
        <f t="shared" si="6"/>
        <v>2769.0559110449281</v>
      </c>
      <c r="P23" s="59">
        <f t="shared" si="6"/>
        <v>1992.4596373803079</v>
      </c>
      <c r="Q23" s="59">
        <f t="shared" si="6"/>
        <v>82443.94920878431</v>
      </c>
      <c r="R23" s="59">
        <f t="shared" si="6"/>
        <v>35.45038481510101</v>
      </c>
      <c r="T23" s="79">
        <f t="shared" si="2"/>
        <v>0</v>
      </c>
    </row>
    <row r="24" spans="1:20" x14ac:dyDescent="0.25">
      <c r="A24" s="73">
        <v>450.02</v>
      </c>
      <c r="B24" s="71" t="s">
        <v>503</v>
      </c>
      <c r="C24" s="72" t="str">
        <f>INDEX('Alloc Amt'!B:B,MATCH(Revenue!D:D,'Alloc Amt'!D:D,0))</f>
        <v>Direct Assign  Disconnect Call - A/C 450.02</v>
      </c>
      <c r="D24" s="19">
        <v>14</v>
      </c>
      <c r="F24" s="74">
        <v>300105</v>
      </c>
      <c r="G24" s="59">
        <f t="shared" si="6"/>
        <v>282133.59501320246</v>
      </c>
      <c r="H24" s="59">
        <f t="shared" si="6"/>
        <v>17480.221151217647</v>
      </c>
      <c r="I24" s="59">
        <f t="shared" si="6"/>
        <v>375.26239800345462</v>
      </c>
      <c r="J24" s="59">
        <f t="shared" si="6"/>
        <v>25.521719781163704</v>
      </c>
      <c r="K24" s="59">
        <f t="shared" si="6"/>
        <v>0</v>
      </c>
      <c r="L24" s="59">
        <f t="shared" si="6"/>
        <v>0</v>
      </c>
      <c r="M24" s="59">
        <f t="shared" si="6"/>
        <v>0</v>
      </c>
      <c r="N24" s="59">
        <f t="shared" si="6"/>
        <v>0</v>
      </c>
      <c r="O24" s="59">
        <f t="shared" si="6"/>
        <v>0</v>
      </c>
      <c r="P24" s="59">
        <f t="shared" si="6"/>
        <v>0</v>
      </c>
      <c r="Q24" s="59">
        <f t="shared" si="6"/>
        <v>90.399717795231368</v>
      </c>
      <c r="R24" s="59">
        <f t="shared" si="6"/>
        <v>0</v>
      </c>
      <c r="T24" s="79">
        <f t="shared" si="2"/>
        <v>0</v>
      </c>
    </row>
    <row r="25" spans="1:20" x14ac:dyDescent="0.25">
      <c r="A25" s="73">
        <v>451.01</v>
      </c>
      <c r="B25" s="71" t="s">
        <v>504</v>
      </c>
      <c r="C25" s="72" t="str">
        <f>INDEX('Alloc Amt'!B:B,MATCH(Revenue!D:D,'Alloc Amt'!D:D,0))</f>
        <v>Ave. No. Cust Incl. RES &amp; SEC Only, No Sch 40</v>
      </c>
      <c r="D25" s="19">
        <v>2</v>
      </c>
      <c r="F25" s="74">
        <v>1314247.8600000001</v>
      </c>
      <c r="G25" s="59">
        <f t="shared" si="6"/>
        <v>1163836.3305712002</v>
      </c>
      <c r="H25" s="59">
        <f t="shared" si="6"/>
        <v>140039.67072588278</v>
      </c>
      <c r="I25" s="59">
        <f t="shared" si="6"/>
        <v>9402.1601655134709</v>
      </c>
      <c r="J25" s="59">
        <f t="shared" si="6"/>
        <v>969.69853740352073</v>
      </c>
      <c r="K25" s="59">
        <f t="shared" si="6"/>
        <v>0</v>
      </c>
      <c r="L25" s="59">
        <f t="shared" si="6"/>
        <v>0</v>
      </c>
      <c r="M25" s="59">
        <f t="shared" si="6"/>
        <v>0</v>
      </c>
      <c r="N25" s="59">
        <f t="shared" si="6"/>
        <v>0</v>
      </c>
      <c r="O25" s="59">
        <f t="shared" si="6"/>
        <v>0</v>
      </c>
      <c r="P25" s="59">
        <f t="shared" si="6"/>
        <v>0</v>
      </c>
      <c r="Q25" s="59">
        <f t="shared" si="6"/>
        <v>0</v>
      </c>
      <c r="R25" s="59">
        <f t="shared" si="6"/>
        <v>0</v>
      </c>
      <c r="T25" s="79">
        <f t="shared" si="2"/>
        <v>0</v>
      </c>
    </row>
    <row r="26" spans="1:20" x14ac:dyDescent="0.25">
      <c r="A26" s="73">
        <v>451.02</v>
      </c>
      <c r="B26" s="71" t="s">
        <v>505</v>
      </c>
      <c r="C26" s="72" t="str">
        <f>INDEX('Alloc Amt'!B:B,MATCH(Revenue!D:D,'Alloc Amt'!D:D,0))</f>
        <v>Connect/Reconnect Revenue</v>
      </c>
      <c r="D26" s="19">
        <v>15</v>
      </c>
      <c r="F26" s="74">
        <v>1460925</v>
      </c>
      <c r="G26" s="59">
        <f t="shared" si="6"/>
        <v>1427015.4038714194</v>
      </c>
      <c r="H26" s="59">
        <f t="shared" si="6"/>
        <v>33196.437261315725</v>
      </c>
      <c r="I26" s="59">
        <f t="shared" si="6"/>
        <v>713.15886726491715</v>
      </c>
      <c r="J26" s="59">
        <f t="shared" si="6"/>
        <v>0</v>
      </c>
      <c r="K26" s="59">
        <f t="shared" si="6"/>
        <v>0</v>
      </c>
      <c r="L26" s="59">
        <f t="shared" si="6"/>
        <v>0</v>
      </c>
      <c r="M26" s="59">
        <f t="shared" si="6"/>
        <v>0</v>
      </c>
      <c r="N26" s="59">
        <f t="shared" si="6"/>
        <v>0</v>
      </c>
      <c r="O26" s="59">
        <f t="shared" si="6"/>
        <v>0</v>
      </c>
      <c r="P26" s="59">
        <f t="shared" si="6"/>
        <v>0</v>
      </c>
      <c r="Q26" s="59">
        <f t="shared" si="6"/>
        <v>0</v>
      </c>
      <c r="R26" s="59">
        <f t="shared" si="6"/>
        <v>0</v>
      </c>
      <c r="T26" s="79">
        <f t="shared" si="2"/>
        <v>0</v>
      </c>
    </row>
    <row r="27" spans="1:20" x14ac:dyDescent="0.25">
      <c r="A27" s="73">
        <v>451.03</v>
      </c>
      <c r="B27" s="71" t="s">
        <v>506</v>
      </c>
      <c r="C27" s="72" t="str">
        <f>INDEX('Alloc Amt'!B:B,MATCH(Revenue!D:D,'Alloc Amt'!D:D,0))</f>
        <v>Ave. No. Cust Incl. RES &amp; SEC Only, No Sch 40</v>
      </c>
      <c r="D27" s="19">
        <v>2</v>
      </c>
      <c r="F27" s="74">
        <v>1019248.82</v>
      </c>
      <c r="G27" s="59">
        <f t="shared" si="6"/>
        <v>902599.00184111821</v>
      </c>
      <c r="H27" s="59">
        <f t="shared" si="6"/>
        <v>108606.05026250113</v>
      </c>
      <c r="I27" s="59">
        <f t="shared" si="6"/>
        <v>7291.7300806185904</v>
      </c>
      <c r="J27" s="59">
        <f t="shared" si="6"/>
        <v>752.03781576198594</v>
      </c>
      <c r="K27" s="59">
        <f t="shared" si="6"/>
        <v>0</v>
      </c>
      <c r="L27" s="59">
        <f t="shared" si="6"/>
        <v>0</v>
      </c>
      <c r="M27" s="59">
        <f t="shared" si="6"/>
        <v>0</v>
      </c>
      <c r="N27" s="59">
        <f t="shared" si="6"/>
        <v>0</v>
      </c>
      <c r="O27" s="59">
        <f t="shared" si="6"/>
        <v>0</v>
      </c>
      <c r="P27" s="59">
        <f t="shared" si="6"/>
        <v>0</v>
      </c>
      <c r="Q27" s="59">
        <f t="shared" si="6"/>
        <v>0</v>
      </c>
      <c r="R27" s="59">
        <f t="shared" si="6"/>
        <v>0</v>
      </c>
      <c r="T27" s="79">
        <f t="shared" si="2"/>
        <v>0</v>
      </c>
    </row>
    <row r="28" spans="1:20" x14ac:dyDescent="0.25">
      <c r="A28" s="73">
        <v>451.04</v>
      </c>
      <c r="B28" s="71" t="s">
        <v>507</v>
      </c>
      <c r="C28" s="72" t="str">
        <f>INDEX('Alloc Amt'!B:B,MATCH(Revenue!D:D,'Alloc Amt'!D:D,0))</f>
        <v>Ave. No. Cust Incl. RES &amp; SEC Only, No Sch 40</v>
      </c>
      <c r="D28" s="19">
        <v>2</v>
      </c>
      <c r="F28" s="74">
        <v>1400595.91</v>
      </c>
      <c r="G28" s="59">
        <f t="shared" si="6"/>
        <v>1240302.1181312259</v>
      </c>
      <c r="H28" s="59">
        <f t="shared" si="6"/>
        <v>149240.48653685319</v>
      </c>
      <c r="I28" s="59">
        <f t="shared" si="6"/>
        <v>10019.896150322124</v>
      </c>
      <c r="J28" s="59">
        <f t="shared" si="6"/>
        <v>1033.4091815986317</v>
      </c>
      <c r="K28" s="59">
        <f t="shared" si="6"/>
        <v>0</v>
      </c>
      <c r="L28" s="59">
        <f t="shared" si="6"/>
        <v>0</v>
      </c>
      <c r="M28" s="59">
        <f t="shared" si="6"/>
        <v>0</v>
      </c>
      <c r="N28" s="59">
        <f t="shared" si="6"/>
        <v>0</v>
      </c>
      <c r="O28" s="59">
        <f t="shared" si="6"/>
        <v>0</v>
      </c>
      <c r="P28" s="59">
        <f t="shared" si="6"/>
        <v>0</v>
      </c>
      <c r="Q28" s="59">
        <f t="shared" si="6"/>
        <v>0</v>
      </c>
      <c r="R28" s="59">
        <f t="shared" si="6"/>
        <v>0</v>
      </c>
      <c r="T28" s="79">
        <f t="shared" si="2"/>
        <v>0</v>
      </c>
    </row>
    <row r="29" spans="1:20" x14ac:dyDescent="0.25">
      <c r="A29" s="73">
        <v>451.05</v>
      </c>
      <c r="B29" s="71" t="s">
        <v>508</v>
      </c>
      <c r="C29" s="72" t="str">
        <f>INDEX('Alloc Amt'!B:B,MATCH(Revenue!D:D,'Alloc Amt'!D:D,0))</f>
        <v>Billing Initiation Charge</v>
      </c>
      <c r="D29" s="19">
        <v>16</v>
      </c>
      <c r="F29" s="74">
        <v>1397401.6500000001</v>
      </c>
      <c r="G29" s="59">
        <f t="shared" si="6"/>
        <v>1278832.2590385026</v>
      </c>
      <c r="H29" s="59">
        <f t="shared" si="6"/>
        <v>114731.54108620971</v>
      </c>
      <c r="I29" s="59">
        <f t="shared" si="6"/>
        <v>3468.8857686581096</v>
      </c>
      <c r="J29" s="59">
        <f t="shared" si="6"/>
        <v>250.97610780520577</v>
      </c>
      <c r="K29" s="59">
        <f t="shared" si="6"/>
        <v>116.58173849707869</v>
      </c>
      <c r="L29" s="59">
        <f t="shared" si="6"/>
        <v>0</v>
      </c>
      <c r="M29" s="59">
        <f t="shared" si="6"/>
        <v>0</v>
      </c>
      <c r="N29" s="59">
        <f t="shared" si="6"/>
        <v>0</v>
      </c>
      <c r="O29" s="59">
        <f t="shared" si="6"/>
        <v>1.4062603271880352</v>
      </c>
      <c r="P29" s="59">
        <f t="shared" si="6"/>
        <v>0</v>
      </c>
      <c r="Q29" s="59">
        <f t="shared" si="6"/>
        <v>0</v>
      </c>
      <c r="R29" s="59">
        <f t="shared" si="6"/>
        <v>0</v>
      </c>
      <c r="T29" s="79">
        <f t="shared" si="2"/>
        <v>0</v>
      </c>
    </row>
    <row r="30" spans="1:20" x14ac:dyDescent="0.25">
      <c r="A30" s="73">
        <v>451.06</v>
      </c>
      <c r="B30" s="71" t="s">
        <v>509</v>
      </c>
      <c r="C30" s="72" t="str">
        <f>INDEX('Alloc Amt'!B:B,MATCH(Revenue!D:D,'Alloc Amt'!D:D,0))</f>
        <v>NSF Check Charge Revenue</v>
      </c>
      <c r="D30" s="19">
        <v>17</v>
      </c>
      <c r="F30" s="74">
        <v>181120</v>
      </c>
      <c r="G30" s="59">
        <f t="shared" si="6"/>
        <v>118842.15861422563</v>
      </c>
      <c r="H30" s="59">
        <f t="shared" si="6"/>
        <v>45107.426253109639</v>
      </c>
      <c r="I30" s="59">
        <f t="shared" si="6"/>
        <v>16734.210831967026</v>
      </c>
      <c r="J30" s="59">
        <f t="shared" si="6"/>
        <v>0</v>
      </c>
      <c r="K30" s="59">
        <f t="shared" si="6"/>
        <v>0</v>
      </c>
      <c r="L30" s="59">
        <f t="shared" si="6"/>
        <v>0</v>
      </c>
      <c r="M30" s="59">
        <f t="shared" si="6"/>
        <v>0</v>
      </c>
      <c r="N30" s="59">
        <f t="shared" si="6"/>
        <v>0</v>
      </c>
      <c r="O30" s="59">
        <f t="shared" si="6"/>
        <v>0</v>
      </c>
      <c r="P30" s="59">
        <f t="shared" si="6"/>
        <v>0</v>
      </c>
      <c r="Q30" s="59">
        <f t="shared" si="6"/>
        <v>436.20430069769515</v>
      </c>
      <c r="R30" s="59">
        <f t="shared" si="6"/>
        <v>0</v>
      </c>
      <c r="T30" s="79">
        <f t="shared" si="2"/>
        <v>0</v>
      </c>
    </row>
    <row r="31" spans="1:20" x14ac:dyDescent="0.25">
      <c r="A31" s="73">
        <v>451.07</v>
      </c>
      <c r="B31" s="71" t="s">
        <v>510</v>
      </c>
      <c r="C31" s="72" t="str">
        <f>INDEX('Alloc Amt'!B:B,MATCH(Revenue!D:D,'Alloc Amt'!D:D,0))</f>
        <v>Customer Advances</v>
      </c>
      <c r="D31" s="19">
        <v>10</v>
      </c>
      <c r="F31" s="74">
        <v>4847787.22</v>
      </c>
      <c r="G31" s="59">
        <f t="shared" si="6"/>
        <v>2078045.791041679</v>
      </c>
      <c r="H31" s="59">
        <f t="shared" si="6"/>
        <v>2578749.6422657338</v>
      </c>
      <c r="I31" s="59">
        <f t="shared" si="6"/>
        <v>173135.3482742928</v>
      </c>
      <c r="J31" s="59">
        <f t="shared" si="6"/>
        <v>17856.438418294281</v>
      </c>
      <c r="K31" s="59">
        <f t="shared" si="6"/>
        <v>0</v>
      </c>
      <c r="L31" s="59">
        <f t="shared" si="6"/>
        <v>0</v>
      </c>
      <c r="M31" s="59">
        <f t="shared" si="6"/>
        <v>0</v>
      </c>
      <c r="N31" s="59">
        <f t="shared" si="6"/>
        <v>0</v>
      </c>
      <c r="O31" s="59">
        <f t="shared" si="6"/>
        <v>0</v>
      </c>
      <c r="P31" s="59">
        <f t="shared" si="6"/>
        <v>0</v>
      </c>
      <c r="Q31" s="59">
        <f t="shared" si="6"/>
        <v>0</v>
      </c>
      <c r="R31" s="59">
        <f t="shared" si="6"/>
        <v>0</v>
      </c>
      <c r="T31" s="79">
        <f t="shared" si="2"/>
        <v>0</v>
      </c>
    </row>
    <row r="32" spans="1:20" x14ac:dyDescent="0.25">
      <c r="A32" s="73">
        <v>451.08</v>
      </c>
      <c r="B32" s="71" t="s">
        <v>511</v>
      </c>
      <c r="C32" s="72" t="str">
        <f>INDEX('Alloc Amt'!B:B,MATCH(Revenue!D:D,'Alloc Amt'!D:D,0))</f>
        <v>Ave. No. Cust Incl. RES &amp; SEC Only, No Sch 40</v>
      </c>
      <c r="D32" s="19">
        <v>2</v>
      </c>
      <c r="F32" s="74">
        <v>616489.76</v>
      </c>
      <c r="G32" s="59">
        <f t="shared" si="6"/>
        <v>545934.44809803215</v>
      </c>
      <c r="H32" s="59">
        <f t="shared" si="6"/>
        <v>65690.061687662543</v>
      </c>
      <c r="I32" s="59">
        <f t="shared" si="6"/>
        <v>4410.382272883412</v>
      </c>
      <c r="J32" s="59">
        <f t="shared" si="6"/>
        <v>454.86794142183157</v>
      </c>
      <c r="K32" s="59">
        <f t="shared" si="6"/>
        <v>0</v>
      </c>
      <c r="L32" s="59">
        <f t="shared" si="6"/>
        <v>0</v>
      </c>
      <c r="M32" s="59">
        <f t="shared" si="6"/>
        <v>0</v>
      </c>
      <c r="N32" s="59">
        <f t="shared" si="6"/>
        <v>0</v>
      </c>
      <c r="O32" s="59">
        <f t="shared" si="6"/>
        <v>0</v>
      </c>
      <c r="P32" s="59">
        <f t="shared" si="6"/>
        <v>0</v>
      </c>
      <c r="Q32" s="59">
        <f t="shared" si="6"/>
        <v>0</v>
      </c>
      <c r="R32" s="59">
        <f t="shared" si="6"/>
        <v>0</v>
      </c>
      <c r="T32" s="79">
        <f t="shared" si="2"/>
        <v>0</v>
      </c>
    </row>
    <row r="33" spans="1:20" x14ac:dyDescent="0.25">
      <c r="A33" s="73">
        <v>454.01</v>
      </c>
      <c r="B33" s="71" t="s">
        <v>512</v>
      </c>
      <c r="C33" s="72" t="str">
        <f>INDEX('Alloc Amt'!B:B,MATCH(Revenue!D:D,'Alloc Amt'!D:D,0))</f>
        <v>Total Production Plant</v>
      </c>
      <c r="D33" s="19">
        <v>73</v>
      </c>
      <c r="F33" s="74">
        <v>63960.97</v>
      </c>
      <c r="G33" s="59">
        <f t="shared" ref="G33:R48" si="7">INDEX(Alloc,($D33),(G$1))*$F33</f>
        <v>34624.200377105713</v>
      </c>
      <c r="H33" s="59">
        <f t="shared" si="7"/>
        <v>8480.4616857798992</v>
      </c>
      <c r="I33" s="59">
        <f t="shared" si="7"/>
        <v>9301.2520926402412</v>
      </c>
      <c r="J33" s="59">
        <f t="shared" si="7"/>
        <v>5603.8522446539355</v>
      </c>
      <c r="K33" s="59">
        <f t="shared" si="7"/>
        <v>3917.4990655721185</v>
      </c>
      <c r="L33" s="59">
        <f t="shared" si="6"/>
        <v>8.514903666307962</v>
      </c>
      <c r="M33" s="59">
        <f t="shared" si="6"/>
        <v>233.84309445357064</v>
      </c>
      <c r="N33" s="59">
        <f t="shared" si="7"/>
        <v>0</v>
      </c>
      <c r="O33" s="59">
        <f t="shared" si="7"/>
        <v>1580.6440405597148</v>
      </c>
      <c r="P33" s="59">
        <f t="shared" si="7"/>
        <v>0</v>
      </c>
      <c r="Q33" s="59">
        <f t="shared" si="7"/>
        <v>188.40905300030681</v>
      </c>
      <c r="R33" s="59">
        <f t="shared" si="7"/>
        <v>22.293442568190429</v>
      </c>
      <c r="T33" s="79">
        <f t="shared" si="2"/>
        <v>0</v>
      </c>
    </row>
    <row r="34" spans="1:20" x14ac:dyDescent="0.25">
      <c r="A34" s="73">
        <v>454.02</v>
      </c>
      <c r="B34" s="71" t="s">
        <v>513</v>
      </c>
      <c r="C34" s="72" t="str">
        <f>INDEX('Alloc Amt'!B:B,MATCH(Revenue!D:D,'Alloc Amt'!D:D,0))</f>
        <v>Total Production Plant</v>
      </c>
      <c r="D34" s="19">
        <v>73</v>
      </c>
      <c r="F34" s="74">
        <v>5198339.0243848944</v>
      </c>
      <c r="G34" s="59">
        <f t="shared" si="7"/>
        <v>2814033.8085621716</v>
      </c>
      <c r="H34" s="59">
        <f t="shared" si="7"/>
        <v>689237.74805151578</v>
      </c>
      <c r="I34" s="59">
        <f t="shared" si="7"/>
        <v>755946.34866878088</v>
      </c>
      <c r="J34" s="59">
        <f t="shared" si="7"/>
        <v>455445.31001126842</v>
      </c>
      <c r="K34" s="59">
        <f t="shared" si="7"/>
        <v>318389.29695023235</v>
      </c>
      <c r="L34" s="59">
        <f t="shared" si="6"/>
        <v>692.03697219486651</v>
      </c>
      <c r="M34" s="59">
        <f t="shared" si="6"/>
        <v>19005.272801224233</v>
      </c>
      <c r="N34" s="59">
        <f t="shared" si="7"/>
        <v>0</v>
      </c>
      <c r="O34" s="59">
        <f t="shared" si="7"/>
        <v>128464.64960901914</v>
      </c>
      <c r="P34" s="59">
        <f t="shared" si="7"/>
        <v>0</v>
      </c>
      <c r="Q34" s="59">
        <f t="shared" si="7"/>
        <v>15312.684169094009</v>
      </c>
      <c r="R34" s="59">
        <f t="shared" si="7"/>
        <v>1811.8685893929955</v>
      </c>
      <c r="T34" s="79">
        <f t="shared" si="2"/>
        <v>0</v>
      </c>
    </row>
    <row r="35" spans="1:20" x14ac:dyDescent="0.25">
      <c r="A35" s="73">
        <v>454.03</v>
      </c>
      <c r="B35" s="71" t="s">
        <v>514</v>
      </c>
      <c r="C35" s="72" t="str">
        <f>INDEX('Alloc Amt'!B:B,MATCH(Revenue!D:D,'Alloc Amt'!D:D,0))</f>
        <v>Total OVHD Lines</v>
      </c>
      <c r="D35" s="19">
        <v>57</v>
      </c>
      <c r="F35" s="74">
        <v>7250767.7256151056</v>
      </c>
      <c r="G35" s="59">
        <f t="shared" si="7"/>
        <v>4996898.8833602183</v>
      </c>
      <c r="H35" s="59">
        <f t="shared" si="7"/>
        <v>913019.55681884463</v>
      </c>
      <c r="I35" s="59">
        <f t="shared" si="7"/>
        <v>709808.33032390254</v>
      </c>
      <c r="J35" s="59">
        <f t="shared" si="7"/>
        <v>280789.05110883276</v>
      </c>
      <c r="K35" s="59">
        <f t="shared" si="7"/>
        <v>262831.01905233652</v>
      </c>
      <c r="L35" s="59">
        <f t="shared" si="6"/>
        <v>6583.1553037601743</v>
      </c>
      <c r="M35" s="59">
        <f t="shared" si="6"/>
        <v>70827.177526959582</v>
      </c>
      <c r="N35" s="59">
        <f t="shared" si="7"/>
        <v>616.44775979620681</v>
      </c>
      <c r="O35" s="59">
        <f t="shared" si="7"/>
        <v>0</v>
      </c>
      <c r="P35" s="59">
        <f t="shared" si="7"/>
        <v>0</v>
      </c>
      <c r="Q35" s="59">
        <f t="shared" si="7"/>
        <v>4391.1976196541873</v>
      </c>
      <c r="R35" s="59">
        <f t="shared" si="7"/>
        <v>5002.9067408000446</v>
      </c>
      <c r="T35" s="79">
        <f t="shared" si="2"/>
        <v>0</v>
      </c>
    </row>
    <row r="36" spans="1:20" x14ac:dyDescent="0.25">
      <c r="A36" s="73">
        <v>454.04</v>
      </c>
      <c r="B36" s="71" t="s">
        <v>515</v>
      </c>
      <c r="C36" s="72" t="str">
        <f>INDEX('Alloc Amt'!B:B,MATCH(Revenue!D:D,'Alloc Amt'!D:D,0))</f>
        <v>Prod Trans Dist Allocation Factor</v>
      </c>
      <c r="D36" s="19">
        <v>75</v>
      </c>
      <c r="F36" s="74">
        <v>1222583.4099999999</v>
      </c>
      <c r="G36" s="59">
        <f t="shared" si="7"/>
        <v>717565.43103787478</v>
      </c>
      <c r="H36" s="59">
        <f t="shared" si="7"/>
        <v>153089.06695233405</v>
      </c>
      <c r="I36" s="59">
        <f t="shared" si="7"/>
        <v>149553.12718629351</v>
      </c>
      <c r="J36" s="59">
        <f t="shared" si="7"/>
        <v>81590.237992070906</v>
      </c>
      <c r="K36" s="59">
        <f t="shared" si="7"/>
        <v>60768.598459558954</v>
      </c>
      <c r="L36" s="59">
        <f t="shared" si="6"/>
        <v>298.51085643914621</v>
      </c>
      <c r="M36" s="59">
        <f t="shared" si="6"/>
        <v>7010.2882330858347</v>
      </c>
      <c r="N36" s="59">
        <f t="shared" si="7"/>
        <v>8254.3703291101883</v>
      </c>
      <c r="O36" s="59">
        <f t="shared" si="7"/>
        <v>19573.648968545622</v>
      </c>
      <c r="P36" s="59">
        <f t="shared" si="7"/>
        <v>12503.893149776834</v>
      </c>
      <c r="Q36" s="59">
        <f t="shared" si="7"/>
        <v>11976.199554677039</v>
      </c>
      <c r="R36" s="59">
        <f t="shared" si="7"/>
        <v>400.03728023364357</v>
      </c>
      <c r="T36" s="79">
        <f t="shared" si="2"/>
        <v>0</v>
      </c>
    </row>
    <row r="37" spans="1:20" x14ac:dyDescent="0.25">
      <c r="A37" s="73">
        <v>454.05</v>
      </c>
      <c r="B37" s="71" t="s">
        <v>516</v>
      </c>
      <c r="C37" s="72" t="str">
        <f>INDEX('Alloc Amt'!B:B,MATCH(Revenue!D:D,'Alloc Amt'!D:D,0))</f>
        <v>Equip. (Transformer &amp; Substation) Rentals</v>
      </c>
      <c r="D37" s="19">
        <v>49</v>
      </c>
      <c r="F37" s="74">
        <v>4617136.54</v>
      </c>
      <c r="G37" s="59">
        <f t="shared" si="7"/>
        <v>0</v>
      </c>
      <c r="H37" s="59">
        <f t="shared" si="7"/>
        <v>0</v>
      </c>
      <c r="I37" s="59">
        <f t="shared" si="7"/>
        <v>0</v>
      </c>
      <c r="J37" s="59">
        <f t="shared" si="7"/>
        <v>0</v>
      </c>
      <c r="K37" s="59">
        <f t="shared" si="7"/>
        <v>468375.93387140846</v>
      </c>
      <c r="L37" s="59">
        <f t="shared" si="6"/>
        <v>0</v>
      </c>
      <c r="M37" s="59">
        <f t="shared" si="6"/>
        <v>12923.534641993068</v>
      </c>
      <c r="N37" s="59">
        <f t="shared" si="7"/>
        <v>81219.139100116154</v>
      </c>
      <c r="O37" s="59">
        <f t="shared" si="7"/>
        <v>2993777.697343145</v>
      </c>
      <c r="P37" s="59">
        <f t="shared" si="7"/>
        <v>1057271.7356903262</v>
      </c>
      <c r="Q37" s="59">
        <f t="shared" si="7"/>
        <v>0</v>
      </c>
      <c r="R37" s="59">
        <f t="shared" si="7"/>
        <v>3568.4993530114925</v>
      </c>
      <c r="T37" s="79">
        <f t="shared" si="2"/>
        <v>0</v>
      </c>
    </row>
    <row r="38" spans="1:20" x14ac:dyDescent="0.25">
      <c r="A38" s="73">
        <v>456.01</v>
      </c>
      <c r="B38" s="71" t="s">
        <v>517</v>
      </c>
      <c r="C38" s="72" t="str">
        <f>INDEX('Alloc Amt'!B:B,MATCH(Revenue!D:D,'Alloc Amt'!D:D,0))</f>
        <v>Total Production Plant</v>
      </c>
      <c r="D38" s="19">
        <v>73</v>
      </c>
      <c r="F38" s="74">
        <v>20178764.97850965</v>
      </c>
      <c r="G38" s="59">
        <f t="shared" si="7"/>
        <v>10923436.620464657</v>
      </c>
      <c r="H38" s="59">
        <f t="shared" si="7"/>
        <v>2675463.54075944</v>
      </c>
      <c r="I38" s="59">
        <f t="shared" si="7"/>
        <v>2934411.094504328</v>
      </c>
      <c r="J38" s="59">
        <f t="shared" si="7"/>
        <v>1767934.6860931835</v>
      </c>
      <c r="K38" s="59">
        <f t="shared" si="7"/>
        <v>1235914.5420669971</v>
      </c>
      <c r="L38" s="59">
        <f t="shared" si="6"/>
        <v>2686.3294896415505</v>
      </c>
      <c r="M38" s="59">
        <f t="shared" si="6"/>
        <v>73774.128891823173</v>
      </c>
      <c r="N38" s="59">
        <f t="shared" si="7"/>
        <v>0</v>
      </c>
      <c r="O38" s="59">
        <f t="shared" si="7"/>
        <v>498670.43306466989</v>
      </c>
      <c r="P38" s="59">
        <f t="shared" si="7"/>
        <v>0</v>
      </c>
      <c r="Q38" s="59">
        <f t="shared" si="7"/>
        <v>59440.343076672536</v>
      </c>
      <c r="R38" s="59">
        <f t="shared" si="7"/>
        <v>7033.2600982351769</v>
      </c>
      <c r="T38" s="79">
        <f t="shared" si="2"/>
        <v>0</v>
      </c>
    </row>
    <row r="39" spans="1:20" x14ac:dyDescent="0.25">
      <c r="A39" s="73">
        <v>456.02</v>
      </c>
      <c r="B39" s="71" t="s">
        <v>518</v>
      </c>
      <c r="C39" s="72" t="str">
        <f>INDEX('Alloc Amt'!B:B,MATCH(Revenue!D:D,'Alloc Amt'!D:D,0))</f>
        <v>Total Distribution OH &amp; UG Lines</v>
      </c>
      <c r="D39" s="19">
        <v>71</v>
      </c>
      <c r="F39" s="74">
        <v>402045.72</v>
      </c>
      <c r="G39" s="59">
        <f t="shared" si="7"/>
        <v>269685.81888924731</v>
      </c>
      <c r="H39" s="59">
        <f t="shared" si="7"/>
        <v>48465.821084218143</v>
      </c>
      <c r="I39" s="59">
        <f t="shared" si="7"/>
        <v>42644.346547962065</v>
      </c>
      <c r="J39" s="59">
        <f t="shared" si="7"/>
        <v>18017.485049120824</v>
      </c>
      <c r="K39" s="59">
        <f t="shared" si="7"/>
        <v>13987.651871784623</v>
      </c>
      <c r="L39" s="59">
        <f t="shared" si="7"/>
        <v>228.99461800217341</v>
      </c>
      <c r="M39" s="59">
        <f t="shared" si="7"/>
        <v>4155.3882843911306</v>
      </c>
      <c r="N39" s="59">
        <f t="shared" si="7"/>
        <v>3614.2776513847375</v>
      </c>
      <c r="O39" s="59">
        <f t="shared" si="7"/>
        <v>874.67400555202073</v>
      </c>
      <c r="P39" s="59">
        <f t="shared" si="7"/>
        <v>5.256292399199622</v>
      </c>
      <c r="Q39" s="59">
        <f t="shared" si="7"/>
        <v>202.3633321183928</v>
      </c>
      <c r="R39" s="59">
        <f t="shared" si="7"/>
        <v>163.6423738193086</v>
      </c>
      <c r="T39" s="79">
        <f t="shared" si="2"/>
        <v>0</v>
      </c>
    </row>
    <row r="40" spans="1:20" x14ac:dyDescent="0.25">
      <c r="A40" s="73">
        <v>456.03</v>
      </c>
      <c r="B40" s="71" t="s">
        <v>519</v>
      </c>
      <c r="C40" s="72" t="str">
        <f>INDEX('Alloc Amt'!B:B,MATCH(Revenue!D:D,'Alloc Amt'!D:D,0))</f>
        <v>Total General Plant</v>
      </c>
      <c r="D40" s="19">
        <v>70</v>
      </c>
      <c r="F40" s="74">
        <v>403943.36</v>
      </c>
      <c r="G40" s="59">
        <f t="shared" si="7"/>
        <v>248957.80535527371</v>
      </c>
      <c r="H40" s="59">
        <f t="shared" si="7"/>
        <v>48946.971429873782</v>
      </c>
      <c r="I40" s="59">
        <f t="shared" si="7"/>
        <v>44154.406275831469</v>
      </c>
      <c r="J40" s="59">
        <f t="shared" si="7"/>
        <v>24214.590739760184</v>
      </c>
      <c r="K40" s="59">
        <f t="shared" si="7"/>
        <v>18182.846368595627</v>
      </c>
      <c r="L40" s="59">
        <f t="shared" si="7"/>
        <v>88.226375139939748</v>
      </c>
      <c r="M40" s="59">
        <f t="shared" si="7"/>
        <v>2080.271059840627</v>
      </c>
      <c r="N40" s="59">
        <f t="shared" si="7"/>
        <v>2443.0921410117639</v>
      </c>
      <c r="O40" s="59">
        <f t="shared" si="7"/>
        <v>5772.388890093609</v>
      </c>
      <c r="P40" s="59">
        <f t="shared" si="7"/>
        <v>3514.6663739701889</v>
      </c>
      <c r="Q40" s="59">
        <f t="shared" si="7"/>
        <v>5470.7159799269048</v>
      </c>
      <c r="R40" s="59">
        <f t="shared" si="7"/>
        <v>117.37901068224645</v>
      </c>
      <c r="T40" s="79">
        <f t="shared" si="2"/>
        <v>0</v>
      </c>
    </row>
    <row r="41" spans="1:20" x14ac:dyDescent="0.25">
      <c r="A41" s="73">
        <v>456.04</v>
      </c>
      <c r="B41" s="71" t="s">
        <v>520</v>
      </c>
      <c r="C41" s="72" t="str">
        <f>INDEX('Alloc Amt'!B:B,MATCH(Revenue!D:D,'Alloc Amt'!D:D,0))</f>
        <v>Total OVHD Lines</v>
      </c>
      <c r="D41" s="19">
        <v>57</v>
      </c>
      <c r="F41" s="74">
        <v>35693.46</v>
      </c>
      <c r="G41" s="59">
        <f t="shared" si="7"/>
        <v>24598.306988537832</v>
      </c>
      <c r="H41" s="59">
        <f t="shared" si="7"/>
        <v>4494.5346842932477</v>
      </c>
      <c r="I41" s="59">
        <f t="shared" si="7"/>
        <v>3494.1838167810997</v>
      </c>
      <c r="J41" s="59">
        <f t="shared" si="7"/>
        <v>1382.2443558334853</v>
      </c>
      <c r="K41" s="59">
        <f t="shared" si="7"/>
        <v>1293.8420895985828</v>
      </c>
      <c r="L41" s="59">
        <f t="shared" si="7"/>
        <v>32.406994597060809</v>
      </c>
      <c r="M41" s="59">
        <f t="shared" si="7"/>
        <v>348.66197948120964</v>
      </c>
      <c r="N41" s="59">
        <f t="shared" si="7"/>
        <v>3.0345963750354339</v>
      </c>
      <c r="O41" s="59">
        <f t="shared" si="7"/>
        <v>0</v>
      </c>
      <c r="P41" s="59">
        <f t="shared" si="7"/>
        <v>0</v>
      </c>
      <c r="Q41" s="59">
        <f t="shared" si="7"/>
        <v>21.616612546490785</v>
      </c>
      <c r="R41" s="59">
        <f t="shared" si="7"/>
        <v>24.627881955952191</v>
      </c>
      <c r="T41" s="79">
        <f t="shared" si="2"/>
        <v>0</v>
      </c>
    </row>
    <row r="42" spans="1:20" x14ac:dyDescent="0.25">
      <c r="A42" s="73">
        <v>456.05</v>
      </c>
      <c r="B42" s="71" t="s">
        <v>521</v>
      </c>
      <c r="C42" s="72" t="str">
        <f>INDEX('Alloc Amt'!B:B,MATCH(Revenue!D:D,'Alloc Amt'!D:D,0))</f>
        <v>Total Production Plant</v>
      </c>
      <c r="D42" s="19">
        <v>73</v>
      </c>
      <c r="F42" s="74">
        <v>21415123.754653767</v>
      </c>
      <c r="G42" s="59">
        <f t="shared" si="7"/>
        <v>11592718.746786492</v>
      </c>
      <c r="H42" s="59">
        <f t="shared" si="7"/>
        <v>2839389.9669998162</v>
      </c>
      <c r="I42" s="59">
        <f t="shared" si="7"/>
        <v>3114203.3123813337</v>
      </c>
      <c r="J42" s="59">
        <f t="shared" si="7"/>
        <v>1876256.5564915342</v>
      </c>
      <c r="K42" s="59">
        <f t="shared" si="7"/>
        <v>1311639.3841113951</v>
      </c>
      <c r="L42" s="59">
        <f t="shared" si="7"/>
        <v>2850.9216757178651</v>
      </c>
      <c r="M42" s="59">
        <f t="shared" si="7"/>
        <v>78294.291141838607</v>
      </c>
      <c r="N42" s="59">
        <f t="shared" si="7"/>
        <v>0</v>
      </c>
      <c r="O42" s="59">
        <f t="shared" si="7"/>
        <v>529224.11496639682</v>
      </c>
      <c r="P42" s="59">
        <f t="shared" si="7"/>
        <v>0</v>
      </c>
      <c r="Q42" s="59">
        <f t="shared" si="7"/>
        <v>63082.270117208842</v>
      </c>
      <c r="R42" s="59">
        <f t="shared" si="7"/>
        <v>7464.1899820322351</v>
      </c>
      <c r="T42" s="79">
        <f t="shared" si="2"/>
        <v>0</v>
      </c>
    </row>
    <row r="43" spans="1:20" x14ac:dyDescent="0.25">
      <c r="A43" s="73">
        <v>456.06</v>
      </c>
      <c r="B43" s="71" t="s">
        <v>522</v>
      </c>
      <c r="C43" s="72" t="str">
        <f>INDEX('Alloc Amt'!B:B,MATCH(Revenue!D:D,'Alloc Amt'!D:D,0))</f>
        <v>Total Production Plant</v>
      </c>
      <c r="D43" s="19">
        <v>73</v>
      </c>
      <c r="F43" s="74">
        <v>0</v>
      </c>
      <c r="G43" s="59">
        <f t="shared" ref="G43:R53" si="8">INDEX(Alloc,($D43),(G$1))*$F43</f>
        <v>0</v>
      </c>
      <c r="H43" s="59">
        <f t="shared" si="8"/>
        <v>0</v>
      </c>
      <c r="I43" s="59">
        <f t="shared" si="8"/>
        <v>0</v>
      </c>
      <c r="J43" s="59">
        <f t="shared" si="8"/>
        <v>0</v>
      </c>
      <c r="K43" s="59">
        <f t="shared" si="8"/>
        <v>0</v>
      </c>
      <c r="L43" s="59">
        <f t="shared" si="7"/>
        <v>0</v>
      </c>
      <c r="M43" s="59">
        <f t="shared" si="7"/>
        <v>0</v>
      </c>
      <c r="N43" s="59">
        <f t="shared" si="8"/>
        <v>0</v>
      </c>
      <c r="O43" s="59">
        <f t="shared" si="8"/>
        <v>0</v>
      </c>
      <c r="P43" s="59">
        <f t="shared" si="8"/>
        <v>0</v>
      </c>
      <c r="Q43" s="59">
        <f t="shared" si="8"/>
        <v>0</v>
      </c>
      <c r="R43" s="59">
        <f t="shared" si="8"/>
        <v>0</v>
      </c>
      <c r="T43" s="79">
        <f t="shared" si="2"/>
        <v>0</v>
      </c>
    </row>
    <row r="44" spans="1:20" x14ac:dyDescent="0.25">
      <c r="A44" s="73">
        <v>456.07</v>
      </c>
      <c r="B44" s="71" t="s">
        <v>523</v>
      </c>
      <c r="C44" s="72" t="str">
        <f>INDEX('Alloc Amt'!B:B,MATCH(Revenue!D:D,'Alloc Amt'!D:D,0))</f>
        <v>Total Production Plant</v>
      </c>
      <c r="D44" s="19">
        <v>73</v>
      </c>
      <c r="F44" s="74">
        <v>16227.01</v>
      </c>
      <c r="G44" s="59">
        <f t="shared" si="8"/>
        <v>8784.2202168181338</v>
      </c>
      <c r="H44" s="59">
        <f t="shared" si="8"/>
        <v>2151.507967746069</v>
      </c>
      <c r="I44" s="59">
        <f t="shared" si="8"/>
        <v>2359.7439300841456</v>
      </c>
      <c r="J44" s="59">
        <f t="shared" si="8"/>
        <v>1421.7071193967488</v>
      </c>
      <c r="K44" s="59">
        <f t="shared" si="8"/>
        <v>993.8763672913251</v>
      </c>
      <c r="L44" s="59">
        <f t="shared" si="7"/>
        <v>2.1602459584683591</v>
      </c>
      <c r="M44" s="59">
        <f t="shared" si="7"/>
        <v>59.326402212615527</v>
      </c>
      <c r="N44" s="59">
        <f t="shared" si="8"/>
        <v>0</v>
      </c>
      <c r="O44" s="59">
        <f t="shared" si="8"/>
        <v>401.01215870558087</v>
      </c>
      <c r="P44" s="59">
        <f t="shared" si="8"/>
        <v>0</v>
      </c>
      <c r="Q44" s="59">
        <f t="shared" si="8"/>
        <v>47.799706401052219</v>
      </c>
      <c r="R44" s="59">
        <f t="shared" si="8"/>
        <v>5.6558853858603415</v>
      </c>
      <c r="T44" s="79">
        <f t="shared" si="2"/>
        <v>0</v>
      </c>
    </row>
    <row r="45" spans="1:20" x14ac:dyDescent="0.25">
      <c r="A45" s="73">
        <v>456.08</v>
      </c>
      <c r="B45" s="71" t="s">
        <v>524</v>
      </c>
      <c r="C45" s="72" t="str">
        <f>INDEX('Alloc Amt'!B:B,MATCH(Revenue!D:D,'Alloc Amt'!D:D,0))</f>
        <v>Str. &amp; Signal Systems</v>
      </c>
      <c r="D45" s="19">
        <v>12</v>
      </c>
      <c r="F45" s="74">
        <v>1720.49</v>
      </c>
      <c r="G45" s="59">
        <f t="shared" si="8"/>
        <v>0</v>
      </c>
      <c r="H45" s="59">
        <f t="shared" si="8"/>
        <v>0</v>
      </c>
      <c r="I45" s="59">
        <f t="shared" si="8"/>
        <v>0</v>
      </c>
      <c r="J45" s="59">
        <f t="shared" si="8"/>
        <v>0</v>
      </c>
      <c r="K45" s="59">
        <f t="shared" si="8"/>
        <v>0</v>
      </c>
      <c r="L45" s="59">
        <f t="shared" si="7"/>
        <v>0</v>
      </c>
      <c r="M45" s="59">
        <f t="shared" si="7"/>
        <v>0</v>
      </c>
      <c r="N45" s="59">
        <f t="shared" si="8"/>
        <v>0</v>
      </c>
      <c r="O45" s="59">
        <f t="shared" si="8"/>
        <v>0</v>
      </c>
      <c r="P45" s="59">
        <f t="shared" si="8"/>
        <v>0</v>
      </c>
      <c r="Q45" s="59">
        <f t="shared" si="8"/>
        <v>1720.49</v>
      </c>
      <c r="R45" s="59">
        <f t="shared" si="8"/>
        <v>0</v>
      </c>
      <c r="T45" s="79">
        <f t="shared" si="2"/>
        <v>0</v>
      </c>
    </row>
    <row r="46" spans="1:20" x14ac:dyDescent="0.25">
      <c r="A46" s="73">
        <v>456.09</v>
      </c>
      <c r="B46" s="71" t="s">
        <v>525</v>
      </c>
      <c r="C46" s="72" t="str">
        <f>INDEX('Alloc Amt'!B:B,MATCH(Revenue!D:D,'Alloc Amt'!D:D,0))</f>
        <v>Total Production Plant</v>
      </c>
      <c r="D46" s="19">
        <v>73</v>
      </c>
      <c r="F46" s="74">
        <v>0</v>
      </c>
      <c r="G46" s="59">
        <f t="shared" si="8"/>
        <v>0</v>
      </c>
      <c r="H46" s="59">
        <f t="shared" si="8"/>
        <v>0</v>
      </c>
      <c r="I46" s="59">
        <f t="shared" si="8"/>
        <v>0</v>
      </c>
      <c r="J46" s="59">
        <f t="shared" si="8"/>
        <v>0</v>
      </c>
      <c r="K46" s="59">
        <f t="shared" si="8"/>
        <v>0</v>
      </c>
      <c r="L46" s="59">
        <f t="shared" si="7"/>
        <v>0</v>
      </c>
      <c r="M46" s="59">
        <f t="shared" si="7"/>
        <v>0</v>
      </c>
      <c r="N46" s="59">
        <f t="shared" si="8"/>
        <v>0</v>
      </c>
      <c r="O46" s="59">
        <f t="shared" si="8"/>
        <v>0</v>
      </c>
      <c r="P46" s="59">
        <f t="shared" si="8"/>
        <v>0</v>
      </c>
      <c r="Q46" s="59">
        <f t="shared" si="8"/>
        <v>0</v>
      </c>
      <c r="R46" s="59">
        <f t="shared" si="8"/>
        <v>0</v>
      </c>
      <c r="T46" s="79">
        <f t="shared" si="2"/>
        <v>0</v>
      </c>
    </row>
    <row r="47" spans="1:20" x14ac:dyDescent="0.25">
      <c r="A47" s="73">
        <v>456.1</v>
      </c>
      <c r="B47" s="71" t="s">
        <v>526</v>
      </c>
      <c r="C47" s="72" t="str">
        <f>INDEX('Alloc Amt'!B:B,MATCH(Revenue!D:D,'Alloc Amt'!D:D,0))</f>
        <v>Total Production Plant</v>
      </c>
      <c r="D47" s="19">
        <v>73</v>
      </c>
      <c r="F47" s="74">
        <v>81157.8</v>
      </c>
      <c r="G47" s="59">
        <f t="shared" si="8"/>
        <v>43933.416415746506</v>
      </c>
      <c r="H47" s="59">
        <f t="shared" si="8"/>
        <v>10760.55621736487</v>
      </c>
      <c r="I47" s="59">
        <f t="shared" si="8"/>
        <v>11802.027972435037</v>
      </c>
      <c r="J47" s="59">
        <f t="shared" si="8"/>
        <v>7110.528806882935</v>
      </c>
      <c r="K47" s="59">
        <f t="shared" si="8"/>
        <v>4970.7752347078058</v>
      </c>
      <c r="L47" s="59">
        <f t="shared" si="7"/>
        <v>10.804258421494989</v>
      </c>
      <c r="M47" s="59">
        <f t="shared" si="7"/>
        <v>296.71518569909114</v>
      </c>
      <c r="N47" s="59">
        <f t="shared" si="8"/>
        <v>0</v>
      </c>
      <c r="O47" s="59">
        <f t="shared" si="8"/>
        <v>2005.6230059509294</v>
      </c>
      <c r="P47" s="59">
        <f t="shared" si="8"/>
        <v>0</v>
      </c>
      <c r="Q47" s="59">
        <f t="shared" si="8"/>
        <v>239.06554640413211</v>
      </c>
      <c r="R47" s="59">
        <f t="shared" si="8"/>
        <v>28.287356387194958</v>
      </c>
      <c r="T47" s="79">
        <f t="shared" si="2"/>
        <v>0</v>
      </c>
    </row>
    <row r="48" spans="1:20" x14ac:dyDescent="0.25">
      <c r="A48" s="73">
        <v>456.11</v>
      </c>
      <c r="B48" s="71" t="s">
        <v>527</v>
      </c>
      <c r="C48" s="72" t="str">
        <f>INDEX('Alloc Amt'!B:B,MATCH(Revenue!D:D,'Alloc Amt'!D:D,0))</f>
        <v>Total Production Plant</v>
      </c>
      <c r="D48" s="19">
        <v>73</v>
      </c>
      <c r="F48" s="74">
        <v>-117872.25000000012</v>
      </c>
      <c r="G48" s="59">
        <f t="shared" si="8"/>
        <v>-63808.169308568999</v>
      </c>
      <c r="H48" s="59">
        <f t="shared" si="8"/>
        <v>-15628.454351797209</v>
      </c>
      <c r="I48" s="59">
        <f t="shared" si="8"/>
        <v>-17141.070749501061</v>
      </c>
      <c r="J48" s="59">
        <f t="shared" si="8"/>
        <v>-10327.214749008817</v>
      </c>
      <c r="K48" s="59">
        <f t="shared" si="8"/>
        <v>-7219.4719565992136</v>
      </c>
      <c r="L48" s="59">
        <f t="shared" si="7"/>
        <v>-15.691926712196043</v>
      </c>
      <c r="M48" s="59">
        <f t="shared" si="7"/>
        <v>-430.94424131161423</v>
      </c>
      <c r="N48" s="59">
        <f t="shared" si="8"/>
        <v>0</v>
      </c>
      <c r="O48" s="59">
        <f t="shared" si="8"/>
        <v>-2912.9337705457719</v>
      </c>
      <c r="P48" s="59">
        <f t="shared" si="8"/>
        <v>0</v>
      </c>
      <c r="Q48" s="59">
        <f t="shared" si="8"/>
        <v>-347.21485614610657</v>
      </c>
      <c r="R48" s="59">
        <f t="shared" si="8"/>
        <v>-41.08408980911932</v>
      </c>
      <c r="T48" s="79">
        <f t="shared" si="2"/>
        <v>0</v>
      </c>
    </row>
    <row r="49" spans="1:20" x14ac:dyDescent="0.25">
      <c r="A49" s="73">
        <v>456.12</v>
      </c>
      <c r="B49" s="71" t="s">
        <v>528</v>
      </c>
      <c r="C49" s="72" t="str">
        <f>INDEX('Alloc Amt'!B:B,MATCH(Revenue!D:D,'Alloc Amt'!D:D,0))</f>
        <v>Total Production Plant</v>
      </c>
      <c r="D49" s="19">
        <v>73</v>
      </c>
      <c r="F49" s="74">
        <v>305.69</v>
      </c>
      <c r="G49" s="59">
        <f t="shared" si="8"/>
        <v>165.48016412630147</v>
      </c>
      <c r="H49" s="59">
        <f t="shared" si="8"/>
        <v>40.53084768298632</v>
      </c>
      <c r="I49" s="59">
        <f t="shared" si="8"/>
        <v>44.453668419962916</v>
      </c>
      <c r="J49" s="59">
        <f t="shared" si="8"/>
        <v>26.782608091594945</v>
      </c>
      <c r="K49" s="59">
        <f t="shared" si="8"/>
        <v>18.722985116622542</v>
      </c>
      <c r="L49" s="59">
        <f t="shared" si="8"/>
        <v>4.0695456959981703E-2</v>
      </c>
      <c r="M49" s="59">
        <f t="shared" si="8"/>
        <v>1.1176111860641265</v>
      </c>
      <c r="N49" s="59">
        <f t="shared" si="8"/>
        <v>0</v>
      </c>
      <c r="O49" s="59">
        <f t="shared" si="8"/>
        <v>7.5544050810783387</v>
      </c>
      <c r="P49" s="59">
        <f t="shared" si="8"/>
        <v>0</v>
      </c>
      <c r="Q49" s="59">
        <f t="shared" si="8"/>
        <v>0.90046732267606</v>
      </c>
      <c r="R49" s="59">
        <f t="shared" si="8"/>
        <v>0.10654751575328097</v>
      </c>
      <c r="T49" s="79">
        <f t="shared" si="2"/>
        <v>0</v>
      </c>
    </row>
    <row r="50" spans="1:20" x14ac:dyDescent="0.25">
      <c r="A50" s="73">
        <v>456.13</v>
      </c>
      <c r="B50" s="71" t="s">
        <v>529</v>
      </c>
      <c r="C50" s="72" t="str">
        <f>INDEX('Alloc Amt'!B:B,MATCH(Revenue!D:D,'Alloc Amt'!D:D,0))</f>
        <v>Total Distribution Plant</v>
      </c>
      <c r="D50" s="19">
        <v>68</v>
      </c>
      <c r="F50" s="74">
        <v>223368.24</v>
      </c>
      <c r="G50" s="59">
        <f t="shared" si="8"/>
        <v>148520.32296934654</v>
      </c>
      <c r="H50" s="59">
        <f t="shared" si="8"/>
        <v>26477.500454998029</v>
      </c>
      <c r="I50" s="59">
        <f t="shared" si="8"/>
        <v>21021.552168605554</v>
      </c>
      <c r="J50" s="59">
        <f t="shared" si="8"/>
        <v>8951.6301243299458</v>
      </c>
      <c r="K50" s="59">
        <f t="shared" si="8"/>
        <v>7888.1154469677931</v>
      </c>
      <c r="L50" s="59">
        <f t="shared" si="8"/>
        <v>89.952070511980949</v>
      </c>
      <c r="M50" s="59">
        <f t="shared" si="8"/>
        <v>1951.3189178543187</v>
      </c>
      <c r="N50" s="59">
        <f t="shared" si="8"/>
        <v>2685.7217182009381</v>
      </c>
      <c r="O50" s="59">
        <f t="shared" si="8"/>
        <v>1023.5371916217449</v>
      </c>
      <c r="P50" s="59">
        <f t="shared" si="8"/>
        <v>353.63654310359431</v>
      </c>
      <c r="Q50" s="59">
        <f t="shared" si="8"/>
        <v>4336.4106975163595</v>
      </c>
      <c r="R50" s="59">
        <f t="shared" si="8"/>
        <v>68.541696943158058</v>
      </c>
      <c r="T50" s="79">
        <f t="shared" si="2"/>
        <v>0</v>
      </c>
    </row>
    <row r="51" spans="1:20" x14ac:dyDescent="0.25">
      <c r="A51" s="73">
        <v>456.14</v>
      </c>
      <c r="B51" s="71" t="s">
        <v>530</v>
      </c>
      <c r="C51" s="72" t="str">
        <f>INDEX('Alloc Amt'!B:B,MATCH(Revenue!D:D,'Alloc Amt'!D:D,0))</f>
        <v>Total Distribution Plant</v>
      </c>
      <c r="D51" s="19">
        <v>68</v>
      </c>
      <c r="F51" s="74">
        <v>138492.68999999575</v>
      </c>
      <c r="G51" s="59">
        <f t="shared" si="8"/>
        <v>92085.513355403426</v>
      </c>
      <c r="H51" s="59">
        <f t="shared" si="8"/>
        <v>16416.56961835214</v>
      </c>
      <c r="I51" s="59">
        <f t="shared" si="8"/>
        <v>13033.774666467478</v>
      </c>
      <c r="J51" s="59">
        <f t="shared" si="8"/>
        <v>5550.1862565754682</v>
      </c>
      <c r="K51" s="59">
        <f t="shared" si="8"/>
        <v>4890.7862965705799</v>
      </c>
      <c r="L51" s="59">
        <f t="shared" si="8"/>
        <v>55.772048059623593</v>
      </c>
      <c r="M51" s="59">
        <f t="shared" si="8"/>
        <v>1209.8560027223448</v>
      </c>
      <c r="N51" s="59">
        <f t="shared" si="8"/>
        <v>1665.2001436957128</v>
      </c>
      <c r="O51" s="59">
        <f t="shared" si="8"/>
        <v>634.61313471752555</v>
      </c>
      <c r="P51" s="59">
        <f t="shared" si="8"/>
        <v>219.26159303899348</v>
      </c>
      <c r="Q51" s="59">
        <f t="shared" si="8"/>
        <v>2688.6596878938499</v>
      </c>
      <c r="R51" s="59">
        <f t="shared" si="8"/>
        <v>42.497196498582099</v>
      </c>
      <c r="T51" s="79">
        <f t="shared" si="2"/>
        <v>0</v>
      </c>
    </row>
    <row r="52" spans="1:20" x14ac:dyDescent="0.25">
      <c r="A52" s="73">
        <v>456.15</v>
      </c>
      <c r="B52" s="71" t="s">
        <v>531</v>
      </c>
      <c r="C52" s="72" t="str">
        <f>INDEX('Alloc Amt'!B:B,MATCH(Revenue!D:D,'Alloc Amt'!D:D,0))</f>
        <v>Schedule 449 / 459 Retail Revenue</v>
      </c>
      <c r="D52" s="19">
        <v>6</v>
      </c>
      <c r="F52" s="74">
        <v>0</v>
      </c>
      <c r="G52" s="59">
        <f t="shared" si="8"/>
        <v>0</v>
      </c>
      <c r="H52" s="59">
        <f t="shared" si="8"/>
        <v>0</v>
      </c>
      <c r="I52" s="59">
        <f t="shared" si="8"/>
        <v>0</v>
      </c>
      <c r="J52" s="59">
        <f t="shared" si="8"/>
        <v>0</v>
      </c>
      <c r="K52" s="59">
        <f t="shared" si="8"/>
        <v>0</v>
      </c>
      <c r="L52" s="59">
        <f t="shared" si="8"/>
        <v>0</v>
      </c>
      <c r="M52" s="59">
        <f t="shared" si="8"/>
        <v>0</v>
      </c>
      <c r="N52" s="59">
        <f t="shared" si="8"/>
        <v>0</v>
      </c>
      <c r="O52" s="59">
        <f t="shared" si="8"/>
        <v>0</v>
      </c>
      <c r="P52" s="59">
        <f t="shared" si="8"/>
        <v>0</v>
      </c>
      <c r="Q52" s="59">
        <f t="shared" si="8"/>
        <v>0</v>
      </c>
      <c r="R52" s="59">
        <f t="shared" si="8"/>
        <v>0</v>
      </c>
      <c r="T52" s="79">
        <f t="shared" si="2"/>
        <v>0</v>
      </c>
    </row>
    <row r="53" spans="1:20" x14ac:dyDescent="0.25">
      <c r="A53" s="73">
        <v>456.16</v>
      </c>
      <c r="B53" s="71" t="s">
        <v>532</v>
      </c>
      <c r="C53" s="72" t="str">
        <f>INDEX('Alloc Amt'!B:B,MATCH(Revenue!D:D,'Alloc Amt'!D:D,0))</f>
        <v>Direct Assignment Special Contract</v>
      </c>
      <c r="D53" s="19">
        <v>5</v>
      </c>
      <c r="F53" s="74">
        <v>1010226.96</v>
      </c>
      <c r="G53" s="59">
        <f t="shared" si="8"/>
        <v>0</v>
      </c>
      <c r="H53" s="59">
        <f t="shared" si="8"/>
        <v>0</v>
      </c>
      <c r="I53" s="59">
        <f t="shared" si="8"/>
        <v>0</v>
      </c>
      <c r="J53" s="59">
        <f t="shared" si="8"/>
        <v>0</v>
      </c>
      <c r="K53" s="59">
        <f t="shared" si="8"/>
        <v>0</v>
      </c>
      <c r="L53" s="59">
        <f t="shared" si="8"/>
        <v>0</v>
      </c>
      <c r="M53" s="59">
        <f t="shared" si="8"/>
        <v>0</v>
      </c>
      <c r="N53" s="59">
        <f t="shared" si="8"/>
        <v>1010226.96</v>
      </c>
      <c r="O53" s="59">
        <f t="shared" si="8"/>
        <v>0</v>
      </c>
      <c r="P53" s="59">
        <f t="shared" si="8"/>
        <v>0</v>
      </c>
      <c r="Q53" s="59">
        <f t="shared" si="8"/>
        <v>0</v>
      </c>
      <c r="R53" s="59">
        <f t="shared" si="8"/>
        <v>0</v>
      </c>
      <c r="T53" s="79">
        <f t="shared" si="2"/>
        <v>0</v>
      </c>
    </row>
    <row r="54" spans="1:20" x14ac:dyDescent="0.25">
      <c r="A54" s="75"/>
      <c r="B54" s="24" t="s">
        <v>533</v>
      </c>
      <c r="C54" s="26"/>
      <c r="D54" s="50"/>
      <c r="E54" s="50"/>
      <c r="F54" s="76">
        <f>SUM(F23:F53)</f>
        <v>76831178.983163401</v>
      </c>
      <c r="G54" s="76">
        <f t="shared" ref="G54:R54" si="9">SUM(G23:G53)</f>
        <v>42571741.543277197</v>
      </c>
      <c r="H54" s="76">
        <f t="shared" si="9"/>
        <v>10920419.476508936</v>
      </c>
      <c r="I54" s="76">
        <f t="shared" si="9"/>
        <v>8111166.7281178497</v>
      </c>
      <c r="J54" s="76">
        <f t="shared" si="9"/>
        <v>4569291.7494716924</v>
      </c>
      <c r="K54" s="76">
        <f t="shared" si="9"/>
        <v>3727116.0798256383</v>
      </c>
      <c r="L54" s="76">
        <f t="shared" si="9"/>
        <v>13612.134580855416</v>
      </c>
      <c r="M54" s="76">
        <f t="shared" si="9"/>
        <v>271883.37575463072</v>
      </c>
      <c r="N54" s="76">
        <f t="shared" si="9"/>
        <v>1110728.2434396907</v>
      </c>
      <c r="O54" s="76">
        <f t="shared" si="9"/>
        <v>4181868.1191848852</v>
      </c>
      <c r="P54" s="76">
        <f t="shared" si="9"/>
        <v>1075860.9092799951</v>
      </c>
      <c r="Q54" s="76">
        <f t="shared" si="9"/>
        <v>251742.46399156787</v>
      </c>
      <c r="R54" s="76">
        <f t="shared" si="9"/>
        <v>25748.159730467811</v>
      </c>
      <c r="T54" s="79">
        <f t="shared" si="2"/>
        <v>0</v>
      </c>
    </row>
    <row r="55" spans="1:20" x14ac:dyDescent="0.25">
      <c r="A55" s="73"/>
      <c r="B55" s="71"/>
      <c r="C55" s="72"/>
      <c r="F55" s="74"/>
      <c r="T55" s="79">
        <f t="shared" si="2"/>
        <v>0</v>
      </c>
    </row>
    <row r="56" spans="1:20" ht="15.75" thickBot="1" x14ac:dyDescent="0.3">
      <c r="A56" s="77"/>
      <c r="B56" s="28" t="s">
        <v>534</v>
      </c>
      <c r="C56" s="30"/>
      <c r="D56" s="50"/>
      <c r="E56" s="50"/>
      <c r="F56" s="76">
        <f>SUM(F15,F20,F54)</f>
        <v>2079303050.9470448</v>
      </c>
      <c r="G56" s="76">
        <f t="shared" ref="G56:R56" si="10">SUM(G15,G20,G54)</f>
        <v>1151429070.6129458</v>
      </c>
      <c r="H56" s="76">
        <f t="shared" si="10"/>
        <v>275035999.56146342</v>
      </c>
      <c r="I56" s="76">
        <f t="shared" si="10"/>
        <v>279609800.98688406</v>
      </c>
      <c r="J56" s="76">
        <f t="shared" si="10"/>
        <v>165329332.53555652</v>
      </c>
      <c r="K56" s="76">
        <f t="shared" si="10"/>
        <v>117317331.87716207</v>
      </c>
      <c r="L56" s="76">
        <f t="shared" si="10"/>
        <v>282354.26890319918</v>
      </c>
      <c r="M56" s="76">
        <f t="shared" si="10"/>
        <v>10979025.985558653</v>
      </c>
      <c r="N56" s="76">
        <f t="shared" si="10"/>
        <v>6604281.2434396911</v>
      </c>
      <c r="O56" s="76">
        <f t="shared" si="10"/>
        <v>44445277.607351363</v>
      </c>
      <c r="P56" s="76">
        <f t="shared" si="10"/>
        <v>11193232.689279996</v>
      </c>
      <c r="Q56" s="76">
        <f t="shared" si="10"/>
        <v>16725347.881847676</v>
      </c>
      <c r="R56" s="76">
        <f t="shared" si="10"/>
        <v>351995.69665236783</v>
      </c>
      <c r="T56" s="79">
        <f t="shared" si="2"/>
        <v>0</v>
      </c>
    </row>
    <row r="57" spans="1:20" ht="15.75" thickTop="1" x14ac:dyDescent="0.25">
      <c r="A57" s="73"/>
      <c r="B57" s="71"/>
      <c r="C57" s="72"/>
      <c r="F57" s="74"/>
      <c r="T57" s="79">
        <f t="shared" si="2"/>
        <v>0</v>
      </c>
    </row>
    <row r="58" spans="1:20" x14ac:dyDescent="0.25">
      <c r="A58" s="73"/>
      <c r="B58" s="71"/>
      <c r="C58" s="72"/>
      <c r="F58" s="74">
        <v>2079303050.9470448</v>
      </c>
      <c r="T58" s="79">
        <f t="shared" si="2"/>
        <v>-2079303050.9470448</v>
      </c>
    </row>
    <row r="59" spans="1:20" x14ac:dyDescent="0.25">
      <c r="A59" s="71"/>
      <c r="B59" s="71"/>
      <c r="C59" s="72"/>
      <c r="F59" s="78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E49AB3-3786-4753-8019-6E025C52BCA5}">
  <dimension ref="A1:Y95"/>
  <sheetViews>
    <sheetView topLeftCell="A2" zoomScale="85" zoomScaleNormal="85" workbookViewId="0">
      <pane xSplit="2" ySplit="2" topLeftCell="D70" activePane="bottomRight" state="frozen"/>
      <selection activeCell="A2" sqref="A2"/>
      <selection pane="topRight" activeCell="C2" sqref="C2"/>
      <selection pane="bottomLeft" activeCell="A4" sqref="A4"/>
      <selection pane="bottomRight" activeCell="J92" sqref="J92:L92"/>
    </sheetView>
  </sheetViews>
  <sheetFormatPr defaultRowHeight="15" x14ac:dyDescent="0.25"/>
  <cols>
    <col min="1" max="1" width="15.28515625" style="13" bestFit="1" customWidth="1"/>
    <col min="2" max="2" width="92.85546875" style="13" bestFit="1" customWidth="1"/>
    <col min="3" max="3" width="42.85546875" style="13" bestFit="1" customWidth="1"/>
    <col min="4" max="5" width="15" style="13" bestFit="1" customWidth="1"/>
    <col min="6" max="6" width="17.85546875" style="13" bestFit="1" customWidth="1"/>
    <col min="7" max="8" width="17.7109375" style="13" bestFit="1" customWidth="1"/>
    <col min="9" max="10" width="16.42578125" style="13" bestFit="1" customWidth="1"/>
    <col min="11" max="12" width="16.42578125" style="13" customWidth="1"/>
    <col min="13" max="13" width="15.28515625" style="13" bestFit="1" customWidth="1"/>
    <col min="14" max="14" width="16.42578125" style="13" bestFit="1" customWidth="1"/>
    <col min="15" max="15" width="16.28515625" style="13" bestFit="1" customWidth="1"/>
    <col min="16" max="16" width="16" style="13" bestFit="1" customWidth="1"/>
    <col min="17" max="17" width="14.28515625" style="13" bestFit="1" customWidth="1"/>
    <col min="18" max="18" width="9.140625" style="13"/>
    <col min="19" max="19" width="14" style="13" bestFit="1" customWidth="1"/>
    <col min="20" max="20" width="10.28515625" style="13" bestFit="1" customWidth="1"/>
    <col min="21" max="21" width="12.28515625" style="13" bestFit="1" customWidth="1"/>
    <col min="22" max="23" width="9.140625" style="13"/>
    <col min="24" max="24" width="15.28515625" style="13" bestFit="1" customWidth="1"/>
    <col min="25" max="25" width="16.42578125" style="13" customWidth="1"/>
    <col min="26" max="16384" width="9.140625" style="13"/>
  </cols>
  <sheetData>
    <row r="1" spans="2:25" customFormat="1" x14ac:dyDescent="0.25"/>
    <row r="2" spans="2:25" customFormat="1" x14ac:dyDescent="0.25">
      <c r="S2" s="117" t="s">
        <v>118</v>
      </c>
      <c r="T2" s="117"/>
      <c r="U2" s="117"/>
    </row>
    <row r="3" spans="2:25" customFormat="1" ht="26.25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98" t="s">
        <v>583</v>
      </c>
      <c r="K3" s="98" t="s">
        <v>584</v>
      </c>
      <c r="L3" s="98" t="s">
        <v>585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  <c r="S3" s="2" t="s">
        <v>6</v>
      </c>
      <c r="T3" s="2" t="s">
        <v>7</v>
      </c>
      <c r="U3" s="2" t="s">
        <v>8</v>
      </c>
      <c r="X3" t="s">
        <v>1</v>
      </c>
    </row>
    <row r="4" spans="2:25" customFormat="1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S4" s="2"/>
      <c r="T4" s="2"/>
      <c r="U4" s="2"/>
    </row>
    <row r="5" spans="2:25" customFormat="1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S5" s="1"/>
      <c r="T5" s="1"/>
      <c r="U5" s="1"/>
    </row>
    <row r="6" spans="2:25" customFormat="1" x14ac:dyDescent="0.25">
      <c r="B6" s="4"/>
      <c r="C6" s="3"/>
      <c r="D6" s="3"/>
      <c r="E6" s="3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S6" s="5"/>
      <c r="T6" s="5"/>
      <c r="U6" s="5"/>
    </row>
    <row r="7" spans="2:25" customFormat="1" x14ac:dyDescent="0.25">
      <c r="B7" s="6" t="s">
        <v>17</v>
      </c>
      <c r="C7" s="6" t="s">
        <v>16</v>
      </c>
      <c r="D7" s="6">
        <v>1</v>
      </c>
      <c r="E7" s="9">
        <v>1149791</v>
      </c>
      <c r="F7" s="9">
        <v>1010572</v>
      </c>
      <c r="G7" s="9">
        <v>121598</v>
      </c>
      <c r="H7" s="9">
        <v>8164</v>
      </c>
      <c r="I7" s="9">
        <v>842</v>
      </c>
      <c r="J7" s="9">
        <v>487</v>
      </c>
      <c r="K7" s="9">
        <v>2</v>
      </c>
      <c r="L7" s="9">
        <v>155</v>
      </c>
      <c r="M7" s="9">
        <v>93</v>
      </c>
      <c r="N7" s="9">
        <v>25</v>
      </c>
      <c r="O7" s="9">
        <v>16</v>
      </c>
      <c r="P7" s="9">
        <v>7829</v>
      </c>
      <c r="Q7" s="9">
        <v>8</v>
      </c>
      <c r="S7" s="9">
        <v>487</v>
      </c>
      <c r="T7" s="9">
        <v>2</v>
      </c>
      <c r="U7" s="9">
        <v>155</v>
      </c>
      <c r="X7">
        <v>1149791</v>
      </c>
      <c r="Y7" s="11">
        <f>SUM(F7:Q7)-X7</f>
        <v>0</v>
      </c>
    </row>
    <row r="8" spans="2:25" customFormat="1" x14ac:dyDescent="0.25">
      <c r="B8" s="6" t="s">
        <v>20</v>
      </c>
      <c r="C8" s="6" t="s">
        <v>19</v>
      </c>
      <c r="D8" s="6">
        <f>D7+1</f>
        <v>2</v>
      </c>
      <c r="E8" s="9">
        <v>1141176</v>
      </c>
      <c r="F8" s="9">
        <v>1010572</v>
      </c>
      <c r="G8" s="9">
        <v>121598</v>
      </c>
      <c r="H8" s="9">
        <v>8164</v>
      </c>
      <c r="I8" s="9">
        <v>842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S8" s="9">
        <v>0</v>
      </c>
      <c r="T8" s="9">
        <v>0</v>
      </c>
      <c r="U8" s="9">
        <v>0</v>
      </c>
      <c r="X8">
        <v>1141176</v>
      </c>
      <c r="Y8" s="11">
        <f t="shared" ref="Y8:Y58" si="0">SUM(F8:Q8)-X8</f>
        <v>0</v>
      </c>
    </row>
    <row r="9" spans="2:25" customFormat="1" x14ac:dyDescent="0.25">
      <c r="B9" s="6" t="s">
        <v>22</v>
      </c>
      <c r="C9" s="6" t="s">
        <v>21</v>
      </c>
      <c r="D9" s="6">
        <f t="shared" ref="D9:D72" si="1">D8+1</f>
        <v>3</v>
      </c>
      <c r="E9" s="9">
        <v>23055852.679125007</v>
      </c>
      <c r="F9" s="9">
        <v>19693335.621771198</v>
      </c>
      <c r="G9" s="9">
        <v>2323858.4796987218</v>
      </c>
      <c r="H9" s="9">
        <v>211703.95414267364</v>
      </c>
      <c r="I9" s="9">
        <v>218776.18371969723</v>
      </c>
      <c r="J9" s="9">
        <v>163816.09684686788</v>
      </c>
      <c r="K9" s="9">
        <v>26.074483335813575</v>
      </c>
      <c r="L9" s="9">
        <v>13416.224866400044</v>
      </c>
      <c r="M9" s="9">
        <v>59607.390138636991</v>
      </c>
      <c r="N9" s="9">
        <v>96234.867109021652</v>
      </c>
      <c r="O9" s="9">
        <v>171920.94832923554</v>
      </c>
      <c r="P9" s="9">
        <v>103137.15421469032</v>
      </c>
      <c r="Q9" s="9">
        <v>19.683804523941305</v>
      </c>
      <c r="S9" s="9">
        <v>163816.09684686788</v>
      </c>
      <c r="T9" s="9">
        <v>26.074483335813575</v>
      </c>
      <c r="U9" s="9">
        <v>13416.224866400044</v>
      </c>
      <c r="X9">
        <v>23055852.679125007</v>
      </c>
      <c r="Y9" s="11">
        <f t="shared" si="0"/>
        <v>0</v>
      </c>
    </row>
    <row r="10" spans="2:25" customFormat="1" x14ac:dyDescent="0.25">
      <c r="B10" s="10" t="s">
        <v>24</v>
      </c>
      <c r="C10" s="6" t="s">
        <v>23</v>
      </c>
      <c r="D10" s="6">
        <f t="shared" si="1"/>
        <v>4</v>
      </c>
      <c r="E10" s="9">
        <v>1172597</v>
      </c>
      <c r="F10" s="9">
        <v>1030857</v>
      </c>
      <c r="G10" s="9">
        <v>131231</v>
      </c>
      <c r="H10" s="9">
        <v>8737</v>
      </c>
      <c r="I10" s="9">
        <v>883</v>
      </c>
      <c r="J10" s="9">
        <v>530</v>
      </c>
      <c r="K10" s="9">
        <v>2</v>
      </c>
      <c r="L10" s="9">
        <v>159</v>
      </c>
      <c r="M10" s="9">
        <v>99</v>
      </c>
      <c r="N10" s="9">
        <v>36</v>
      </c>
      <c r="O10" s="9">
        <v>55</v>
      </c>
      <c r="P10" s="9">
        <v>0</v>
      </c>
      <c r="Q10" s="9">
        <v>8</v>
      </c>
      <c r="S10" s="9">
        <v>530</v>
      </c>
      <c r="T10" s="9">
        <v>2</v>
      </c>
      <c r="U10" s="9">
        <v>159</v>
      </c>
      <c r="X10">
        <v>1172597</v>
      </c>
      <c r="Y10" s="11">
        <f t="shared" si="0"/>
        <v>0</v>
      </c>
    </row>
    <row r="11" spans="2:25" customFormat="1" x14ac:dyDescent="0.25">
      <c r="B11" s="10" t="s">
        <v>26</v>
      </c>
      <c r="C11" s="10" t="s">
        <v>25</v>
      </c>
      <c r="D11" s="6">
        <f t="shared" si="1"/>
        <v>5</v>
      </c>
      <c r="E11" s="9">
        <v>1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1</v>
      </c>
      <c r="N11" s="9">
        <v>0</v>
      </c>
      <c r="O11" s="9">
        <v>0</v>
      </c>
      <c r="P11" s="9">
        <v>0</v>
      </c>
      <c r="Q11" s="9">
        <v>0</v>
      </c>
      <c r="S11" s="9">
        <v>0</v>
      </c>
      <c r="T11" s="9">
        <v>0</v>
      </c>
      <c r="U11" s="9">
        <v>0</v>
      </c>
      <c r="X11">
        <v>1</v>
      </c>
      <c r="Y11" s="11">
        <f t="shared" si="0"/>
        <v>0</v>
      </c>
    </row>
    <row r="12" spans="2:25" customFormat="1" x14ac:dyDescent="0.25">
      <c r="B12" s="10" t="s">
        <v>28</v>
      </c>
      <c r="C12" s="6" t="s">
        <v>27</v>
      </c>
      <c r="D12" s="6">
        <f t="shared" si="1"/>
        <v>6</v>
      </c>
      <c r="E12" s="9">
        <v>1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1</v>
      </c>
      <c r="P12" s="9">
        <v>0</v>
      </c>
      <c r="Q12" s="9">
        <v>0</v>
      </c>
      <c r="S12" s="9">
        <v>0</v>
      </c>
      <c r="T12" s="9">
        <v>0</v>
      </c>
      <c r="U12" s="9">
        <v>0</v>
      </c>
      <c r="X12">
        <v>1</v>
      </c>
      <c r="Y12" s="11">
        <f t="shared" si="0"/>
        <v>0</v>
      </c>
    </row>
    <row r="13" spans="2:25" customFormat="1" x14ac:dyDescent="0.25">
      <c r="B13" s="6" t="s">
        <v>30</v>
      </c>
      <c r="C13" s="6" t="s">
        <v>29</v>
      </c>
      <c r="D13" s="6">
        <f t="shared" si="1"/>
        <v>7</v>
      </c>
      <c r="E13" s="9">
        <v>1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1</v>
      </c>
      <c r="P13" s="9">
        <v>0</v>
      </c>
      <c r="Q13" s="9">
        <v>0</v>
      </c>
      <c r="S13" s="9">
        <v>0</v>
      </c>
      <c r="T13" s="9">
        <v>0</v>
      </c>
      <c r="U13" s="9">
        <v>0</v>
      </c>
      <c r="X13">
        <v>1</v>
      </c>
      <c r="Y13" s="11">
        <f t="shared" si="0"/>
        <v>0</v>
      </c>
    </row>
    <row r="14" spans="2:25" customFormat="1" x14ac:dyDescent="0.25">
      <c r="B14" s="6" t="s">
        <v>32</v>
      </c>
      <c r="C14" s="6" t="s">
        <v>31</v>
      </c>
      <c r="D14" s="6">
        <f t="shared" si="1"/>
        <v>8</v>
      </c>
      <c r="E14" s="9">
        <v>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0</v>
      </c>
      <c r="Q14" s="9">
        <v>1</v>
      </c>
      <c r="S14" s="9">
        <v>0</v>
      </c>
      <c r="T14" s="9">
        <v>0</v>
      </c>
      <c r="U14" s="9">
        <v>0</v>
      </c>
      <c r="X14">
        <v>1</v>
      </c>
      <c r="Y14" s="11">
        <f t="shared" si="0"/>
        <v>0</v>
      </c>
    </row>
    <row r="15" spans="2:25" customFormat="1" x14ac:dyDescent="0.25">
      <c r="B15" s="6" t="s">
        <v>34</v>
      </c>
      <c r="C15" s="6" t="s">
        <v>33</v>
      </c>
      <c r="D15" s="6">
        <f t="shared" si="1"/>
        <v>9</v>
      </c>
      <c r="E15" s="9">
        <v>-34015464.989999995</v>
      </c>
      <c r="F15" s="9">
        <v>-30406297.609999999</v>
      </c>
      <c r="G15" s="9">
        <v>-2455237.91</v>
      </c>
      <c r="H15" s="9">
        <v>-840288.84999999986</v>
      </c>
      <c r="I15" s="9">
        <v>-223191.21</v>
      </c>
      <c r="J15" s="9">
        <v>-75815.75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-14633.660000000002</v>
      </c>
      <c r="Q15" s="9">
        <v>0</v>
      </c>
      <c r="S15" s="9">
        <v>-75815.75</v>
      </c>
      <c r="T15" s="9">
        <v>0</v>
      </c>
      <c r="U15" s="9">
        <v>0</v>
      </c>
      <c r="X15">
        <v>-34015464.989999995</v>
      </c>
      <c r="Y15" s="11">
        <f t="shared" si="0"/>
        <v>0</v>
      </c>
    </row>
    <row r="16" spans="2:25" customFormat="1" x14ac:dyDescent="0.25">
      <c r="B16" s="6" t="s">
        <v>36</v>
      </c>
      <c r="C16" s="10" t="s">
        <v>35</v>
      </c>
      <c r="D16" s="6">
        <f t="shared" si="1"/>
        <v>10</v>
      </c>
      <c r="E16" s="9">
        <v>-77716905.469999999</v>
      </c>
      <c r="F16" s="9">
        <v>-33314021.629999995</v>
      </c>
      <c r="G16" s="9">
        <v>-41341014.587427035</v>
      </c>
      <c r="H16" s="9">
        <v>-2775605.2163008796</v>
      </c>
      <c r="I16" s="9">
        <v>-286264.0362720897</v>
      </c>
      <c r="J16" s="9">
        <v>0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S16" s="9">
        <v>0</v>
      </c>
      <c r="T16" s="9">
        <v>0</v>
      </c>
      <c r="U16" s="9">
        <v>0</v>
      </c>
      <c r="X16">
        <v>-77716905.469999999</v>
      </c>
      <c r="Y16" s="11">
        <f t="shared" si="0"/>
        <v>0</v>
      </c>
    </row>
    <row r="17" spans="2:25" customFormat="1" x14ac:dyDescent="0.25">
      <c r="B17" s="6" t="s">
        <v>38</v>
      </c>
      <c r="C17" s="6" t="s">
        <v>37</v>
      </c>
      <c r="D17" s="6">
        <f t="shared" si="1"/>
        <v>11</v>
      </c>
      <c r="E17" s="9">
        <v>2491343.4590000971</v>
      </c>
      <c r="F17" s="9">
        <v>0</v>
      </c>
      <c r="G17" s="9">
        <v>0</v>
      </c>
      <c r="H17" s="9">
        <v>0</v>
      </c>
      <c r="I17" s="9">
        <v>0</v>
      </c>
      <c r="J17" s="9">
        <v>824435.83999999985</v>
      </c>
      <c r="K17" s="9">
        <v>0</v>
      </c>
      <c r="L17" s="9">
        <v>47249.630000000005</v>
      </c>
      <c r="M17" s="9">
        <v>1600260.7990000974</v>
      </c>
      <c r="N17" s="9">
        <v>0</v>
      </c>
      <c r="O17" s="9">
        <v>0</v>
      </c>
      <c r="P17" s="9">
        <v>0</v>
      </c>
      <c r="Q17" s="9">
        <v>19397.189999999999</v>
      </c>
      <c r="S17" s="9">
        <v>824435.83999999985</v>
      </c>
      <c r="T17" s="9">
        <v>0</v>
      </c>
      <c r="U17" s="9">
        <v>47249.630000000005</v>
      </c>
      <c r="X17">
        <v>2491343.4590000971</v>
      </c>
      <c r="Y17" s="11">
        <f t="shared" si="0"/>
        <v>0</v>
      </c>
    </row>
    <row r="18" spans="2:25" customFormat="1" x14ac:dyDescent="0.25">
      <c r="B18" s="6" t="s">
        <v>40</v>
      </c>
      <c r="C18" s="6" t="s">
        <v>39</v>
      </c>
      <c r="D18" s="6">
        <f t="shared" si="1"/>
        <v>12</v>
      </c>
      <c r="E18" s="9">
        <v>1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0</v>
      </c>
      <c r="P18" s="9">
        <v>1</v>
      </c>
      <c r="Q18" s="9">
        <v>0</v>
      </c>
      <c r="S18" s="9">
        <v>0</v>
      </c>
      <c r="T18" s="9">
        <v>0</v>
      </c>
      <c r="U18" s="9">
        <v>0</v>
      </c>
      <c r="X18">
        <v>1</v>
      </c>
      <c r="Y18" s="11">
        <f t="shared" si="0"/>
        <v>0</v>
      </c>
    </row>
    <row r="19" spans="2:25" customFormat="1" x14ac:dyDescent="0.25">
      <c r="B19" s="6" t="s">
        <v>42</v>
      </c>
      <c r="C19" s="6" t="s">
        <v>41</v>
      </c>
      <c r="D19" s="6">
        <f t="shared" si="1"/>
        <v>13</v>
      </c>
      <c r="E19" s="9">
        <v>2383668.6699999995</v>
      </c>
      <c r="F19" s="9">
        <v>1863702.2299999993</v>
      </c>
      <c r="G19" s="9">
        <v>273430.22000000003</v>
      </c>
      <c r="H19" s="9">
        <v>100807.01999999996</v>
      </c>
      <c r="I19" s="9">
        <v>26571.79</v>
      </c>
      <c r="J19" s="9">
        <v>22333.49</v>
      </c>
      <c r="K19" s="9">
        <v>0</v>
      </c>
      <c r="L19" s="9">
        <v>158.59</v>
      </c>
      <c r="M19" s="9">
        <v>0</v>
      </c>
      <c r="N19" s="9">
        <v>3068.19</v>
      </c>
      <c r="O19" s="9">
        <v>2207.6999999999998</v>
      </c>
      <c r="P19" s="9">
        <v>91350.16</v>
      </c>
      <c r="Q19" s="9">
        <v>39.28</v>
      </c>
      <c r="S19" s="9">
        <v>22333.49</v>
      </c>
      <c r="T19" s="9">
        <v>0</v>
      </c>
      <c r="U19" s="9">
        <v>158.59</v>
      </c>
      <c r="X19">
        <v>2383668.6699999995</v>
      </c>
      <c r="Y19" s="11">
        <f t="shared" si="0"/>
        <v>0</v>
      </c>
    </row>
    <row r="20" spans="2:25" customFormat="1" x14ac:dyDescent="0.25">
      <c r="B20" s="6" t="s">
        <v>44</v>
      </c>
      <c r="C20" s="6" t="s">
        <v>43</v>
      </c>
      <c r="D20" s="6">
        <f t="shared" si="1"/>
        <v>14</v>
      </c>
      <c r="E20" s="9">
        <v>315841.58000000007</v>
      </c>
      <c r="F20" s="9">
        <v>296927.81000000006</v>
      </c>
      <c r="G20" s="9">
        <v>18396.830000000005</v>
      </c>
      <c r="H20" s="9">
        <v>394.94</v>
      </c>
      <c r="I20" s="9">
        <v>26.86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95.14</v>
      </c>
      <c r="Q20" s="9">
        <v>0</v>
      </c>
      <c r="S20" s="9">
        <v>0</v>
      </c>
      <c r="T20" s="9">
        <v>0</v>
      </c>
      <c r="U20" s="9">
        <v>0</v>
      </c>
      <c r="X20">
        <v>315841.58000000007</v>
      </c>
      <c r="Y20" s="11">
        <f t="shared" si="0"/>
        <v>0</v>
      </c>
    </row>
    <row r="21" spans="2:25" customFormat="1" x14ac:dyDescent="0.25">
      <c r="B21" s="6" t="s">
        <v>46</v>
      </c>
      <c r="C21" s="6" t="s">
        <v>45</v>
      </c>
      <c r="D21" s="6">
        <f t="shared" si="1"/>
        <v>15</v>
      </c>
      <c r="E21" s="9">
        <v>1550570.85</v>
      </c>
      <c r="F21" s="9">
        <v>1514580.4800000002</v>
      </c>
      <c r="G21" s="9">
        <v>35233.449999999997</v>
      </c>
      <c r="H21" s="9">
        <v>756.92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S21" s="9">
        <v>0</v>
      </c>
      <c r="T21" s="9">
        <v>0</v>
      </c>
      <c r="U21" s="9">
        <v>0</v>
      </c>
      <c r="X21">
        <v>1550570.85</v>
      </c>
      <c r="Y21" s="11">
        <f t="shared" si="0"/>
        <v>0</v>
      </c>
    </row>
    <row r="22" spans="2:25" customFormat="1" x14ac:dyDescent="0.25">
      <c r="B22" s="6" t="s">
        <v>48</v>
      </c>
      <c r="C22" s="6" t="s">
        <v>47</v>
      </c>
      <c r="D22" s="6">
        <f t="shared" si="1"/>
        <v>16</v>
      </c>
      <c r="E22" s="9">
        <v>1520361.83</v>
      </c>
      <c r="F22" s="9">
        <v>1391359.2799999998</v>
      </c>
      <c r="G22" s="9">
        <v>124826.99999999997</v>
      </c>
      <c r="H22" s="9">
        <v>3774.12</v>
      </c>
      <c r="I22" s="9">
        <v>273.05999999999995</v>
      </c>
      <c r="J22" s="9">
        <v>126.83999999999999</v>
      </c>
      <c r="K22" s="9">
        <v>0</v>
      </c>
      <c r="L22" s="9">
        <v>0</v>
      </c>
      <c r="M22" s="9">
        <v>0</v>
      </c>
      <c r="N22" s="9">
        <v>1.53</v>
      </c>
      <c r="O22" s="9">
        <v>0</v>
      </c>
      <c r="P22" s="9">
        <v>0</v>
      </c>
      <c r="Q22" s="9">
        <v>0</v>
      </c>
      <c r="S22" s="9">
        <v>126.83999999999999</v>
      </c>
      <c r="T22" s="9">
        <v>0</v>
      </c>
      <c r="U22" s="9">
        <v>0</v>
      </c>
      <c r="X22">
        <v>1520361.83</v>
      </c>
      <c r="Y22" s="11">
        <f t="shared" si="0"/>
        <v>0</v>
      </c>
    </row>
    <row r="23" spans="2:25" customFormat="1" x14ac:dyDescent="0.25">
      <c r="B23" s="6" t="s">
        <v>50</v>
      </c>
      <c r="C23" s="6" t="s">
        <v>49</v>
      </c>
      <c r="D23" s="6">
        <f t="shared" si="1"/>
        <v>17</v>
      </c>
      <c r="E23" s="9">
        <v>29617.52</v>
      </c>
      <c r="F23" s="9">
        <v>19433.579999999998</v>
      </c>
      <c r="G23" s="9">
        <v>7376.1599999999989</v>
      </c>
      <c r="H23" s="9">
        <v>2736.4500000000003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71.33</v>
      </c>
      <c r="Q23" s="9">
        <v>0</v>
      </c>
      <c r="S23" s="9">
        <v>0</v>
      </c>
      <c r="T23" s="9">
        <v>0</v>
      </c>
      <c r="U23" s="9">
        <v>0</v>
      </c>
      <c r="X23">
        <v>29617.52</v>
      </c>
      <c r="Y23" s="11">
        <f t="shared" si="0"/>
        <v>0</v>
      </c>
    </row>
    <row r="24" spans="2:25" customFormat="1" x14ac:dyDescent="0.25">
      <c r="B24" s="6" t="s">
        <v>52</v>
      </c>
      <c r="C24" s="6" t="s">
        <v>51</v>
      </c>
      <c r="D24" s="6">
        <f t="shared" si="1"/>
        <v>18</v>
      </c>
      <c r="E24" s="9">
        <v>19454508.18</v>
      </c>
      <c r="F24" s="9">
        <v>17224681.399999999</v>
      </c>
      <c r="G24" s="9">
        <v>1239004.6299999999</v>
      </c>
      <c r="H24" s="9">
        <v>200327.21</v>
      </c>
      <c r="I24" s="9">
        <v>312764.41000000003</v>
      </c>
      <c r="J24" s="9">
        <v>428165.6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49564.93</v>
      </c>
      <c r="Q24" s="9">
        <v>0</v>
      </c>
      <c r="S24" s="9">
        <v>428165.6</v>
      </c>
      <c r="T24" s="9">
        <v>0</v>
      </c>
      <c r="U24" s="9">
        <v>0</v>
      </c>
      <c r="X24">
        <v>19454508.18</v>
      </c>
      <c r="Y24" s="11">
        <f t="shared" si="0"/>
        <v>0</v>
      </c>
    </row>
    <row r="25" spans="2:25" customFormat="1" x14ac:dyDescent="0.25">
      <c r="B25" s="6" t="s">
        <v>54</v>
      </c>
      <c r="C25" s="6" t="s">
        <v>53</v>
      </c>
      <c r="D25" s="6">
        <f t="shared" si="1"/>
        <v>19</v>
      </c>
      <c r="E25" s="9">
        <v>176621934.4411512</v>
      </c>
      <c r="F25" s="9">
        <v>114667546</v>
      </c>
      <c r="G25" s="9">
        <v>32185511</v>
      </c>
      <c r="H25" s="9">
        <v>9511980.333333334</v>
      </c>
      <c r="I25" s="9">
        <v>1069065</v>
      </c>
      <c r="J25" s="9">
        <v>12805047.923076924</v>
      </c>
      <c r="K25" s="9">
        <v>41518</v>
      </c>
      <c r="L25" s="9">
        <v>4138357</v>
      </c>
      <c r="M25" s="9">
        <v>836988.717948718</v>
      </c>
      <c r="N25" s="9">
        <v>519768</v>
      </c>
      <c r="O25" s="9">
        <v>836822</v>
      </c>
      <c r="P25" s="9">
        <v>0</v>
      </c>
      <c r="Q25" s="9">
        <v>9330.4667922159442</v>
      </c>
      <c r="S25" s="9">
        <v>12805047.923076924</v>
      </c>
      <c r="T25" s="9">
        <v>41518</v>
      </c>
      <c r="U25" s="9">
        <v>4138357</v>
      </c>
      <c r="X25">
        <v>176621934.4411512</v>
      </c>
      <c r="Y25" s="11">
        <f t="shared" si="0"/>
        <v>0</v>
      </c>
    </row>
    <row r="26" spans="2:25" customFormat="1" x14ac:dyDescent="0.25">
      <c r="B26" s="6" t="s">
        <v>56</v>
      </c>
      <c r="C26" s="6" t="s">
        <v>55</v>
      </c>
      <c r="D26" s="6">
        <f t="shared" si="1"/>
        <v>20</v>
      </c>
      <c r="E26" s="9">
        <v>411134</v>
      </c>
      <c r="F26" s="9">
        <v>354802</v>
      </c>
      <c r="G26" s="9">
        <v>54210</v>
      </c>
      <c r="H26" s="9">
        <v>2077</v>
      </c>
      <c r="I26" s="9">
        <v>45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S26" s="9">
        <v>0</v>
      </c>
      <c r="T26" s="9">
        <v>0</v>
      </c>
      <c r="U26" s="9">
        <v>0</v>
      </c>
      <c r="X26">
        <v>411134</v>
      </c>
      <c r="Y26" s="11">
        <f t="shared" si="0"/>
        <v>0</v>
      </c>
    </row>
    <row r="27" spans="2:25" customFormat="1" x14ac:dyDescent="0.25">
      <c r="B27" s="6" t="s">
        <v>58</v>
      </c>
      <c r="C27" s="6" t="s">
        <v>57</v>
      </c>
      <c r="D27" s="6">
        <f t="shared" si="1"/>
        <v>21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S27" s="9">
        <v>0</v>
      </c>
      <c r="T27" s="9">
        <v>0</v>
      </c>
      <c r="U27" s="9">
        <v>0</v>
      </c>
      <c r="X27">
        <v>0</v>
      </c>
      <c r="Y27" s="11">
        <f t="shared" si="0"/>
        <v>0</v>
      </c>
    </row>
    <row r="28" spans="2:25" customFormat="1" x14ac:dyDescent="0.25">
      <c r="B28" s="6" t="s">
        <v>60</v>
      </c>
      <c r="C28" s="6" t="s">
        <v>59</v>
      </c>
      <c r="D28" s="6">
        <f t="shared" si="1"/>
        <v>22</v>
      </c>
      <c r="E28" s="9">
        <v>1997002382.391351</v>
      </c>
      <c r="F28" s="9">
        <v>1105896512.391351</v>
      </c>
      <c r="G28" s="9">
        <v>263390391</v>
      </c>
      <c r="H28" s="9">
        <v>270703257</v>
      </c>
      <c r="I28" s="9">
        <v>160280839</v>
      </c>
      <c r="J28" s="9">
        <v>113255219</v>
      </c>
      <c r="K28" s="9">
        <v>268014</v>
      </c>
      <c r="L28" s="9">
        <v>10687146</v>
      </c>
      <c r="M28" s="9">
        <v>5493550</v>
      </c>
      <c r="N28" s="9">
        <v>40128244</v>
      </c>
      <c r="O28" s="9">
        <v>10114356</v>
      </c>
      <c r="P28" s="9">
        <v>16457494</v>
      </c>
      <c r="Q28" s="9">
        <v>327360</v>
      </c>
      <c r="S28" s="9">
        <v>113255219</v>
      </c>
      <c r="T28" s="9">
        <v>268014</v>
      </c>
      <c r="U28" s="9">
        <v>10687146</v>
      </c>
      <c r="X28">
        <v>1997002382.391351</v>
      </c>
      <c r="Y28" s="11">
        <f t="shared" si="0"/>
        <v>0</v>
      </c>
    </row>
    <row r="29" spans="2:25" customFormat="1" x14ac:dyDescent="0.25">
      <c r="B29" s="10" t="s">
        <v>62</v>
      </c>
      <c r="C29" s="6" t="s">
        <v>61</v>
      </c>
      <c r="D29" s="6">
        <f t="shared" si="1"/>
        <v>23</v>
      </c>
      <c r="E29" s="9">
        <v>1981067116.391351</v>
      </c>
      <c r="F29" s="9">
        <v>1105896512.391351</v>
      </c>
      <c r="G29" s="9">
        <v>263390391</v>
      </c>
      <c r="H29" s="9">
        <v>270703257</v>
      </c>
      <c r="I29" s="9">
        <v>160280839</v>
      </c>
      <c r="J29" s="9">
        <v>113255219</v>
      </c>
      <c r="K29" s="9">
        <v>268014</v>
      </c>
      <c r="L29" s="9">
        <v>10687146</v>
      </c>
      <c r="M29" s="9">
        <v>0</v>
      </c>
      <c r="N29" s="9">
        <v>40128244</v>
      </c>
      <c r="O29" s="9">
        <v>0</v>
      </c>
      <c r="P29" s="9">
        <v>16457494</v>
      </c>
      <c r="Q29" s="9">
        <v>0</v>
      </c>
      <c r="S29" s="9">
        <v>113255219</v>
      </c>
      <c r="T29" s="9">
        <v>268014</v>
      </c>
      <c r="U29" s="9">
        <v>10687146</v>
      </c>
      <c r="X29">
        <v>1981067116.391351</v>
      </c>
      <c r="Y29" s="11">
        <f t="shared" si="0"/>
        <v>0</v>
      </c>
    </row>
    <row r="30" spans="2:25" customFormat="1" x14ac:dyDescent="0.25">
      <c r="B30" s="6" t="s">
        <v>64</v>
      </c>
      <c r="C30" s="6" t="s">
        <v>63</v>
      </c>
      <c r="D30" s="6">
        <f t="shared" si="1"/>
        <v>24</v>
      </c>
      <c r="E30" s="9">
        <v>1</v>
      </c>
      <c r="F30" s="9">
        <v>1</v>
      </c>
      <c r="G30" s="9">
        <v>0</v>
      </c>
      <c r="H30" s="9">
        <v>0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S30" s="9">
        <v>0</v>
      </c>
      <c r="T30" s="9">
        <v>0</v>
      </c>
      <c r="U30" s="9">
        <v>0</v>
      </c>
      <c r="X30">
        <v>1</v>
      </c>
      <c r="Y30" s="11">
        <f t="shared" si="0"/>
        <v>0</v>
      </c>
    </row>
    <row r="31" spans="2:25" customFormat="1" x14ac:dyDescent="0.25">
      <c r="B31" s="6" t="s">
        <v>66</v>
      </c>
      <c r="C31" s="6" t="s">
        <v>65</v>
      </c>
      <c r="D31" s="6">
        <f t="shared" si="1"/>
        <v>25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S31" s="9">
        <v>0</v>
      </c>
      <c r="T31" s="9">
        <v>0</v>
      </c>
      <c r="U31" s="9">
        <v>0</v>
      </c>
      <c r="X31">
        <v>0</v>
      </c>
      <c r="Y31" s="11">
        <f t="shared" si="0"/>
        <v>0</v>
      </c>
    </row>
    <row r="32" spans="2:25" customFormat="1" x14ac:dyDescent="0.25">
      <c r="B32" s="10" t="s">
        <v>68</v>
      </c>
      <c r="C32" s="6" t="s">
        <v>67</v>
      </c>
      <c r="D32" s="6">
        <f t="shared" si="1"/>
        <v>26</v>
      </c>
      <c r="E32" s="9"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S32" s="9">
        <v>0</v>
      </c>
      <c r="T32" s="9">
        <v>0</v>
      </c>
      <c r="U32" s="9">
        <v>0</v>
      </c>
      <c r="X32">
        <v>0</v>
      </c>
      <c r="Y32" s="11">
        <f t="shared" si="0"/>
        <v>0</v>
      </c>
    </row>
    <row r="33" spans="1:25" customFormat="1" x14ac:dyDescent="0.25">
      <c r="B33" s="10" t="s">
        <v>70</v>
      </c>
      <c r="C33" s="6" t="s">
        <v>69</v>
      </c>
      <c r="D33" s="6">
        <f t="shared" si="1"/>
        <v>27</v>
      </c>
      <c r="E33" s="9">
        <v>0</v>
      </c>
      <c r="F33" s="9">
        <v>0</v>
      </c>
      <c r="G33" s="9">
        <v>0</v>
      </c>
      <c r="H33" s="9"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S33" s="9">
        <v>0</v>
      </c>
      <c r="T33" s="9">
        <v>0</v>
      </c>
      <c r="U33" s="9">
        <v>0</v>
      </c>
      <c r="X33">
        <v>0</v>
      </c>
      <c r="Y33" s="11">
        <f t="shared" si="0"/>
        <v>0</v>
      </c>
    </row>
    <row r="34" spans="1:25" customFormat="1" x14ac:dyDescent="0.25">
      <c r="B34" s="10" t="s">
        <v>72</v>
      </c>
      <c r="C34" s="6" t="s">
        <v>71</v>
      </c>
      <c r="D34" s="6">
        <f t="shared" si="1"/>
        <v>28</v>
      </c>
      <c r="E34" s="9">
        <v>0</v>
      </c>
      <c r="F34" s="9">
        <v>0</v>
      </c>
      <c r="G34" s="9">
        <v>0</v>
      </c>
      <c r="H34" s="9">
        <v>0</v>
      </c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S34" s="9">
        <v>0</v>
      </c>
      <c r="T34" s="9">
        <v>0</v>
      </c>
      <c r="U34" s="9">
        <v>0</v>
      </c>
      <c r="X34">
        <v>0</v>
      </c>
      <c r="Y34" s="11">
        <f t="shared" si="0"/>
        <v>0</v>
      </c>
    </row>
    <row r="35" spans="1:25" customFormat="1" x14ac:dyDescent="0.25">
      <c r="A35" s="11"/>
      <c r="B35" s="10" t="s">
        <v>74</v>
      </c>
      <c r="C35" s="6" t="s">
        <v>73</v>
      </c>
      <c r="D35" s="6">
        <f t="shared" si="1"/>
        <v>29</v>
      </c>
      <c r="E35" s="9">
        <v>4182521.5409127185</v>
      </c>
      <c r="F35" s="9">
        <v>2236474.2253660602</v>
      </c>
      <c r="G35" s="9">
        <v>515625.82524854271</v>
      </c>
      <c r="H35" s="9">
        <v>551893.91878041346</v>
      </c>
      <c r="I35" s="9">
        <v>289974.91765494185</v>
      </c>
      <c r="J35" s="9">
        <v>204844.84270926949</v>
      </c>
      <c r="K35" s="9">
        <v>7.0004300675974864</v>
      </c>
      <c r="L35" s="9">
        <v>0</v>
      </c>
      <c r="M35" s="9">
        <v>52796.147183246518</v>
      </c>
      <c r="N35" s="9">
        <v>69577.130407689765</v>
      </c>
      <c r="O35" s="9">
        <v>251839.84707747737</v>
      </c>
      <c r="P35" s="9">
        <v>8059.2720272472116</v>
      </c>
      <c r="Q35" s="9">
        <v>1428.4140277629981</v>
      </c>
      <c r="S35" s="9">
        <v>204844.84270926949</v>
      </c>
      <c r="T35" s="9">
        <v>7.0004300675974864</v>
      </c>
      <c r="U35" s="9">
        <v>0</v>
      </c>
      <c r="X35">
        <v>4182521.5409127185</v>
      </c>
      <c r="Y35" s="11">
        <f t="shared" si="0"/>
        <v>0</v>
      </c>
    </row>
    <row r="36" spans="1:25" customFormat="1" x14ac:dyDescent="0.25">
      <c r="A36" s="11"/>
      <c r="B36" s="10" t="s">
        <v>76</v>
      </c>
      <c r="C36" s="6" t="s">
        <v>75</v>
      </c>
      <c r="D36" s="6">
        <f t="shared" si="1"/>
        <v>30</v>
      </c>
      <c r="E36" s="9">
        <v>3877885.5466519948</v>
      </c>
      <c r="F36" s="9">
        <v>2236474.2253660602</v>
      </c>
      <c r="G36" s="9">
        <v>515625.82524854271</v>
      </c>
      <c r="H36" s="9">
        <v>551893.91878041346</v>
      </c>
      <c r="I36" s="9">
        <v>289974.91765494185</v>
      </c>
      <c r="J36" s="9">
        <v>204844.84270926949</v>
      </c>
      <c r="K36" s="9">
        <v>7.0004300675974864</v>
      </c>
      <c r="L36" s="9">
        <v>0</v>
      </c>
      <c r="M36" s="9">
        <v>0</v>
      </c>
      <c r="N36" s="9">
        <v>69577.130407689765</v>
      </c>
      <c r="O36" s="9">
        <v>0</v>
      </c>
      <c r="P36" s="9">
        <v>8059.2720272472116</v>
      </c>
      <c r="Q36" s="9">
        <v>1428.4140277629981</v>
      </c>
      <c r="S36" s="9">
        <v>204844.84270926949</v>
      </c>
      <c r="T36" s="9">
        <v>7.0004300675974864</v>
      </c>
      <c r="U36" s="9">
        <v>0</v>
      </c>
      <c r="X36">
        <v>3877885.5466519948</v>
      </c>
      <c r="Y36" s="11">
        <f t="shared" si="0"/>
        <v>0</v>
      </c>
    </row>
    <row r="37" spans="1:25" customFormat="1" x14ac:dyDescent="0.25">
      <c r="B37" s="6" t="s">
        <v>78</v>
      </c>
      <c r="C37" s="6" t="s">
        <v>77</v>
      </c>
      <c r="D37" s="6">
        <f t="shared" si="1"/>
        <v>31</v>
      </c>
      <c r="E37" s="9">
        <v>-12148.752</v>
      </c>
      <c r="F37" s="9">
        <v>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-12148.752</v>
      </c>
      <c r="O37" s="9">
        <v>0</v>
      </c>
      <c r="P37" s="9">
        <v>0</v>
      </c>
      <c r="Q37" s="9">
        <v>0</v>
      </c>
      <c r="S37" s="9">
        <v>0</v>
      </c>
      <c r="T37" s="9">
        <v>0</v>
      </c>
      <c r="U37" s="9">
        <v>0</v>
      </c>
      <c r="X37">
        <v>-12148.752</v>
      </c>
      <c r="Y37" s="11">
        <f t="shared" si="0"/>
        <v>0</v>
      </c>
    </row>
    <row r="38" spans="1:25" customFormat="1" x14ac:dyDescent="0.25">
      <c r="B38" s="6" t="s">
        <v>80</v>
      </c>
      <c r="C38" s="6" t="s">
        <v>79</v>
      </c>
      <c r="D38" s="6">
        <f t="shared" si="1"/>
        <v>32</v>
      </c>
      <c r="E38" s="9">
        <v>-233909.65067088912</v>
      </c>
      <c r="F38" s="9">
        <v>0</v>
      </c>
      <c r="G38" s="9">
        <v>0</v>
      </c>
      <c r="H38" s="9">
        <v>0</v>
      </c>
      <c r="I38" s="9">
        <v>0</v>
      </c>
      <c r="J38" s="9">
        <v>-10967.308000000001</v>
      </c>
      <c r="K38" s="9">
        <v>0</v>
      </c>
      <c r="L38" s="9">
        <v>0</v>
      </c>
      <c r="M38" s="9">
        <v>-64314.799088089138</v>
      </c>
      <c r="N38" s="9">
        <v>-57917.228582800002</v>
      </c>
      <c r="O38" s="9">
        <v>-100710.315</v>
      </c>
      <c r="P38" s="9">
        <v>0</v>
      </c>
      <c r="Q38" s="9">
        <v>0</v>
      </c>
      <c r="S38" s="9">
        <v>-10967.308000000001</v>
      </c>
      <c r="T38" s="9">
        <v>0</v>
      </c>
      <c r="U38" s="9">
        <v>0</v>
      </c>
      <c r="X38">
        <v>-233909.65067088912</v>
      </c>
      <c r="Y38" s="11">
        <f t="shared" si="0"/>
        <v>0</v>
      </c>
    </row>
    <row r="39" spans="1:25" customFormat="1" x14ac:dyDescent="0.25">
      <c r="B39" s="6" t="s">
        <v>82</v>
      </c>
      <c r="C39" s="6" t="s">
        <v>81</v>
      </c>
      <c r="D39" s="6">
        <f t="shared" si="1"/>
        <v>33</v>
      </c>
      <c r="E39" s="9">
        <v>-11586662.121254718</v>
      </c>
      <c r="F39" s="9">
        <v>0</v>
      </c>
      <c r="G39" s="9">
        <v>0</v>
      </c>
      <c r="H39" s="9">
        <v>0</v>
      </c>
      <c r="I39" s="9">
        <v>0</v>
      </c>
      <c r="J39" s="9">
        <v>-698898.21200000006</v>
      </c>
      <c r="K39" s="9">
        <v>0</v>
      </c>
      <c r="L39" s="9">
        <v>0</v>
      </c>
      <c r="M39" s="9">
        <v>-3115650.3046919182</v>
      </c>
      <c r="N39" s="9">
        <v>-4407970.1745627997</v>
      </c>
      <c r="O39" s="9">
        <v>-3364143.4299999997</v>
      </c>
      <c r="P39" s="9">
        <v>0</v>
      </c>
      <c r="Q39" s="9">
        <v>0</v>
      </c>
      <c r="S39" s="9">
        <v>-698898.21200000006</v>
      </c>
      <c r="T39" s="9">
        <v>0</v>
      </c>
      <c r="U39" s="9">
        <v>0</v>
      </c>
      <c r="X39">
        <v>-11586662.121254718</v>
      </c>
      <c r="Y39" s="11">
        <f t="shared" si="0"/>
        <v>0</v>
      </c>
    </row>
    <row r="40" spans="1:25" customFormat="1" x14ac:dyDescent="0.25">
      <c r="B40" s="6" t="s">
        <v>84</v>
      </c>
      <c r="C40" s="6" t="s">
        <v>83</v>
      </c>
      <c r="D40" s="6">
        <f t="shared" si="1"/>
        <v>34</v>
      </c>
      <c r="E40" s="9">
        <v>-55883.055832029437</v>
      </c>
      <c r="F40" s="9">
        <v>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9">
        <v>-55883.055832029437</v>
      </c>
      <c r="N40" s="9">
        <v>0</v>
      </c>
      <c r="O40" s="9">
        <v>0</v>
      </c>
      <c r="P40" s="9">
        <v>0</v>
      </c>
      <c r="Q40" s="9">
        <v>0</v>
      </c>
      <c r="S40" s="9">
        <v>0</v>
      </c>
      <c r="T40" s="9">
        <v>0</v>
      </c>
      <c r="U40" s="9">
        <v>0</v>
      </c>
      <c r="X40">
        <v>-55883.055832029437</v>
      </c>
      <c r="Y40" s="11">
        <f t="shared" si="0"/>
        <v>0</v>
      </c>
    </row>
    <row r="41" spans="1:25" customFormat="1" x14ac:dyDescent="0.25">
      <c r="B41" s="6" t="s">
        <v>86</v>
      </c>
      <c r="C41" s="6" t="s">
        <v>85</v>
      </c>
      <c r="D41" s="6">
        <f t="shared" si="1"/>
        <v>35</v>
      </c>
      <c r="E41" s="9">
        <v>-16526870.952044467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-14546761.500330182</v>
      </c>
      <c r="N41" s="9">
        <v>-1954966.5945714284</v>
      </c>
      <c r="O41" s="9">
        <v>-25142.857142857145</v>
      </c>
      <c r="P41" s="9">
        <v>0</v>
      </c>
      <c r="Q41" s="9">
        <v>0</v>
      </c>
      <c r="S41" s="9">
        <v>0</v>
      </c>
      <c r="T41" s="9">
        <v>0</v>
      </c>
      <c r="U41" s="9">
        <v>0</v>
      </c>
      <c r="X41">
        <v>-16526870.952044467</v>
      </c>
      <c r="Y41" s="11">
        <f t="shared" si="0"/>
        <v>0</v>
      </c>
    </row>
    <row r="42" spans="1:25" customFormat="1" x14ac:dyDescent="0.25">
      <c r="B42" s="6" t="s">
        <v>88</v>
      </c>
      <c r="C42" s="6" t="s">
        <v>87</v>
      </c>
      <c r="D42" s="6">
        <f t="shared" si="1"/>
        <v>36</v>
      </c>
      <c r="E42" s="9">
        <v>6213906.5041000014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9">
        <v>6191234.1489000013</v>
      </c>
      <c r="N42" s="9">
        <v>22672.355200000002</v>
      </c>
      <c r="O42" s="9">
        <v>0</v>
      </c>
      <c r="P42" s="9">
        <v>0</v>
      </c>
      <c r="Q42" s="9">
        <v>0</v>
      </c>
      <c r="S42" s="9">
        <v>0</v>
      </c>
      <c r="T42" s="9">
        <v>0</v>
      </c>
      <c r="U42" s="9">
        <v>0</v>
      </c>
      <c r="X42">
        <v>6213906.5041000014</v>
      </c>
      <c r="Y42" s="11">
        <f t="shared" si="0"/>
        <v>0</v>
      </c>
    </row>
    <row r="43" spans="1:25" customFormat="1" x14ac:dyDescent="0.25">
      <c r="B43" s="6" t="s">
        <v>90</v>
      </c>
      <c r="C43" s="6" t="s">
        <v>89</v>
      </c>
      <c r="D43" s="6">
        <f t="shared" si="1"/>
        <v>37</v>
      </c>
      <c r="E43" s="9">
        <v>791581.29297679989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435671.86089999991</v>
      </c>
      <c r="N43" s="9">
        <v>162866.1520768</v>
      </c>
      <c r="O43" s="9">
        <v>193043.28</v>
      </c>
      <c r="P43" s="9">
        <v>0</v>
      </c>
      <c r="Q43" s="9">
        <v>0</v>
      </c>
      <c r="S43" s="9">
        <v>0</v>
      </c>
      <c r="T43" s="9">
        <v>0</v>
      </c>
      <c r="U43" s="9">
        <v>0</v>
      </c>
      <c r="X43">
        <v>791581.29297679989</v>
      </c>
      <c r="Y43" s="11">
        <f t="shared" si="0"/>
        <v>0</v>
      </c>
    </row>
    <row r="44" spans="1:25" customFormat="1" x14ac:dyDescent="0.25">
      <c r="B44" s="6" t="s">
        <v>92</v>
      </c>
      <c r="C44" s="6" t="s">
        <v>91</v>
      </c>
      <c r="D44" s="6">
        <f t="shared" si="1"/>
        <v>38</v>
      </c>
      <c r="E44" s="9">
        <v>39619338.9961548</v>
      </c>
      <c r="F44" s="9">
        <v>0</v>
      </c>
      <c r="G44" s="9">
        <v>0</v>
      </c>
      <c r="H44" s="9">
        <v>0</v>
      </c>
      <c r="I44" s="9">
        <v>0</v>
      </c>
      <c r="J44" s="9">
        <v>775891.62600000005</v>
      </c>
      <c r="K44" s="9">
        <v>0</v>
      </c>
      <c r="L44" s="9">
        <v>0</v>
      </c>
      <c r="M44" s="9">
        <v>17965597.132100001</v>
      </c>
      <c r="N44" s="9">
        <v>14591388.153054798</v>
      </c>
      <c r="O44" s="9">
        <v>6286462.084999999</v>
      </c>
      <c r="P44" s="9">
        <v>0</v>
      </c>
      <c r="Q44" s="9">
        <v>0</v>
      </c>
      <c r="S44" s="9">
        <v>775891.62600000005</v>
      </c>
      <c r="T44" s="9">
        <v>0</v>
      </c>
      <c r="U44" s="9">
        <v>0</v>
      </c>
      <c r="X44">
        <v>39619338.9961548</v>
      </c>
      <c r="Y44" s="11">
        <f t="shared" si="0"/>
        <v>0</v>
      </c>
    </row>
    <row r="45" spans="1:25" customFormat="1" x14ac:dyDescent="0.25">
      <c r="B45" s="6" t="s">
        <v>94</v>
      </c>
      <c r="C45" s="6" t="s">
        <v>93</v>
      </c>
      <c r="D45" s="6">
        <f t="shared" si="1"/>
        <v>39</v>
      </c>
      <c r="E45" s="9">
        <v>100737</v>
      </c>
      <c r="F45" s="9">
        <v>0</v>
      </c>
      <c r="G45" s="9">
        <v>0</v>
      </c>
      <c r="H45" s="9">
        <v>0</v>
      </c>
      <c r="I45" s="9">
        <v>0</v>
      </c>
      <c r="J45" s="9">
        <v>0</v>
      </c>
      <c r="K45" s="9">
        <v>0</v>
      </c>
      <c r="L45" s="9">
        <v>0</v>
      </c>
      <c r="M45" s="9">
        <v>100737</v>
      </c>
      <c r="N45" s="9">
        <v>0</v>
      </c>
      <c r="O45" s="9">
        <v>0</v>
      </c>
      <c r="P45" s="9">
        <v>0</v>
      </c>
      <c r="Q45" s="9">
        <v>0</v>
      </c>
      <c r="S45" s="9">
        <v>0</v>
      </c>
      <c r="T45" s="9">
        <v>0</v>
      </c>
      <c r="U45" s="9">
        <v>0</v>
      </c>
      <c r="X45">
        <v>100737</v>
      </c>
      <c r="Y45" s="11">
        <f t="shared" si="0"/>
        <v>0</v>
      </c>
    </row>
    <row r="46" spans="1:25" customFormat="1" x14ac:dyDescent="0.25">
      <c r="B46" s="6" t="s">
        <v>86</v>
      </c>
      <c r="C46" s="6" t="s">
        <v>95</v>
      </c>
      <c r="D46" s="6">
        <f t="shared" si="1"/>
        <v>40</v>
      </c>
      <c r="E46" s="9">
        <v>34115384.450200006</v>
      </c>
      <c r="F46" s="9">
        <v>0</v>
      </c>
      <c r="G46" s="9">
        <v>0</v>
      </c>
      <c r="H46" s="9">
        <v>0</v>
      </c>
      <c r="I46" s="9">
        <v>0</v>
      </c>
      <c r="J46" s="9">
        <v>0</v>
      </c>
      <c r="K46" s="9">
        <v>0</v>
      </c>
      <c r="L46" s="9">
        <v>0</v>
      </c>
      <c r="M46" s="9">
        <v>27419179.360200003</v>
      </c>
      <c r="N46" s="9">
        <v>6656205.0899999999</v>
      </c>
      <c r="O46" s="9">
        <v>40000</v>
      </c>
      <c r="P46" s="9">
        <v>0</v>
      </c>
      <c r="Q46" s="9">
        <v>0</v>
      </c>
      <c r="S46" s="9">
        <v>0</v>
      </c>
      <c r="T46" s="9">
        <v>0</v>
      </c>
      <c r="U46" s="9">
        <v>0</v>
      </c>
      <c r="X46">
        <v>34115384.450200006</v>
      </c>
      <c r="Y46" s="11">
        <f t="shared" si="0"/>
        <v>0</v>
      </c>
    </row>
    <row r="47" spans="1:25" customFormat="1" x14ac:dyDescent="0.25">
      <c r="B47" s="6" t="s">
        <v>97</v>
      </c>
      <c r="C47" s="6" t="s">
        <v>96</v>
      </c>
      <c r="D47" s="6">
        <f t="shared" si="1"/>
        <v>41</v>
      </c>
      <c r="E47" s="9">
        <v>2491343.4590000971</v>
      </c>
      <c r="F47" s="9">
        <v>0</v>
      </c>
      <c r="G47" s="9">
        <v>0</v>
      </c>
      <c r="H47" s="9">
        <v>0</v>
      </c>
      <c r="I47" s="9">
        <v>0</v>
      </c>
      <c r="J47" s="9">
        <v>824435.83999999985</v>
      </c>
      <c r="K47" s="9">
        <v>0</v>
      </c>
      <c r="L47" s="9">
        <v>47249.630000000005</v>
      </c>
      <c r="M47" s="9">
        <v>1600260.7990000974</v>
      </c>
      <c r="N47" s="9">
        <v>0</v>
      </c>
      <c r="O47" s="9">
        <v>0</v>
      </c>
      <c r="P47" s="9">
        <v>0</v>
      </c>
      <c r="Q47" s="9">
        <v>19397.189999999999</v>
      </c>
      <c r="S47" s="9">
        <v>824435.83999999985</v>
      </c>
      <c r="T47" s="9">
        <v>0</v>
      </c>
      <c r="U47" s="9">
        <v>47249.630000000005</v>
      </c>
      <c r="X47">
        <v>2491343.4590000971</v>
      </c>
      <c r="Y47" s="11">
        <f t="shared" si="0"/>
        <v>0</v>
      </c>
    </row>
    <row r="48" spans="1:25" customFormat="1" x14ac:dyDescent="0.25">
      <c r="B48" s="6" t="s">
        <v>99</v>
      </c>
      <c r="C48" s="6" t="s">
        <v>98</v>
      </c>
      <c r="D48" s="6">
        <f t="shared" si="1"/>
        <v>42</v>
      </c>
      <c r="E48" s="9">
        <v>29448193</v>
      </c>
      <c r="F48" s="9">
        <v>13365460</v>
      </c>
      <c r="G48" s="9">
        <v>4308704</v>
      </c>
      <c r="H48" s="9">
        <v>5605766</v>
      </c>
      <c r="I48" s="9">
        <v>3294555</v>
      </c>
      <c r="J48" s="9">
        <v>2713615</v>
      </c>
      <c r="K48" s="9">
        <v>594</v>
      </c>
      <c r="L48" s="9">
        <v>138726</v>
      </c>
      <c r="M48" s="9">
        <v>0</v>
      </c>
      <c r="N48" s="9">
        <v>0</v>
      </c>
      <c r="O48" s="9">
        <v>0</v>
      </c>
      <c r="P48" s="9">
        <v>18970</v>
      </c>
      <c r="Q48" s="9">
        <v>1803</v>
      </c>
      <c r="S48" s="9">
        <v>2713615</v>
      </c>
      <c r="T48" s="9">
        <v>594</v>
      </c>
      <c r="U48" s="9">
        <v>138726</v>
      </c>
      <c r="X48">
        <v>29448193</v>
      </c>
      <c r="Y48" s="11">
        <f t="shared" si="0"/>
        <v>0</v>
      </c>
    </row>
    <row r="49" spans="2:25" customFormat="1" x14ac:dyDescent="0.25">
      <c r="B49" s="6" t="s">
        <v>101</v>
      </c>
      <c r="C49" s="6" t="s">
        <v>100</v>
      </c>
      <c r="D49" s="6">
        <f t="shared" si="1"/>
        <v>43</v>
      </c>
      <c r="E49" s="9">
        <v>13839070</v>
      </c>
      <c r="F49" s="9">
        <v>7045092</v>
      </c>
      <c r="G49" s="9">
        <v>1939403</v>
      </c>
      <c r="H49" s="9">
        <v>2408698</v>
      </c>
      <c r="I49" s="9">
        <v>1400862</v>
      </c>
      <c r="J49" s="9">
        <v>919666</v>
      </c>
      <c r="K49" s="9">
        <v>2</v>
      </c>
      <c r="L49" s="9">
        <v>113067</v>
      </c>
      <c r="M49" s="9">
        <v>0</v>
      </c>
      <c r="N49" s="9">
        <v>0</v>
      </c>
      <c r="O49" s="9">
        <v>0</v>
      </c>
      <c r="P49" s="9">
        <v>10705</v>
      </c>
      <c r="Q49" s="9">
        <v>1575</v>
      </c>
      <c r="S49" s="9">
        <v>919666</v>
      </c>
      <c r="T49" s="9">
        <v>2</v>
      </c>
      <c r="U49" s="9">
        <v>113067</v>
      </c>
      <c r="X49">
        <v>13839070</v>
      </c>
      <c r="Y49" s="11">
        <f t="shared" si="0"/>
        <v>0</v>
      </c>
    </row>
    <row r="50" spans="2:25" customFormat="1" x14ac:dyDescent="0.25">
      <c r="B50" s="6" t="s">
        <v>103</v>
      </c>
      <c r="C50" s="6" t="s">
        <v>102</v>
      </c>
      <c r="D50" s="6">
        <f t="shared" si="1"/>
        <v>44</v>
      </c>
      <c r="E50" s="9">
        <v>800775443</v>
      </c>
      <c r="F50" s="9">
        <v>446989450</v>
      </c>
      <c r="G50" s="9">
        <v>108070405</v>
      </c>
      <c r="H50" s="9">
        <v>118746641</v>
      </c>
      <c r="I50" s="9">
        <v>63184099</v>
      </c>
      <c r="J50" s="9">
        <v>56251894</v>
      </c>
      <c r="K50" s="9">
        <v>206838</v>
      </c>
      <c r="L50" s="9">
        <v>6459907</v>
      </c>
      <c r="M50" s="9">
        <v>0</v>
      </c>
      <c r="N50" s="9">
        <v>0</v>
      </c>
      <c r="O50" s="9">
        <v>0</v>
      </c>
      <c r="P50" s="9">
        <v>646004</v>
      </c>
      <c r="Q50" s="9">
        <v>220205</v>
      </c>
      <c r="S50" s="9">
        <v>56251894</v>
      </c>
      <c r="T50" s="9">
        <v>206838</v>
      </c>
      <c r="U50" s="9">
        <v>6459907</v>
      </c>
      <c r="X50">
        <v>800775443</v>
      </c>
      <c r="Y50" s="11">
        <f t="shared" si="0"/>
        <v>0</v>
      </c>
    </row>
    <row r="51" spans="2:25" customFormat="1" x14ac:dyDescent="0.25">
      <c r="B51" s="6" t="s">
        <v>105</v>
      </c>
      <c r="C51" s="6" t="s">
        <v>104</v>
      </c>
      <c r="D51" s="6">
        <f t="shared" si="1"/>
        <v>45</v>
      </c>
      <c r="E51" s="9">
        <v>9955.9200000000019</v>
      </c>
      <c r="F51" s="9">
        <v>6861.75</v>
      </c>
      <c r="G51" s="9">
        <v>1253.76</v>
      </c>
      <c r="H51" s="9">
        <v>974.70999999999992</v>
      </c>
      <c r="I51" s="9">
        <v>385.58</v>
      </c>
      <c r="J51" s="9">
        <v>360.91999999999996</v>
      </c>
      <c r="K51" s="9">
        <v>9.0399999999999991</v>
      </c>
      <c r="L51" s="9">
        <v>97.26</v>
      </c>
      <c r="M51" s="9">
        <v>0</v>
      </c>
      <c r="N51" s="9">
        <v>0</v>
      </c>
      <c r="O51" s="9">
        <v>0</v>
      </c>
      <c r="P51" s="9">
        <v>6.03</v>
      </c>
      <c r="Q51" s="9">
        <v>6.87</v>
      </c>
      <c r="S51" s="9">
        <v>360.91999999999996</v>
      </c>
      <c r="T51" s="9">
        <v>9.0399999999999991</v>
      </c>
      <c r="U51" s="9">
        <v>97.26</v>
      </c>
      <c r="X51">
        <v>9955.9200000000019</v>
      </c>
      <c r="Y51" s="11">
        <f t="shared" si="0"/>
        <v>0</v>
      </c>
    </row>
    <row r="52" spans="2:25" customFormat="1" x14ac:dyDescent="0.25">
      <c r="B52" s="6" t="s">
        <v>58</v>
      </c>
      <c r="C52" s="6" t="s">
        <v>106</v>
      </c>
      <c r="D52" s="6">
        <f t="shared" si="1"/>
        <v>46</v>
      </c>
      <c r="E52" s="9">
        <v>448977328.08714169</v>
      </c>
      <c r="F52" s="9">
        <v>335230378.93095666</v>
      </c>
      <c r="G52" s="9">
        <v>54903889.644672841</v>
      </c>
      <c r="H52" s="9">
        <v>8026637.6501805745</v>
      </c>
      <c r="I52" s="9">
        <v>90511.45794799368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50725910.403383665</v>
      </c>
      <c r="Q52" s="9">
        <v>0</v>
      </c>
      <c r="S52" s="9">
        <v>0</v>
      </c>
      <c r="T52" s="9">
        <v>0</v>
      </c>
      <c r="U52" s="9">
        <v>0</v>
      </c>
      <c r="X52">
        <v>448977328.08714169</v>
      </c>
      <c r="Y52" s="11">
        <f t="shared" si="0"/>
        <v>0</v>
      </c>
    </row>
    <row r="53" spans="2:25" customFormat="1" x14ac:dyDescent="0.25">
      <c r="B53" s="6" t="s">
        <v>108</v>
      </c>
      <c r="C53" s="6" t="s">
        <v>107</v>
      </c>
      <c r="D53" s="6">
        <f t="shared" si="1"/>
        <v>47</v>
      </c>
      <c r="E53" s="9">
        <v>10083.44</v>
      </c>
      <c r="F53" s="9">
        <v>6786.1</v>
      </c>
      <c r="G53" s="9">
        <v>1209.2</v>
      </c>
      <c r="H53" s="9">
        <v>1128.4000000000001</v>
      </c>
      <c r="I53" s="9">
        <v>489.92</v>
      </c>
      <c r="J53" s="9">
        <v>349.45000000000005</v>
      </c>
      <c r="K53" s="9">
        <v>4.1500000000000004</v>
      </c>
      <c r="L53" s="9">
        <v>108.81</v>
      </c>
      <c r="M53" s="9">
        <v>0</v>
      </c>
      <c r="N53" s="9">
        <v>0</v>
      </c>
      <c r="O53" s="9">
        <v>0</v>
      </c>
      <c r="P53" s="9">
        <v>4.6500000000000004</v>
      </c>
      <c r="Q53" s="9">
        <v>2.76</v>
      </c>
      <c r="S53" s="9">
        <v>349.45000000000005</v>
      </c>
      <c r="T53" s="9">
        <v>4.1500000000000004</v>
      </c>
      <c r="U53" s="9">
        <v>108.81</v>
      </c>
      <c r="X53">
        <v>10083.44</v>
      </c>
      <c r="Y53" s="11">
        <f t="shared" si="0"/>
        <v>0</v>
      </c>
    </row>
    <row r="54" spans="2:25" customFormat="1" x14ac:dyDescent="0.25">
      <c r="B54" s="6" t="s">
        <v>66</v>
      </c>
      <c r="C54" s="6" t="s">
        <v>109</v>
      </c>
      <c r="D54" s="6">
        <f t="shared" si="1"/>
        <v>48</v>
      </c>
      <c r="E54" s="9">
        <v>784299006.1578418</v>
      </c>
      <c r="F54" s="9">
        <v>626558865.95306206</v>
      </c>
      <c r="G54" s="9">
        <v>96862722.538200423</v>
      </c>
      <c r="H54" s="9">
        <v>46166618.677157082</v>
      </c>
      <c r="I54" s="9">
        <v>12756837.249422293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1953961.7399999977</v>
      </c>
      <c r="Q54" s="9">
        <v>0</v>
      </c>
      <c r="S54" s="9">
        <v>0</v>
      </c>
      <c r="T54" s="9">
        <v>0</v>
      </c>
      <c r="U54" s="9">
        <v>0</v>
      </c>
      <c r="X54">
        <v>784299006.1578418</v>
      </c>
      <c r="Y54" s="11">
        <f t="shared" si="0"/>
        <v>0</v>
      </c>
    </row>
    <row r="55" spans="2:25" customFormat="1" x14ac:dyDescent="0.25">
      <c r="B55" s="6" t="s">
        <v>111</v>
      </c>
      <c r="C55" s="6" t="s">
        <v>110</v>
      </c>
      <c r="D55" s="6">
        <f t="shared" si="1"/>
        <v>49</v>
      </c>
      <c r="E55" s="9">
        <v>4428880.83</v>
      </c>
      <c r="F55" s="9">
        <v>0</v>
      </c>
      <c r="G55" s="9">
        <v>0</v>
      </c>
      <c r="H55" s="9">
        <v>0</v>
      </c>
      <c r="I55" s="9">
        <v>0</v>
      </c>
      <c r="J55" s="9">
        <v>449278.71999999997</v>
      </c>
      <c r="K55" s="9">
        <v>0</v>
      </c>
      <c r="L55" s="9">
        <v>12396.600000000002</v>
      </c>
      <c r="M55" s="9">
        <v>77907.570000000007</v>
      </c>
      <c r="N55" s="9">
        <v>2871711.62</v>
      </c>
      <c r="O55" s="9">
        <v>1014163.3200000001</v>
      </c>
      <c r="P55" s="9">
        <v>0</v>
      </c>
      <c r="Q55" s="9">
        <v>3423.0000000000005</v>
      </c>
      <c r="S55" s="9">
        <v>449278.71999999997</v>
      </c>
      <c r="T55" s="9">
        <v>0</v>
      </c>
      <c r="U55" s="9">
        <v>12396.600000000002</v>
      </c>
      <c r="X55">
        <v>4428880.83</v>
      </c>
      <c r="Y55" s="11">
        <f t="shared" si="0"/>
        <v>0</v>
      </c>
    </row>
    <row r="56" spans="2:25" customFormat="1" x14ac:dyDescent="0.25">
      <c r="B56" s="6" t="s">
        <v>113</v>
      </c>
      <c r="C56" s="6" t="s">
        <v>112</v>
      </c>
      <c r="D56" s="6">
        <f t="shared" si="1"/>
        <v>50</v>
      </c>
      <c r="E56" s="9">
        <v>10961926.885423223</v>
      </c>
      <c r="F56" s="9">
        <v>10494946.737496169</v>
      </c>
      <c r="G56" s="9">
        <v>250681.08714269023</v>
      </c>
      <c r="H56" s="9">
        <v>162546.49350117234</v>
      </c>
      <c r="I56" s="9">
        <v>16784.689999999999</v>
      </c>
      <c r="J56" s="9">
        <v>30627.212307692309</v>
      </c>
      <c r="K56" s="9">
        <v>4443.66</v>
      </c>
      <c r="L56" s="9">
        <v>0</v>
      </c>
      <c r="M56" s="9">
        <v>0</v>
      </c>
      <c r="N56" s="9">
        <v>0</v>
      </c>
      <c r="O56" s="9">
        <v>0</v>
      </c>
      <c r="P56" s="9">
        <v>1897.0049755</v>
      </c>
      <c r="Q56" s="9">
        <v>0</v>
      </c>
      <c r="S56" s="9">
        <v>30627.212307692309</v>
      </c>
      <c r="T56" s="9">
        <v>4443.66</v>
      </c>
      <c r="U56" s="9">
        <v>0</v>
      </c>
      <c r="X56">
        <v>10961926.885423223</v>
      </c>
      <c r="Y56" s="11">
        <f t="shared" si="0"/>
        <v>0</v>
      </c>
    </row>
    <row r="57" spans="2:25" customFormat="1" x14ac:dyDescent="0.25">
      <c r="B57" s="6" t="s">
        <v>115</v>
      </c>
      <c r="C57" s="6" t="s">
        <v>114</v>
      </c>
      <c r="D57" s="6">
        <f t="shared" si="1"/>
        <v>51</v>
      </c>
      <c r="E57" s="9">
        <v>24444937399.34943</v>
      </c>
      <c r="F57" s="9">
        <v>11476152247.161776</v>
      </c>
      <c r="G57" s="9">
        <v>2915955626.4103169</v>
      </c>
      <c r="H57" s="9">
        <v>3242765959.9604325</v>
      </c>
      <c r="I57" s="9">
        <v>2092770306.5275679</v>
      </c>
      <c r="J57" s="9">
        <v>1456029850.0547175</v>
      </c>
      <c r="K57" s="9">
        <v>4597572.0317007378</v>
      </c>
      <c r="L57" s="9">
        <v>126890757.18193617</v>
      </c>
      <c r="M57" s="9">
        <v>350081232.79927498</v>
      </c>
      <c r="N57" s="9">
        <v>630228919.26662493</v>
      </c>
      <c r="O57" s="9">
        <v>2066150549.7926297</v>
      </c>
      <c r="P57" s="9">
        <v>75887375.026475519</v>
      </c>
      <c r="Q57" s="9">
        <v>7427003.1359829875</v>
      </c>
      <c r="S57" s="9">
        <v>1456029850.0547175</v>
      </c>
      <c r="T57" s="9">
        <v>4597572.0317007378</v>
      </c>
      <c r="U57" s="9">
        <v>126890757.18193617</v>
      </c>
      <c r="X57">
        <v>24444937399.34943</v>
      </c>
      <c r="Y57" s="11">
        <f t="shared" si="0"/>
        <v>0</v>
      </c>
    </row>
    <row r="58" spans="2:25" customFormat="1" x14ac:dyDescent="0.25">
      <c r="B58" s="6" t="s">
        <v>117</v>
      </c>
      <c r="C58" s="6" t="s">
        <v>116</v>
      </c>
      <c r="D58" s="6">
        <f t="shared" si="1"/>
        <v>52</v>
      </c>
      <c r="E58" s="9">
        <v>22028705616.757526</v>
      </c>
      <c r="F58" s="9">
        <v>11476152247.161776</v>
      </c>
      <c r="G58" s="9">
        <v>2915955626.4103169</v>
      </c>
      <c r="H58" s="9">
        <v>3242765959.9604325</v>
      </c>
      <c r="I58" s="9">
        <v>2092770306.5275679</v>
      </c>
      <c r="J58" s="9">
        <v>1456029850.0547175</v>
      </c>
      <c r="K58" s="9">
        <v>4597572.0317007378</v>
      </c>
      <c r="L58" s="9">
        <v>126890757.18193617</v>
      </c>
      <c r="M58" s="9">
        <v>0</v>
      </c>
      <c r="N58" s="9">
        <v>630228919.26662493</v>
      </c>
      <c r="O58" s="9">
        <v>0</v>
      </c>
      <c r="P58" s="9">
        <v>75887375.026475519</v>
      </c>
      <c r="Q58" s="9">
        <v>7427003.1359829875</v>
      </c>
      <c r="S58" s="9">
        <v>1456029850.0547175</v>
      </c>
      <c r="T58" s="9">
        <v>4597572.0317007378</v>
      </c>
      <c r="U58" s="9">
        <v>126890757.18193617</v>
      </c>
      <c r="X58">
        <v>22028705616.757526</v>
      </c>
      <c r="Y58" s="11">
        <f t="shared" si="0"/>
        <v>0</v>
      </c>
    </row>
    <row r="59" spans="2:25" customFormat="1" x14ac:dyDescent="0.25">
      <c r="B59" s="8"/>
      <c r="C59" s="7" t="s">
        <v>18</v>
      </c>
      <c r="D59" s="6">
        <f t="shared" si="1"/>
        <v>53</v>
      </c>
    </row>
    <row r="60" spans="2:25" x14ac:dyDescent="0.25">
      <c r="B60" s="6" t="s">
        <v>122</v>
      </c>
      <c r="C60" s="6" t="s">
        <v>121</v>
      </c>
      <c r="D60" s="6">
        <f t="shared" si="1"/>
        <v>54</v>
      </c>
      <c r="E60" s="14">
        <f>SUM(F60:Q60)</f>
        <v>51487999.999999993</v>
      </c>
      <c r="F60" s="40">
        <f>SUM('Rate Base'!G39:G40)</f>
        <v>21372455.737104561</v>
      </c>
      <c r="G60" s="40">
        <f>SUM('Rate Base'!H39:H40)</f>
        <v>6889967.5375397019</v>
      </c>
      <c r="H60" s="40">
        <f>SUM('Rate Base'!I39:I40)</f>
        <v>8964074.9893805142</v>
      </c>
      <c r="I60" s="40">
        <f>SUM('Rate Base'!J39:J40)</f>
        <v>5268260.9435781874</v>
      </c>
      <c r="J60" s="40">
        <f>SUM('Rate Base'!K39:K40)</f>
        <v>4339290.7146512726</v>
      </c>
      <c r="K60" s="40">
        <f>SUM('Rate Base'!L39:L40)</f>
        <v>949.85422932245592</v>
      </c>
      <c r="L60" s="40">
        <f>SUM('Rate Base'!M39:M40)</f>
        <v>221834.13773903536</v>
      </c>
      <c r="M60" s="40">
        <f>SUM('Rate Base'!N39:N40)</f>
        <v>4381901.8082543351</v>
      </c>
      <c r="N60" s="40">
        <f>SUM('Rate Base'!O39:O40)</f>
        <v>16046.563877077044</v>
      </c>
      <c r="O60" s="40">
        <f>SUM('Rate Base'!P39:P40)</f>
        <v>0</v>
      </c>
      <c r="P60" s="40">
        <f>SUM('Rate Base'!Q39:Q40)</f>
        <v>30334.570252941056</v>
      </c>
      <c r="Q60" s="40">
        <f>SUM('Rate Base'!R39:R40)</f>
        <v>2883.1433930444241</v>
      </c>
      <c r="X60" s="14">
        <v>51488000</v>
      </c>
      <c r="Y60" s="87">
        <f>E60-SUM(F60:Q60)</f>
        <v>0</v>
      </c>
    </row>
    <row r="61" spans="2:25" x14ac:dyDescent="0.25">
      <c r="B61" s="6" t="s">
        <v>122</v>
      </c>
      <c r="C61" s="6" t="s">
        <v>123</v>
      </c>
      <c r="D61" s="6">
        <f t="shared" si="1"/>
        <v>55</v>
      </c>
      <c r="E61" s="14">
        <f t="shared" ref="E61:E92" si="2">SUM(F61:Q61)</f>
        <v>8103000.0000000009</v>
      </c>
      <c r="F61" s="40">
        <f>SUM('Rate Base'!G41:G42)</f>
        <v>3792899.44249753</v>
      </c>
      <c r="G61" s="40">
        <f>SUM('Rate Base'!H41:H42)</f>
        <v>1044125.5497413003</v>
      </c>
      <c r="H61" s="40">
        <f>SUM('Rate Base'!I41:I42)</f>
        <v>1296782.1146047371</v>
      </c>
      <c r="I61" s="40">
        <f>SUM('Rate Base'!J41:J42)</f>
        <v>754188.6889221567</v>
      </c>
      <c r="J61" s="40">
        <f>SUM('Rate Base'!K41:K42)</f>
        <v>495124.92649974383</v>
      </c>
      <c r="K61" s="40">
        <f>SUM('Rate Base'!L41:L42)</f>
        <v>1.0767494427319133</v>
      </c>
      <c r="L61" s="40">
        <f>SUM('Rate Base'!M41:M42)</f>
        <v>60872.41462068462</v>
      </c>
      <c r="M61" s="40">
        <f>SUM('Rate Base'!N41:N42)</f>
        <v>359066.02125357295</v>
      </c>
      <c r="N61" s="40">
        <f>SUM('Rate Base'!O41:O42)</f>
        <v>134228.77736994543</v>
      </c>
      <c r="O61" s="40">
        <f>SUM('Rate Base'!P41:P42)</f>
        <v>159099.74616251249</v>
      </c>
      <c r="P61" s="40">
        <f>SUM('Rate Base'!Q41:Q42)</f>
        <v>5763.3013922225664</v>
      </c>
      <c r="Q61" s="40">
        <f>SUM('Rate Base'!R41:R42)</f>
        <v>847.94018615138168</v>
      </c>
      <c r="X61" s="14">
        <v>8103000</v>
      </c>
      <c r="Y61" s="87">
        <f t="shared" ref="Y61:Y92" si="3">E61-SUM(F61:Q61)</f>
        <v>0</v>
      </c>
    </row>
    <row r="62" spans="2:25" x14ac:dyDescent="0.25">
      <c r="B62" s="6" t="s">
        <v>125</v>
      </c>
      <c r="C62" s="6" t="s">
        <v>124</v>
      </c>
      <c r="D62" s="6">
        <f t="shared" si="1"/>
        <v>56</v>
      </c>
      <c r="E62" s="14">
        <f t="shared" si="2"/>
        <v>471185999.99999994</v>
      </c>
      <c r="F62" s="40">
        <f>SUM('Rate Base'!G43:G44)</f>
        <v>244351600.54763758</v>
      </c>
      <c r="G62" s="40">
        <f>SUM('Rate Base'!H43:H44)</f>
        <v>59077851.688851751</v>
      </c>
      <c r="H62" s="40">
        <f>SUM('Rate Base'!I43:I44)</f>
        <v>64914131.167985559</v>
      </c>
      <c r="I62" s="40">
        <f>SUM('Rate Base'!J43:J44)</f>
        <v>34540268.724038981</v>
      </c>
      <c r="J62" s="40">
        <f>SUM('Rate Base'!K43:K44)</f>
        <v>31405453.884710141</v>
      </c>
      <c r="K62" s="40">
        <f>SUM('Rate Base'!L43:L44)</f>
        <v>113070.2220244175</v>
      </c>
      <c r="L62" s="40">
        <f>SUM('Rate Base'!M43:M44)</f>
        <v>3531377.7871913705</v>
      </c>
      <c r="M62" s="40">
        <f>SUM('Rate Base'!N43:N44)</f>
        <v>15160583.846818591</v>
      </c>
      <c r="N62" s="40">
        <f>SUM('Rate Base'!O43:O44)</f>
        <v>12313198.493169427</v>
      </c>
      <c r="O62" s="40">
        <f>SUM('Rate Base'!P43:P44)</f>
        <v>5304941.1516191633</v>
      </c>
      <c r="P62" s="40">
        <f>SUM('Rate Base'!Q43:Q44)</f>
        <v>353145.04930748604</v>
      </c>
      <c r="Q62" s="40">
        <f>SUM('Rate Base'!R43:R44)</f>
        <v>120377.43664552382</v>
      </c>
      <c r="X62" s="14">
        <v>471186000</v>
      </c>
      <c r="Y62" s="87">
        <f t="shared" si="3"/>
        <v>0</v>
      </c>
    </row>
    <row r="63" spans="2:25" x14ac:dyDescent="0.25">
      <c r="B63" s="6" t="s">
        <v>127</v>
      </c>
      <c r="C63" s="6" t="s">
        <v>126</v>
      </c>
      <c r="D63" s="6">
        <f t="shared" si="1"/>
        <v>57</v>
      </c>
      <c r="E63" s="14">
        <f t="shared" si="2"/>
        <v>844422820.13768768</v>
      </c>
      <c r="F63" s="40">
        <f>'Rate Base'!G47+'Rate Base'!G48+'Rate Base'!G46</f>
        <v>581937748.76052105</v>
      </c>
      <c r="G63" s="40">
        <f>'Rate Base'!H47+'Rate Base'!H48+'Rate Base'!H46</f>
        <v>106330057.47600698</v>
      </c>
      <c r="H63" s="40">
        <f>'Rate Base'!I47+'Rate Base'!I48+'Rate Base'!I46</f>
        <v>82664122.577238679</v>
      </c>
      <c r="I63" s="40">
        <f>'Rate Base'!J47+'Rate Base'!J48+'Rate Base'!J46</f>
        <v>32700631.350177687</v>
      </c>
      <c r="J63" s="40">
        <f>'Rate Base'!K47+'Rate Base'!K48+'Rate Base'!K46</f>
        <v>30609242.872830883</v>
      </c>
      <c r="K63" s="40">
        <f>'Rate Base'!L47+'Rate Base'!L48+'Rate Base'!L46</f>
        <v>766672.82381245471</v>
      </c>
      <c r="L63" s="40">
        <f>'Rate Base'!M47+'Rate Base'!M48+'Rate Base'!M46</f>
        <v>8248517.5712388661</v>
      </c>
      <c r="M63" s="40">
        <f>'Rate Base'!N47+'Rate Base'!N48+'Rate Base'!N46</f>
        <v>71791.370995891833</v>
      </c>
      <c r="N63" s="40">
        <f>'Rate Base'!O47+'Rate Base'!O48+'Rate Base'!O46</f>
        <v>0</v>
      </c>
      <c r="O63" s="40">
        <f>'Rate Base'!P47+'Rate Base'!P48+'Rate Base'!P46</f>
        <v>0</v>
      </c>
      <c r="P63" s="40">
        <f>'Rate Base'!Q47+'Rate Base'!Q48+'Rate Base'!Q46</f>
        <v>511397.91234392719</v>
      </c>
      <c r="Q63" s="40">
        <f>'Rate Base'!R47+'Rate Base'!R48+'Rate Base'!R46</f>
        <v>582637.42252119072</v>
      </c>
      <c r="X63" s="14">
        <v>844422820.1376878</v>
      </c>
      <c r="Y63" s="87">
        <f t="shared" si="3"/>
        <v>0</v>
      </c>
    </row>
    <row r="64" spans="2:25" x14ac:dyDescent="0.25">
      <c r="B64" s="6" t="s">
        <v>129</v>
      </c>
      <c r="C64" s="6" t="s">
        <v>128</v>
      </c>
      <c r="D64" s="6">
        <f t="shared" si="1"/>
        <v>58</v>
      </c>
      <c r="E64" s="14">
        <f t="shared" si="2"/>
        <v>1733346677.389461</v>
      </c>
      <c r="F64" s="40">
        <f>SUM('Rate Base'!G49:G51)</f>
        <v>1147188674.5933521</v>
      </c>
      <c r="G64" s="40">
        <f>SUM('Rate Base'!H49:H51)</f>
        <v>204414987.3002581</v>
      </c>
      <c r="H64" s="40">
        <f>SUM('Rate Base'!I49:I51)</f>
        <v>190755765.52233809</v>
      </c>
      <c r="I64" s="40">
        <f>SUM('Rate Base'!J49:J51)</f>
        <v>82820865.512853488</v>
      </c>
      <c r="J64" s="40">
        <f>SUM('Rate Base'!K49:K51)</f>
        <v>59074443.691759177</v>
      </c>
      <c r="K64" s="40">
        <f>SUM('Rate Base'!L49:L51)</f>
        <v>701556.56408871245</v>
      </c>
      <c r="L64" s="40">
        <f>SUM('Rate Base'!M49:M51)</f>
        <v>18394305.9610826</v>
      </c>
      <c r="M64" s="40">
        <f>SUM('Rate Base'!N49:N51)</f>
        <v>23101629.51589638</v>
      </c>
      <c r="N64" s="40">
        <f>SUM('Rate Base'!O49:O51)</f>
        <v>5608088.4825534066</v>
      </c>
      <c r="O64" s="40">
        <f>SUM('Rate Base'!P49:P51)</f>
        <v>33701.416388018217</v>
      </c>
      <c r="P64" s="40">
        <f>SUM('Rate Base'!Q49:Q51)</f>
        <v>786081.45132831635</v>
      </c>
      <c r="Q64" s="40">
        <f>SUM('Rate Base'!R49:R51)</f>
        <v>466577.37756261346</v>
      </c>
      <c r="X64" s="14">
        <v>1733346677.389461</v>
      </c>
      <c r="Y64" s="87">
        <f t="shared" si="3"/>
        <v>0</v>
      </c>
    </row>
    <row r="65" spans="2:25" x14ac:dyDescent="0.25">
      <c r="B65" s="6" t="s">
        <v>131</v>
      </c>
      <c r="C65" s="6" t="s">
        <v>130</v>
      </c>
      <c r="D65" s="6">
        <f t="shared" si="1"/>
        <v>59</v>
      </c>
      <c r="E65" s="14">
        <f t="shared" si="2"/>
        <v>499533456.54961985</v>
      </c>
      <c r="F65" s="40">
        <f>SUM('Rate Base'!G52:G54)</f>
        <v>383945888.86365861</v>
      </c>
      <c r="G65" s="40">
        <f>SUM('Rate Base'!H52:H54)</f>
        <v>60546586.126946419</v>
      </c>
      <c r="H65" s="40">
        <f>SUM('Rate Base'!I52:I54)</f>
        <v>21842883.45091062</v>
      </c>
      <c r="I65" s="40">
        <f>SUM('Rate Base'!J52:J54)</f>
        <v>5213056.3602464003</v>
      </c>
      <c r="J65" s="40">
        <f>SUM('Rate Base'!K52:K54)</f>
        <v>2507661.8666352136</v>
      </c>
      <c r="K65" s="40">
        <f>SUM('Rate Base'!L52:L54)</f>
        <v>0</v>
      </c>
      <c r="L65" s="40">
        <f>SUM('Rate Base'!M52:M54)</f>
        <v>143717.78811025881</v>
      </c>
      <c r="M65" s="40">
        <f>SUM('Rate Base'!N52:N54)</f>
        <v>4867465.4686576258</v>
      </c>
      <c r="N65" s="40">
        <f>SUM('Rate Base'!O52:O54)</f>
        <v>0</v>
      </c>
      <c r="O65" s="40">
        <f>SUM('Rate Base'!P52:P54)</f>
        <v>0</v>
      </c>
      <c r="P65" s="40">
        <f>SUM('Rate Base'!Q52:Q54)</f>
        <v>20407196.77107273</v>
      </c>
      <c r="Q65" s="40">
        <f>SUM('Rate Base'!R52:R54)</f>
        <v>58999.853382014429</v>
      </c>
      <c r="X65" s="14">
        <v>499533456.54961985</v>
      </c>
      <c r="Y65" s="87">
        <f t="shared" si="3"/>
        <v>0</v>
      </c>
    </row>
    <row r="66" spans="2:25" x14ac:dyDescent="0.25">
      <c r="B66" s="6" t="s">
        <v>133</v>
      </c>
      <c r="C66" s="6" t="s">
        <v>132</v>
      </c>
      <c r="D66" s="6">
        <f t="shared" si="1"/>
        <v>60</v>
      </c>
      <c r="E66" s="14">
        <f t="shared" si="2"/>
        <v>189031794.26238751</v>
      </c>
      <c r="F66" s="40">
        <f>SUM('Rate Base'!G55:G56)</f>
        <v>183429207.03493428</v>
      </c>
      <c r="G66" s="40">
        <f>SUM('Rate Base'!H55:H56)</f>
        <v>5391540.3962266576</v>
      </c>
      <c r="H66" s="40">
        <f>SUM('Rate Base'!I55:I56)</f>
        <v>206571.28579529174</v>
      </c>
      <c r="I66" s="40">
        <f>SUM('Rate Base'!J55:J56)</f>
        <v>4475.5454312894217</v>
      </c>
      <c r="J66" s="40">
        <f>SUM('Rate Base'!K55:K56)</f>
        <v>0</v>
      </c>
      <c r="K66" s="40">
        <f>SUM('Rate Base'!L55:L56)</f>
        <v>0</v>
      </c>
      <c r="L66" s="40">
        <f>SUM('Rate Base'!M55:M56)</f>
        <v>0</v>
      </c>
      <c r="M66" s="40">
        <f>SUM('Rate Base'!N55:N56)</f>
        <v>0</v>
      </c>
      <c r="N66" s="40">
        <f>SUM('Rate Base'!O55:O56)</f>
        <v>0</v>
      </c>
      <c r="O66" s="40">
        <f>SUM('Rate Base'!P55:P56)</f>
        <v>0</v>
      </c>
      <c r="P66" s="40">
        <f>SUM('Rate Base'!Q55:Q56)</f>
        <v>0</v>
      </c>
      <c r="Q66" s="40">
        <f>SUM('Rate Base'!R55:R56)</f>
        <v>0</v>
      </c>
      <c r="X66" s="14">
        <v>189031794.26238751</v>
      </c>
      <c r="Y66" s="87">
        <f t="shared" si="3"/>
        <v>0</v>
      </c>
    </row>
    <row r="67" spans="2:25" x14ac:dyDescent="0.25">
      <c r="B67" s="6" t="s">
        <v>135</v>
      </c>
      <c r="C67" s="6" t="s">
        <v>134</v>
      </c>
      <c r="D67" s="6">
        <f t="shared" si="1"/>
        <v>61</v>
      </c>
      <c r="E67" s="14">
        <f t="shared" si="2"/>
        <v>206004867.61000001</v>
      </c>
      <c r="F67" s="40">
        <f>'Rate Base'!G57</f>
        <v>133743709.16973646</v>
      </c>
      <c r="G67" s="40">
        <f>'Rate Base'!H57</f>
        <v>37539912.318899311</v>
      </c>
      <c r="H67" s="40">
        <f>'Rate Base'!I57</f>
        <v>11094399.206289688</v>
      </c>
      <c r="I67" s="40">
        <f>'Rate Base'!J57</f>
        <v>1246915.3080466578</v>
      </c>
      <c r="J67" s="40">
        <f>'Rate Base'!K57</f>
        <v>14935303.536787456</v>
      </c>
      <c r="K67" s="40">
        <f>'Rate Base'!L57</f>
        <v>48424.959903730029</v>
      </c>
      <c r="L67" s="40">
        <f>'Rate Base'!M57</f>
        <v>4826816.6046611229</v>
      </c>
      <c r="M67" s="40">
        <f>'Rate Base'!N57</f>
        <v>976230.67360039195</v>
      </c>
      <c r="N67" s="40">
        <f>'Rate Base'!O57</f>
        <v>606236.92276222247</v>
      </c>
      <c r="O67" s="40">
        <f>'Rate Base'!P57</f>
        <v>976036.22035163466</v>
      </c>
      <c r="P67" s="40">
        <f>'Rate Base'!Q57</f>
        <v>0</v>
      </c>
      <c r="Q67" s="40">
        <f>'Rate Base'!R57</f>
        <v>10882.688961321393</v>
      </c>
      <c r="X67" s="14">
        <v>206004867.61000001</v>
      </c>
      <c r="Y67" s="87">
        <f t="shared" si="3"/>
        <v>0</v>
      </c>
    </row>
    <row r="68" spans="2:25" x14ac:dyDescent="0.25">
      <c r="B68" s="6" t="s">
        <v>137</v>
      </c>
      <c r="C68" s="6" t="s">
        <v>136</v>
      </c>
      <c r="D68" s="6">
        <f t="shared" si="1"/>
        <v>62</v>
      </c>
      <c r="E68" s="14">
        <f t="shared" si="2"/>
        <v>275723939.88874024</v>
      </c>
      <c r="F68" s="40">
        <f>Expenses!G37+Expenses!G52+Expenses!G65+Expenses!G73+Expenses!G84+Expenses!G110-Expenses!G77</f>
        <v>175822965.6259962</v>
      </c>
      <c r="G68" s="40">
        <f>Expenses!H37+Expenses!H52+Expenses!H65+Expenses!H73+Expenses!H84+Expenses!H110-Expenses!H77</f>
        <v>33669275.07145144</v>
      </c>
      <c r="H68" s="40">
        <f>Expenses!I37+Expenses!I52+Expenses!I65+Expenses!I73+Expenses!I84+Expenses!I110-Expenses!I77</f>
        <v>27848678.86306512</v>
      </c>
      <c r="I68" s="40">
        <f>Expenses!J37+Expenses!J52+Expenses!J65+Expenses!J73+Expenses!J84+Expenses!J110-Expenses!J77</f>
        <v>15321590.383661268</v>
      </c>
      <c r="J68" s="40">
        <f>Expenses!K37+Expenses!K52+Expenses!K65+Expenses!K73+Expenses!K84+Expenses!K110-Expenses!K77</f>
        <v>12219878.789070299</v>
      </c>
      <c r="K68" s="40">
        <f>Expenses!L37+Expenses!L52+Expenses!L65+Expenses!L73+Expenses!L84+Expenses!L110-Expenses!L77</f>
        <v>69505.24281742319</v>
      </c>
      <c r="L68" s="40">
        <f>Expenses!M37+Expenses!M52+Expenses!M65+Expenses!M73+Expenses!M84+Expenses!M110-Expenses!M77</f>
        <v>1482292.2359253364</v>
      </c>
      <c r="M68" s="40">
        <f>Expenses!N37+Expenses!N52+Expenses!N65+Expenses!N73+Expenses!N84+Expenses!N110-Expenses!N77</f>
        <v>874898.6118433692</v>
      </c>
      <c r="N68" s="40">
        <f>Expenses!O37+Expenses!O52+Expenses!O65+Expenses!O73+Expenses!O84+Expenses!O110-Expenses!O77</f>
        <v>3623877.1966885906</v>
      </c>
      <c r="O68" s="40">
        <f>Expenses!P37+Expenses!P52+Expenses!P65+Expenses!P73+Expenses!P84+Expenses!P110-Expenses!P77</f>
        <v>1746065.2501799518</v>
      </c>
      <c r="P68" s="40">
        <f>Expenses!Q37+Expenses!Q52+Expenses!Q65+Expenses!Q73+Expenses!Q84+Expenses!Q110-Expenses!Q77</f>
        <v>2961244.9617076702</v>
      </c>
      <c r="Q68" s="40">
        <f>Expenses!R37+Expenses!R52+Expenses!R65+Expenses!R73+Expenses!R84+Expenses!R110-Expenses!R77</f>
        <v>83667.656333536375</v>
      </c>
      <c r="X68" s="14">
        <v>275723939.88874024</v>
      </c>
      <c r="Y68" s="87">
        <f t="shared" si="3"/>
        <v>0</v>
      </c>
    </row>
    <row r="69" spans="2:25" x14ac:dyDescent="0.25">
      <c r="B69" s="12" t="s">
        <v>139</v>
      </c>
      <c r="C69" s="6" t="s">
        <v>138</v>
      </c>
      <c r="D69" s="6">
        <f t="shared" si="1"/>
        <v>63</v>
      </c>
      <c r="E69" s="14">
        <f t="shared" si="2"/>
        <v>52087545.219702162</v>
      </c>
      <c r="F69" s="54">
        <f>Expenses!G73</f>
        <v>45306511.382084087</v>
      </c>
      <c r="G69" s="40">
        <f>Expenses!H73</f>
        <v>4745940.4466039781</v>
      </c>
      <c r="H69" s="40">
        <f>Expenses!I73</f>
        <v>477500.29486942687</v>
      </c>
      <c r="I69" s="40">
        <f>Expenses!J73</f>
        <v>506672.61410894763</v>
      </c>
      <c r="J69" s="40">
        <f>Expenses!K73</f>
        <v>547641.61910462333</v>
      </c>
      <c r="K69" s="40">
        <f>Expenses!L73</f>
        <v>46.229974015084736</v>
      </c>
      <c r="L69" s="40">
        <f>Expenses!M73</f>
        <v>15327.650120671631</v>
      </c>
      <c r="M69" s="40">
        <f>Expenses!N73</f>
        <v>62194.004899910084</v>
      </c>
      <c r="N69" s="40">
        <f>Expenses!O73</f>
        <v>99206.928085480482</v>
      </c>
      <c r="O69" s="40">
        <f>Expenses!P73</f>
        <v>177139.9076600589</v>
      </c>
      <c r="P69" s="40">
        <f>Expenses!Q73</f>
        <v>149266.14185084932</v>
      </c>
      <c r="Q69" s="40">
        <f>Expenses!R73</f>
        <v>98.000340105873661</v>
      </c>
      <c r="X69" s="15">
        <v>52087545.219702169</v>
      </c>
      <c r="Y69" s="87">
        <f t="shared" si="3"/>
        <v>0</v>
      </c>
    </row>
    <row r="70" spans="2:25" x14ac:dyDescent="0.25">
      <c r="B70" s="6" t="s">
        <v>141</v>
      </c>
      <c r="C70" s="6" t="s">
        <v>140</v>
      </c>
      <c r="D70" s="6">
        <f t="shared" si="1"/>
        <v>64</v>
      </c>
      <c r="E70" s="14">
        <f t="shared" si="2"/>
        <v>51952923.293316603</v>
      </c>
      <c r="F70" s="40">
        <f>SUM(Expenses!G69:G72)</f>
        <v>45189415.25451003</v>
      </c>
      <c r="G70" s="40">
        <f>SUM(Expenses!H69:H72)</f>
        <v>4733674.4117440479</v>
      </c>
      <c r="H70" s="40">
        <f>SUM(Expenses!I69:I72)</f>
        <v>476266.18008682656</v>
      </c>
      <c r="I70" s="40">
        <f>SUM(Expenses!J69:J72)</f>
        <v>505363.10253433883</v>
      </c>
      <c r="J70" s="40">
        <f>SUM(Expenses!K69:K72)</f>
        <v>546226.22182641004</v>
      </c>
      <c r="K70" s="40">
        <f>SUM(Expenses!L69:L72)</f>
        <v>46.11049116880325</v>
      </c>
      <c r="L70" s="40">
        <f>SUM(Expenses!M69:M72)</f>
        <v>15288.035318754872</v>
      </c>
      <c r="M70" s="40">
        <f>SUM(Expenses!N69:N72)</f>
        <v>62033.262505275357</v>
      </c>
      <c r="N70" s="40">
        <f>SUM(Expenses!O69:O72)</f>
        <v>98950.524607195432</v>
      </c>
      <c r="O70" s="40">
        <f>SUM(Expenses!P69:P72)</f>
        <v>176682.08390375835</v>
      </c>
      <c r="P70" s="40">
        <f>SUM(Expenses!Q69:Q72)</f>
        <v>148880.35873368868</v>
      </c>
      <c r="Q70" s="40">
        <f>SUM(Expenses!R69:R72)</f>
        <v>97.747055092808708</v>
      </c>
      <c r="X70" s="14">
        <v>51952923.293316603</v>
      </c>
      <c r="Y70" s="87">
        <f t="shared" si="3"/>
        <v>0</v>
      </c>
    </row>
    <row r="71" spans="2:25" x14ac:dyDescent="0.25">
      <c r="B71" s="12" t="s">
        <v>143</v>
      </c>
      <c r="C71" s="6" t="s">
        <v>142</v>
      </c>
      <c r="D71" s="6">
        <f t="shared" si="1"/>
        <v>65</v>
      </c>
      <c r="E71" s="14">
        <f t="shared" si="2"/>
        <v>17588898.471732054</v>
      </c>
      <c r="F71" s="62">
        <f>SUM(Expenses!G55:G62)</f>
        <v>11220283.848073497</v>
      </c>
      <c r="G71" s="62">
        <f>SUM(Expenses!H55:H62)</f>
        <v>2496528.3924954399</v>
      </c>
      <c r="H71" s="62">
        <f>SUM(Expenses!I55:I62)</f>
        <v>1587374.3055400522</v>
      </c>
      <c r="I71" s="62">
        <f>SUM(Expenses!J55:J62)</f>
        <v>598509.10487286421</v>
      </c>
      <c r="J71" s="62">
        <f>SUM(Expenses!K55:K62)</f>
        <v>911370.15551282873</v>
      </c>
      <c r="K71" s="62">
        <f>SUM(Expenses!L55:L62)</f>
        <v>7260.6252010578883</v>
      </c>
      <c r="L71" s="62">
        <f>SUM(Expenses!M55:M62)</f>
        <v>255111.94290563918</v>
      </c>
      <c r="M71" s="62">
        <f>SUM(Expenses!N55:N62)</f>
        <v>176922.22659951451</v>
      </c>
      <c r="N71" s="62">
        <f>SUM(Expenses!O55:O62)</f>
        <v>94232.225980744683</v>
      </c>
      <c r="O71" s="62">
        <f>SUM(Expenses!P55:P62)</f>
        <v>54333.014710852876</v>
      </c>
      <c r="P71" s="62">
        <f>SUM(Expenses!Q55:Q62)</f>
        <v>182299.36019465915</v>
      </c>
      <c r="Q71" s="62">
        <f>SUM(Expenses!R55:R62)</f>
        <v>4673.2696449034402</v>
      </c>
      <c r="X71" s="15">
        <v>17588898.471732054</v>
      </c>
      <c r="Y71" s="87">
        <f t="shared" si="3"/>
        <v>0</v>
      </c>
    </row>
    <row r="72" spans="2:25" x14ac:dyDescent="0.25">
      <c r="B72" s="6" t="s">
        <v>145</v>
      </c>
      <c r="C72" s="6" t="s">
        <v>144</v>
      </c>
      <c r="D72" s="6">
        <f t="shared" si="1"/>
        <v>66</v>
      </c>
      <c r="E72" s="14">
        <f t="shared" si="2"/>
        <v>52368320.682559706</v>
      </c>
      <c r="F72" s="40">
        <f>SUM(Expenses!G102:G108)</f>
        <v>34107659.296661749</v>
      </c>
      <c r="G72" s="40">
        <f>SUM(Expenses!H102:H108)</f>
        <v>6272104.2311971216</v>
      </c>
      <c r="H72" s="40">
        <f>SUM(Expenses!I102:I108)</f>
        <v>5108252.3777034897</v>
      </c>
      <c r="I72" s="40">
        <f>SUM(Expenses!J102:J108)</f>
        <v>2092347.205768083</v>
      </c>
      <c r="J72" s="40">
        <f>SUM(Expenses!K102:K108)</f>
        <v>1859039.8546213189</v>
      </c>
      <c r="K72" s="40">
        <f>SUM(Expenses!L102:L108)</f>
        <v>37992.380020267949</v>
      </c>
      <c r="L72" s="40">
        <f>SUM(Expenses!M102:M108)</f>
        <v>504590.41877694597</v>
      </c>
      <c r="M72" s="40">
        <f>SUM(Expenses!N102:N108)</f>
        <v>220503.34926750217</v>
      </c>
      <c r="N72" s="40">
        <f>SUM(Expenses!O102:O108)</f>
        <v>81137.638201323629</v>
      </c>
      <c r="O72" s="40">
        <f>SUM(Expenses!P102:P108)</f>
        <v>19850.810197784052</v>
      </c>
      <c r="P72" s="40">
        <f>SUM(Expenses!Q102:Q108)</f>
        <v>2036379.9252015369</v>
      </c>
      <c r="Q72" s="40">
        <f>SUM(Expenses!R102:R108)</f>
        <v>28463.194942575537</v>
      </c>
      <c r="X72" s="14">
        <v>52368320.682559699</v>
      </c>
      <c r="Y72" s="87">
        <f t="shared" si="3"/>
        <v>0</v>
      </c>
    </row>
    <row r="73" spans="2:25" x14ac:dyDescent="0.25">
      <c r="B73" s="12" t="s">
        <v>147</v>
      </c>
      <c r="C73" s="6" t="s">
        <v>146</v>
      </c>
      <c r="D73" s="6">
        <f t="shared" ref="D73:D95" si="4">D72+1</f>
        <v>67</v>
      </c>
      <c r="E73" s="14">
        <f t="shared" si="2"/>
        <v>14513729.030945668</v>
      </c>
      <c r="F73" s="40">
        <f>SUM(Expenses!G56:G61)</f>
        <v>9258576.3504722044</v>
      </c>
      <c r="G73" s="40">
        <f>SUM(Expenses!H56:H61)</f>
        <v>2060045.8104283477</v>
      </c>
      <c r="H73" s="40">
        <f>SUM(Expenses!I56:I61)</f>
        <v>1309844.421372975</v>
      </c>
      <c r="I73" s="40">
        <f>SUM(Expenses!J56:J61)</f>
        <v>493868.27632436663</v>
      </c>
      <c r="J73" s="40">
        <f>SUM(Expenses!K56:K61)</f>
        <v>752030.00945524557</v>
      </c>
      <c r="K73" s="40">
        <f>SUM(Expenses!L56:L61)</f>
        <v>5991.2078594784516</v>
      </c>
      <c r="L73" s="40">
        <f>SUM(Expenses!M56:M61)</f>
        <v>210509.23784915768</v>
      </c>
      <c r="M73" s="40">
        <f>SUM(Expenses!N56:N61)</f>
        <v>145989.88450264555</v>
      </c>
      <c r="N73" s="40">
        <f>SUM(Expenses!O56:O61)</f>
        <v>77757.057729646855</v>
      </c>
      <c r="O73" s="40">
        <f>SUM(Expenses!P56:P61)</f>
        <v>44833.65767418914</v>
      </c>
      <c r="P73" s="40">
        <f>SUM(Expenses!Q56:Q61)</f>
        <v>150426.90255062334</v>
      </c>
      <c r="Q73" s="40">
        <f>SUM(Expenses!R56:R61)</f>
        <v>3856.2147267880064</v>
      </c>
      <c r="X73" s="15">
        <v>14513729.03094567</v>
      </c>
      <c r="Y73" s="87">
        <f t="shared" si="3"/>
        <v>0</v>
      </c>
    </row>
    <row r="74" spans="2:25" x14ac:dyDescent="0.25">
      <c r="B74" s="6" t="s">
        <v>149</v>
      </c>
      <c r="C74" s="6" t="s">
        <v>148</v>
      </c>
      <c r="D74" s="6">
        <f t="shared" si="4"/>
        <v>68</v>
      </c>
      <c r="E74" s="14">
        <f t="shared" si="2"/>
        <v>4089276603.8939033</v>
      </c>
      <c r="F74" s="40">
        <f>'Rate Base'!G60</f>
        <v>2719010911.8526211</v>
      </c>
      <c r="G74" s="40">
        <f>'Rate Base'!H60</f>
        <v>484732400.36369371</v>
      </c>
      <c r="H74" s="40">
        <f>'Rate Base'!I60</f>
        <v>384848541.8545351</v>
      </c>
      <c r="I74" s="40">
        <f>'Rate Base'!J60</f>
        <v>163880467.67138571</v>
      </c>
      <c r="J74" s="40">
        <f>'Rate Base'!K60</f>
        <v>144410351.02438688</v>
      </c>
      <c r="K74" s="40">
        <f>'Rate Base'!L60</f>
        <v>1646782.449539193</v>
      </c>
      <c r="L74" s="40">
        <f>'Rate Base'!M60</f>
        <v>35723443.930601932</v>
      </c>
      <c r="M74" s="40">
        <f>'Rate Base'!N60</f>
        <v>49168400.068016969</v>
      </c>
      <c r="N74" s="40">
        <f>'Rate Base'!O60</f>
        <v>18738235.52942922</v>
      </c>
      <c r="O74" s="40">
        <f>'Rate Base'!P60</f>
        <v>6474141.7221868522</v>
      </c>
      <c r="P74" s="40">
        <f>'Rate Base'!Q60</f>
        <v>79388111.802415997</v>
      </c>
      <c r="Q74" s="40">
        <f>'Rate Base'!R60</f>
        <v>1254815.6250899525</v>
      </c>
      <c r="X74" s="14">
        <v>4089276603.8939033</v>
      </c>
      <c r="Y74" s="87">
        <f t="shared" si="3"/>
        <v>0</v>
      </c>
    </row>
    <row r="75" spans="2:25" x14ac:dyDescent="0.25">
      <c r="B75" s="12" t="s">
        <v>151</v>
      </c>
      <c r="C75" s="6" t="s">
        <v>150</v>
      </c>
      <c r="D75" s="6">
        <f t="shared" si="4"/>
        <v>69</v>
      </c>
      <c r="E75" s="14">
        <f t="shared" si="2"/>
        <v>10754417110.815201</v>
      </c>
      <c r="F75" s="40">
        <f>'Rate Base'!G76</f>
        <v>6337165314.3401642</v>
      </c>
      <c r="G75" s="40">
        <f>'Rate Base'!H76</f>
        <v>1343468356.6289742</v>
      </c>
      <c r="H75" s="40">
        <f>'Rate Base'!I76</f>
        <v>1304946744.632833</v>
      </c>
      <c r="I75" s="40">
        <f>'Rate Base'!J76</f>
        <v>712285448.51166141</v>
      </c>
      <c r="J75" s="40">
        <f>'Rate Base'!K76</f>
        <v>530775960.87052572</v>
      </c>
      <c r="K75" s="40">
        <f>'Rate Base'!L76</f>
        <v>2603135.7561466326</v>
      </c>
      <c r="L75" s="40">
        <f>'Rate Base'!M76</f>
        <v>61156103.19905059</v>
      </c>
      <c r="M75" s="40">
        <f>'Rate Base'!N76</f>
        <v>71745831.734148249</v>
      </c>
      <c r="N75" s="40">
        <f>'Rate Base'!O76</f>
        <v>170843892.89222786</v>
      </c>
      <c r="O75" s="40">
        <f>'Rate Base'!P76</f>
        <v>107482822.56439598</v>
      </c>
      <c r="P75" s="40">
        <f>'Rate Base'!Q76</f>
        <v>108454906.12433451</v>
      </c>
      <c r="Q75" s="40">
        <f>'Rate Base'!R76</f>
        <v>3488593.5607386129</v>
      </c>
      <c r="X75" s="15">
        <v>10754417110.815205</v>
      </c>
      <c r="Y75" s="87">
        <f t="shared" si="3"/>
        <v>0</v>
      </c>
    </row>
    <row r="76" spans="2:25" x14ac:dyDescent="0.25">
      <c r="B76" s="6" t="s">
        <v>153</v>
      </c>
      <c r="C76" s="6" t="s">
        <v>152</v>
      </c>
      <c r="D76" s="6">
        <f t="shared" si="4"/>
        <v>70</v>
      </c>
      <c r="E76" s="14">
        <f t="shared" si="2"/>
        <v>540077856.36379993</v>
      </c>
      <c r="F76" s="40">
        <f>'Rate Base'!G74</f>
        <v>332860027.31004757</v>
      </c>
      <c r="G76" s="40">
        <f>'Rate Base'!H74</f>
        <v>65442777.436288081</v>
      </c>
      <c r="H76" s="40">
        <f>'Rate Base'!I74</f>
        <v>59035051.573733941</v>
      </c>
      <c r="I76" s="40">
        <f>'Rate Base'!J74</f>
        <v>32375242.557413004</v>
      </c>
      <c r="J76" s="40">
        <f>'Rate Base'!K74</f>
        <v>24310716.951365236</v>
      </c>
      <c r="K76" s="40">
        <f>'Rate Base'!L74</f>
        <v>117959.88318839332</v>
      </c>
      <c r="L76" s="40">
        <f>'Rate Base'!M74</f>
        <v>2781351.1643176307</v>
      </c>
      <c r="M76" s="40">
        <f>'Rate Base'!N74</f>
        <v>3266447.9654199043</v>
      </c>
      <c r="N76" s="40">
        <f>'Rate Base'!O74</f>
        <v>7717763.742570173</v>
      </c>
      <c r="O76" s="40">
        <f>'Rate Base'!P74</f>
        <v>4699157.5281439191</v>
      </c>
      <c r="P76" s="40">
        <f>'Rate Base'!Q74</f>
        <v>7314422.8914026665</v>
      </c>
      <c r="Q76" s="40">
        <f>'Rate Base'!R74</f>
        <v>156937.3599094963</v>
      </c>
      <c r="X76" s="14">
        <v>540077856.36379993</v>
      </c>
      <c r="Y76" s="87">
        <f t="shared" si="3"/>
        <v>0</v>
      </c>
    </row>
    <row r="77" spans="2:25" x14ac:dyDescent="0.25">
      <c r="B77" s="12" t="s">
        <v>155</v>
      </c>
      <c r="C77" s="6" t="s">
        <v>154</v>
      </c>
      <c r="D77" s="6">
        <f t="shared" si="4"/>
        <v>71</v>
      </c>
      <c r="E77" s="14">
        <f t="shared" si="2"/>
        <v>2577769497.5271492</v>
      </c>
      <c r="F77" s="40">
        <f>SUM('Rate Base'!G46:G51)</f>
        <v>1729126423.3538733</v>
      </c>
      <c r="G77" s="40">
        <f>SUM('Rate Base'!H46:H51)</f>
        <v>310745044.77626508</v>
      </c>
      <c r="H77" s="40">
        <f>SUM('Rate Base'!I46:I51)</f>
        <v>273419888.09957683</v>
      </c>
      <c r="I77" s="40">
        <f>SUM('Rate Base'!J46:J51)</f>
        <v>115521496.86303118</v>
      </c>
      <c r="J77" s="40">
        <f>SUM('Rate Base'!K46:K51)</f>
        <v>89683686.564590067</v>
      </c>
      <c r="K77" s="40">
        <f>SUM('Rate Base'!L46:L51)</f>
        <v>1468229.3879011672</v>
      </c>
      <c r="L77" s="40">
        <f>SUM('Rate Base'!M46:M51)</f>
        <v>26642823.532321468</v>
      </c>
      <c r="M77" s="40">
        <f>SUM('Rate Base'!N46:N51)</f>
        <v>23173420.88689227</v>
      </c>
      <c r="N77" s="40">
        <f>SUM('Rate Base'!O46:O51)</f>
        <v>5608088.4825534066</v>
      </c>
      <c r="O77" s="40">
        <f>SUM('Rate Base'!P46:P51)</f>
        <v>33701.416388018217</v>
      </c>
      <c r="P77" s="40">
        <f>SUM('Rate Base'!Q46:Q51)</f>
        <v>1297479.3636722437</v>
      </c>
      <c r="Q77" s="40">
        <f>SUM('Rate Base'!R46:R51)</f>
        <v>1049214.8000838042</v>
      </c>
      <c r="X77" s="15">
        <v>2577769497.5271487</v>
      </c>
      <c r="Y77" s="87">
        <f t="shared" si="3"/>
        <v>0</v>
      </c>
    </row>
    <row r="78" spans="2:25" x14ac:dyDescent="0.25">
      <c r="B78" s="6" t="s">
        <v>157</v>
      </c>
      <c r="C78" s="6" t="s">
        <v>156</v>
      </c>
      <c r="D78" s="6">
        <f t="shared" si="4"/>
        <v>72</v>
      </c>
      <c r="E78" s="14">
        <f>SUM(F78:Q78)</f>
        <v>873670533.75404739</v>
      </c>
      <c r="F78" s="40">
        <f>Expenses!G17+Expenses!G26+Expenses!G32+Expenses!G37+Expenses!G52</f>
        <v>464684220.78642631</v>
      </c>
      <c r="G78" s="40">
        <f>Expenses!H17+Expenses!H26+Expenses!H32+Expenses!H37+Expenses!H52</f>
        <v>116139303.02816394</v>
      </c>
      <c r="H78" s="40">
        <f>Expenses!I17+Expenses!I26+Expenses!I32+Expenses!I37+Expenses!I52</f>
        <v>128039838.96883172</v>
      </c>
      <c r="I78" s="40">
        <f>Expenses!J17+Expenses!J26+Expenses!J32+Expenses!J37+Expenses!J52</f>
        <v>79027474.380212322</v>
      </c>
      <c r="J78" s="40">
        <f>Expenses!K17+Expenses!K26+Expenses!K32+Expenses!K37+Expenses!K52</f>
        <v>54839140.33446262</v>
      </c>
      <c r="K78" s="40">
        <f>Expenses!L17+Expenses!L26+Expenses!L32+Expenses!L37+Expenses!L52</f>
        <v>146656.63621316705</v>
      </c>
      <c r="L78" s="40">
        <f>Expenses!M17+Expenses!M26+Expenses!M32+Expenses!M37+Expenses!M52</f>
        <v>3457157.1604041769</v>
      </c>
      <c r="M78" s="40">
        <f>Expenses!N17+Expenses!N26+Expenses!N32+Expenses!N37+Expenses!N52</f>
        <v>261096.43176779948</v>
      </c>
      <c r="N78" s="40">
        <f>Expenses!O17+Expenses!O26+Expenses!O32+Expenses!O37+Expenses!O52</f>
        <v>22618806.116506472</v>
      </c>
      <c r="O78" s="40">
        <f>Expenses!P17+Expenses!P26+Expenses!P32+Expenses!P37+Expenses!P52</f>
        <v>1447929.3188913688</v>
      </c>
      <c r="P78" s="40">
        <f>Expenses!Q17+Expenses!Q26+Expenses!Q32+Expenses!Q37+Expenses!Q52</f>
        <v>2714284.7514440995</v>
      </c>
      <c r="Q78" s="40">
        <f>Expenses!R17+Expenses!R26+Expenses!R32+Expenses!R37+Expenses!R52</f>
        <v>294625.84072322521</v>
      </c>
      <c r="X78" s="14">
        <v>873670533.75404704</v>
      </c>
      <c r="Y78" s="87">
        <f t="shared" si="3"/>
        <v>0</v>
      </c>
    </row>
    <row r="79" spans="2:25" x14ac:dyDescent="0.25">
      <c r="B79" s="12" t="s">
        <v>159</v>
      </c>
      <c r="C79" s="6" t="s">
        <v>158</v>
      </c>
      <c r="D79" s="6">
        <f t="shared" si="4"/>
        <v>73</v>
      </c>
      <c r="E79" s="14">
        <f t="shared" si="2"/>
        <v>4097835000.000001</v>
      </c>
      <c r="F79" s="40">
        <f>'Rate Base'!G21</f>
        <v>2218294377.8419404</v>
      </c>
      <c r="G79" s="40">
        <f>'Rate Base'!H21</f>
        <v>543324041.39818203</v>
      </c>
      <c r="H79" s="40">
        <f>'Rate Base'!I21</f>
        <v>595910230.39588726</v>
      </c>
      <c r="I79" s="40">
        <f>'Rate Base'!J21</f>
        <v>359026166.47263896</v>
      </c>
      <c r="J79" s="40">
        <f>'Rate Base'!K21</f>
        <v>250985324.071363</v>
      </c>
      <c r="K79" s="40">
        <f>'Rate Base'!L21</f>
        <v>545530.66136153182</v>
      </c>
      <c r="L79" s="40">
        <f>'Rate Base'!M21</f>
        <v>14981799.321682394</v>
      </c>
      <c r="M79" s="40">
        <f>'Rate Base'!N21</f>
        <v>0</v>
      </c>
      <c r="N79" s="40">
        <f>'Rate Base'!O21</f>
        <v>101268296.4618426</v>
      </c>
      <c r="O79" s="40">
        <f>'Rate Base'!P21</f>
        <v>0</v>
      </c>
      <c r="P79" s="40">
        <f>'Rate Base'!Q21</f>
        <v>12070942.821872659</v>
      </c>
      <c r="Q79" s="40">
        <f>'Rate Base'!R21</f>
        <v>1428290.5532298938</v>
      </c>
      <c r="X79" s="15">
        <v>4097835000</v>
      </c>
      <c r="Y79" s="87">
        <f t="shared" si="3"/>
        <v>0</v>
      </c>
    </row>
    <row r="80" spans="2:25" x14ac:dyDescent="0.25">
      <c r="B80" s="6" t="s">
        <v>161</v>
      </c>
      <c r="C80" s="6" t="s">
        <v>160</v>
      </c>
      <c r="D80" s="6">
        <f t="shared" si="4"/>
        <v>74</v>
      </c>
      <c r="E80" s="14">
        <f t="shared" si="2"/>
        <v>10321926586.777802</v>
      </c>
      <c r="F80" s="40">
        <f>'Rate Base'!G21+'Rate Base'!G36+'Rate Base'!G60+'Rate Base'!G74</f>
        <v>6074076899.0380936</v>
      </c>
      <c r="G80" s="40">
        <f>'Rate Base'!H21+'Rate Base'!H36+'Rate Base'!H60+'Rate Base'!H74</f>
        <v>1290303251.5432875</v>
      </c>
      <c r="H80" s="40">
        <f>'Rate Base'!I21+'Rate Base'!I36+'Rate Base'!I60+'Rate Base'!I74</f>
        <v>1255604590.5769567</v>
      </c>
      <c r="I80" s="40">
        <f>'Rate Base'!J21+'Rate Base'!J36+'Rate Base'!J60+'Rate Base'!J74</f>
        <v>685175991.68332708</v>
      </c>
      <c r="J80" s="40">
        <f>'Rate Base'!K21+'Rate Base'!K36+'Rate Base'!K60+'Rate Base'!K74</f>
        <v>510518228.70769984</v>
      </c>
      <c r="K80" s="40">
        <f>'Rate Base'!L21+'Rate Base'!L36+'Rate Base'!L60+'Rate Base'!L74</f>
        <v>2506335.2023611418</v>
      </c>
      <c r="L80" s="40">
        <f>'Rate Base'!M21+'Rate Base'!M36+'Rate Base'!M60+'Rate Base'!M74</f>
        <v>58870431.460807867</v>
      </c>
      <c r="M80" s="40">
        <f>'Rate Base'!N21+'Rate Base'!N36+'Rate Base'!N60+'Rate Base'!N74</f>
        <v>69309387.255896181</v>
      </c>
      <c r="N80" s="40">
        <f>'Rate Base'!O21+'Rate Base'!O36+'Rate Base'!O60+'Rate Base'!O74</f>
        <v>164325870.59765762</v>
      </c>
      <c r="O80" s="40">
        <f>'Rate Base'!P21+'Rate Base'!P36+'Rate Base'!P60+'Rate Base'!P74</f>
        <v>104742385.93443874</v>
      </c>
      <c r="P80" s="40">
        <f>'Rate Base'!Q21+'Rate Base'!Q36+'Rate Base'!Q60+'Rate Base'!Q74</f>
        <v>103135592.59719989</v>
      </c>
      <c r="Q80" s="40">
        <f>'Rate Base'!R21+'Rate Base'!R36+'Rate Base'!R60+'Rate Base'!R74</f>
        <v>3357622.1800738191</v>
      </c>
      <c r="X80" s="14">
        <v>10321926586.777798</v>
      </c>
      <c r="Y80" s="87">
        <f t="shared" si="3"/>
        <v>0</v>
      </c>
    </row>
    <row r="81" spans="2:25" x14ac:dyDescent="0.25">
      <c r="B81" s="12" t="s">
        <v>163</v>
      </c>
      <c r="C81" s="6" t="s">
        <v>162</v>
      </c>
      <c r="D81" s="6">
        <f t="shared" si="4"/>
        <v>75</v>
      </c>
      <c r="E81" s="14">
        <f t="shared" si="2"/>
        <v>9781848730.4139957</v>
      </c>
      <c r="F81" s="40">
        <f>'Rate Base'!G21+'Rate Base'!G36+'Rate Base'!G60</f>
        <v>5741216871.7280464</v>
      </c>
      <c r="G81" s="40">
        <f>'Rate Base'!H21+'Rate Base'!H36+'Rate Base'!H60</f>
        <v>1224860474.1069994</v>
      </c>
      <c r="H81" s="40">
        <f>'Rate Base'!I21+'Rate Base'!I36+'Rate Base'!I60</f>
        <v>1196569539.0032227</v>
      </c>
      <c r="I81" s="40">
        <f>'Rate Base'!J21+'Rate Base'!J36+'Rate Base'!J60</f>
        <v>652800749.1259141</v>
      </c>
      <c r="J81" s="40">
        <f>'Rate Base'!K21+'Rate Base'!K36+'Rate Base'!K60</f>
        <v>486207511.7563346</v>
      </c>
      <c r="K81" s="40">
        <f>'Rate Base'!L21+'Rate Base'!L36+'Rate Base'!L60</f>
        <v>2388375.3191727484</v>
      </c>
      <c r="L81" s="40">
        <f>'Rate Base'!M21+'Rate Base'!M36+'Rate Base'!M60</f>
        <v>56089080.296490237</v>
      </c>
      <c r="M81" s="40">
        <f>'Rate Base'!N21+'Rate Base'!N36+'Rate Base'!N60</f>
        <v>66042939.290476277</v>
      </c>
      <c r="N81" s="40">
        <f>'Rate Base'!O21+'Rate Base'!O36+'Rate Base'!O60</f>
        <v>156608106.85508746</v>
      </c>
      <c r="O81" s="40">
        <f>'Rate Base'!P21+'Rate Base'!P36+'Rate Base'!P60</f>
        <v>100043228.40629482</v>
      </c>
      <c r="P81" s="40">
        <f>'Rate Base'!Q21+'Rate Base'!Q36+'Rate Base'!Q60</f>
        <v>95821169.705797225</v>
      </c>
      <c r="Q81" s="40">
        <f>'Rate Base'!R21+'Rate Base'!R36+'Rate Base'!R60</f>
        <v>3200684.8201643229</v>
      </c>
      <c r="X81" s="15">
        <v>9781848730.4139977</v>
      </c>
      <c r="Y81" s="87">
        <f t="shared" si="3"/>
        <v>0</v>
      </c>
    </row>
    <row r="82" spans="2:25" x14ac:dyDescent="0.25">
      <c r="B82" s="6" t="s">
        <v>165</v>
      </c>
      <c r="C82" s="6" t="s">
        <v>164</v>
      </c>
      <c r="D82" s="6">
        <f t="shared" si="4"/>
        <v>76</v>
      </c>
      <c r="E82" s="14">
        <f t="shared" si="2"/>
        <v>5428588079.6691418</v>
      </c>
      <c r="F82" s="40">
        <f>'Rate Base'!G162</f>
        <v>3179372876.1581163</v>
      </c>
      <c r="G82" s="40">
        <f>'Rate Base'!H162</f>
        <v>652977857.81302309</v>
      </c>
      <c r="H82" s="40">
        <f>'Rate Base'!I162</f>
        <v>671751944.02463615</v>
      </c>
      <c r="I82" s="40">
        <f>'Rate Base'!J162</f>
        <v>367180734.67532134</v>
      </c>
      <c r="J82" s="40">
        <f>'Rate Base'!K162</f>
        <v>277721165.62172079</v>
      </c>
      <c r="K82" s="40">
        <f>'Rate Base'!L162</f>
        <v>1373381.2727046942</v>
      </c>
      <c r="L82" s="40">
        <f>'Rate Base'!M162</f>
        <v>32657779.818445027</v>
      </c>
      <c r="M82" s="40">
        <f>'Rate Base'!N162</f>
        <v>37830051.010759115</v>
      </c>
      <c r="N82" s="40">
        <f>'Rate Base'!O162</f>
        <v>87297335.404558793</v>
      </c>
      <c r="O82" s="40">
        <f>'Rate Base'!P162</f>
        <v>62009924.542997509</v>
      </c>
      <c r="P82" s="40">
        <f>'Rate Base'!Q162</f>
        <v>56592231.917916156</v>
      </c>
      <c r="Q82" s="40">
        <f>'Rate Base'!R162</f>
        <v>1822797.4089408994</v>
      </c>
      <c r="X82" s="14">
        <v>5428588079.6691408</v>
      </c>
      <c r="Y82" s="87">
        <f t="shared" si="3"/>
        <v>0</v>
      </c>
    </row>
    <row r="83" spans="2:25" x14ac:dyDescent="0.25">
      <c r="B83" s="12" t="s">
        <v>167</v>
      </c>
      <c r="C83" s="6" t="s">
        <v>166</v>
      </c>
      <c r="D83" s="6">
        <f t="shared" si="4"/>
        <v>77</v>
      </c>
      <c r="E83" s="14">
        <f t="shared" si="2"/>
        <v>2053872812.8406465</v>
      </c>
      <c r="F83" s="40">
        <f>Expenses!G118+Expenses!G170+('Rate Base'!G162*0.0762)</f>
        <v>1187324787.5355005</v>
      </c>
      <c r="G83" s="40">
        <f>Expenses!H118+Expenses!H170+('Rate Base'!H162*0.0762)</f>
        <v>260203255.07934356</v>
      </c>
      <c r="H83" s="40">
        <f>Expenses!I118+Expenses!I170+('Rate Base'!I162*0.0762)</f>
        <v>260306620.41286546</v>
      </c>
      <c r="I83" s="40">
        <f>Expenses!J118+Expenses!J170+('Rate Base'!J162*0.0762)</f>
        <v>150279381.33844769</v>
      </c>
      <c r="J83" s="40">
        <f>Expenses!K118+Expenses!K170+('Rate Base'!K162*0.0762)</f>
        <v>110249662.00592558</v>
      </c>
      <c r="K83" s="40">
        <f>Expenses!L118+Expenses!L170+('Rate Base'!L162*0.0762)</f>
        <v>449739.20506825316</v>
      </c>
      <c r="L83" s="40">
        <f>Expenses!M118+Expenses!M170+('Rate Base'!M162*0.0762)</f>
        <v>10497798.448986148</v>
      </c>
      <c r="M83" s="40">
        <f>Expenses!N118+Expenses!N170+('Rate Base'!N162*0.0762)</f>
        <v>6355878.2442781189</v>
      </c>
      <c r="N83" s="40">
        <f>Expenses!O118+Expenses!O170+('Rate Base'!O162*0.0762)</f>
        <v>38981917.79534144</v>
      </c>
      <c r="O83" s="40">
        <f>Expenses!P118+Expenses!P170+('Rate Base'!P162*0.0762)</f>
        <v>11302514.907906987</v>
      </c>
      <c r="P83" s="40">
        <f>Expenses!Q118+Expenses!Q170+('Rate Base'!Q162*0.0762)</f>
        <v>17255387.672005929</v>
      </c>
      <c r="Q83" s="40">
        <f>Expenses!R118+Expenses!R170+('Rate Base'!R162*0.0762)</f>
        <v>665870.19497672981</v>
      </c>
      <c r="X83" s="15">
        <v>2053872812.8406465</v>
      </c>
      <c r="Y83" s="87">
        <f t="shared" si="3"/>
        <v>0</v>
      </c>
    </row>
    <row r="84" spans="2:25" x14ac:dyDescent="0.25">
      <c r="B84" s="6" t="s">
        <v>169</v>
      </c>
      <c r="C84" s="6" t="s">
        <v>168</v>
      </c>
      <c r="D84" s="6">
        <f t="shared" si="4"/>
        <v>78</v>
      </c>
      <c r="E84" s="14">
        <f t="shared" si="2"/>
        <v>108304747.09407416</v>
      </c>
      <c r="F84" s="40">
        <f>Labor!G41</f>
        <v>66910859.690794542</v>
      </c>
      <c r="G84" s="40">
        <f>Labor!H41</f>
        <v>13099746.972387752</v>
      </c>
      <c r="H84" s="40">
        <f>Labor!I41</f>
        <v>11764352.454549851</v>
      </c>
      <c r="I84" s="40">
        <f>Labor!J41</f>
        <v>6454658.2732228879</v>
      </c>
      <c r="J84" s="40">
        <f>Labor!K41</f>
        <v>4848718.2496240633</v>
      </c>
      <c r="K84" s="40">
        <f>Labor!L41</f>
        <v>23489.362032491612</v>
      </c>
      <c r="L84" s="40">
        <f>Labor!M41</f>
        <v>554049.54413876019</v>
      </c>
      <c r="M84" s="40">
        <f>Labor!N41</f>
        <v>651463.32905266725</v>
      </c>
      <c r="N84" s="40">
        <f>Labor!O41</f>
        <v>1538541.9726803906</v>
      </c>
      <c r="O84" s="40">
        <f>Labor!P41</f>
        <v>939864.73641819146</v>
      </c>
      <c r="P84" s="40">
        <f>Labor!Q41</f>
        <v>1487744.9870181843</v>
      </c>
      <c r="Q84" s="40">
        <f>Labor!R41</f>
        <v>31257.522154385639</v>
      </c>
      <c r="X84" s="14">
        <v>108304747.09407416</v>
      </c>
      <c r="Y84" s="87">
        <f t="shared" si="3"/>
        <v>0</v>
      </c>
    </row>
    <row r="85" spans="2:25" x14ac:dyDescent="0.25">
      <c r="B85" s="12" t="s">
        <v>171</v>
      </c>
      <c r="C85" s="6" t="s">
        <v>170</v>
      </c>
      <c r="D85" s="6">
        <f t="shared" si="4"/>
        <v>79</v>
      </c>
      <c r="E85" s="14">
        <f t="shared" si="2"/>
        <v>66206134.044743814</v>
      </c>
      <c r="F85" s="40">
        <f>Labor!G13+Labor!G17+Labor!G21</f>
        <v>38981355.195091024</v>
      </c>
      <c r="G85" s="40">
        <f>Labor!H13+Labor!H17+Labor!H21</f>
        <v>8293185.6172433551</v>
      </c>
      <c r="H85" s="40">
        <f>Labor!I13+Labor!I17+Labor!I21</f>
        <v>8079942.828562865</v>
      </c>
      <c r="I85" s="40">
        <f>Labor!J13+Labor!J17+Labor!J21</f>
        <v>4396901.6477967519</v>
      </c>
      <c r="J85" s="40">
        <f>Labor!K13+Labor!K17+Labor!K21</f>
        <v>3280287.5885847812</v>
      </c>
      <c r="K85" s="40">
        <f>Labor!L13+Labor!L17+Labor!L21</f>
        <v>16343.934874590537</v>
      </c>
      <c r="L85" s="40">
        <f>Labor!M13+Labor!M17+Labor!M21</f>
        <v>383106.41631432239</v>
      </c>
      <c r="M85" s="40">
        <f>Labor!N13+Labor!N17+Labor!N21</f>
        <v>440963.23175050819</v>
      </c>
      <c r="N85" s="40">
        <f>Labor!O13+Labor!O17+Labor!O21</f>
        <v>1049815.4394615779</v>
      </c>
      <c r="O85" s="40">
        <f>Labor!P13+Labor!P17+Labor!P21</f>
        <v>603622.58831368084</v>
      </c>
      <c r="P85" s="40">
        <f>Labor!Q13+Labor!Q17+Labor!Q21</f>
        <v>658941.67455202737</v>
      </c>
      <c r="Q85" s="40">
        <f>Labor!R13+Labor!R17+Labor!R21</f>
        <v>21667.882198320651</v>
      </c>
      <c r="X85" s="15">
        <v>66206134.044743814</v>
      </c>
      <c r="Y85" s="87">
        <f t="shared" si="3"/>
        <v>0</v>
      </c>
    </row>
    <row r="86" spans="2:25" x14ac:dyDescent="0.25">
      <c r="B86" s="6" t="s">
        <v>173</v>
      </c>
      <c r="C86" s="6" t="s">
        <v>172</v>
      </c>
      <c r="D86" s="6">
        <f t="shared" si="4"/>
        <v>80</v>
      </c>
      <c r="E86" s="14">
        <f t="shared" si="2"/>
        <v>5684013730.4139996</v>
      </c>
      <c r="F86" s="40">
        <f>'Rate Base'!G36+'Rate Base'!G60</f>
        <v>3522922493.8861065</v>
      </c>
      <c r="G86" s="40">
        <f>'Rate Base'!H36+'Rate Base'!H60</f>
        <v>681536432.70881736</v>
      </c>
      <c r="H86" s="40">
        <f>'Rate Base'!I36+'Rate Base'!I60</f>
        <v>600659308.60733545</v>
      </c>
      <c r="I86" s="40">
        <f>'Rate Base'!J36+'Rate Base'!J60</f>
        <v>293774582.65327513</v>
      </c>
      <c r="J86" s="40">
        <f>'Rate Base'!K36+'Rate Base'!K60</f>
        <v>235222187.6849716</v>
      </c>
      <c r="K86" s="40">
        <f>'Rate Base'!L36+'Rate Base'!L60</f>
        <v>1842844.6578112163</v>
      </c>
      <c r="L86" s="40">
        <f>'Rate Base'!M36+'Rate Base'!M60</f>
        <v>41107280.974807844</v>
      </c>
      <c r="M86" s="40">
        <f>'Rate Base'!N36+'Rate Base'!N60</f>
        <v>66042939.290476277</v>
      </c>
      <c r="N86" s="40">
        <f>'Rate Base'!O36+'Rate Base'!O60</f>
        <v>55339810.393244855</v>
      </c>
      <c r="O86" s="40">
        <f>'Rate Base'!P36+'Rate Base'!P60</f>
        <v>100043228.40629482</v>
      </c>
      <c r="P86" s="40">
        <f>'Rate Base'!Q36+'Rate Base'!Q60</f>
        <v>83750226.883924559</v>
      </c>
      <c r="Q86" s="40">
        <f>'Rate Base'!R36+'Rate Base'!R60</f>
        <v>1772394.2669344293</v>
      </c>
      <c r="X86" s="14">
        <v>5684013730.4139996</v>
      </c>
      <c r="Y86" s="87">
        <f t="shared" si="3"/>
        <v>0</v>
      </c>
    </row>
    <row r="87" spans="2:25" x14ac:dyDescent="0.25">
      <c r="B87" s="12" t="s">
        <v>175</v>
      </c>
      <c r="C87" s="6" t="s">
        <v>174</v>
      </c>
      <c r="D87" s="6">
        <f t="shared" si="4"/>
        <v>81</v>
      </c>
      <c r="E87" s="15">
        <v>1726709963.6748061</v>
      </c>
      <c r="F87" s="40">
        <f>Expenses!G118+Expenses!G170+Expenses!G178</f>
        <v>993396963.2580471</v>
      </c>
      <c r="G87" s="40">
        <f>Expenses!H118+Expenses!H170+Expenses!H178</f>
        <v>221775294.68876433</v>
      </c>
      <c r="H87" s="40">
        <f>Expenses!I118+Expenses!I170+Expenses!I178</f>
        <v>220656879.79745975</v>
      </c>
      <c r="I87" s="40">
        <f>Expenses!J118+Expenses!J170+Expenses!J178</f>
        <v>129103166.5329852</v>
      </c>
      <c r="J87" s="40">
        <f>Expenses!K118+Expenses!K170+Expenses!K178</f>
        <v>93912865.15579161</v>
      </c>
      <c r="K87" s="40">
        <f>Expenses!L118+Expenses!L170+Expenses!L178</f>
        <v>357352.82880669821</v>
      </c>
      <c r="L87" s="40">
        <f>Expenses!M118+Expenses!M170+Expenses!M178</f>
        <v>8470754.5620223116</v>
      </c>
      <c r="M87" s="40">
        <f>Expenses!N118+Expenses!N170+Expenses!N178</f>
        <v>3732848.6884075953</v>
      </c>
      <c r="N87" s="40">
        <f>Expenses!O118+Expenses!O170+Expenses!O178</f>
        <v>34031469.119444042</v>
      </c>
      <c r="O87" s="40">
        <f>Expenses!P118+Expenses!P170+Expenses!P178</f>
        <v>7038045.0776906935</v>
      </c>
      <c r="P87" s="40">
        <f>Expenses!Q118+Expenses!Q170+Expenses!Q178</f>
        <v>13692254.588865127</v>
      </c>
      <c r="Q87" s="40">
        <f>Expenses!R118+Expenses!R170+Expenses!R178</f>
        <v>542069.37652172055</v>
      </c>
      <c r="X87" s="15">
        <v>1726709963.6748061</v>
      </c>
      <c r="Y87" s="87">
        <f t="shared" si="3"/>
        <v>0</v>
      </c>
    </row>
    <row r="88" spans="2:25" x14ac:dyDescent="0.25">
      <c r="B88" s="6" t="s">
        <v>177</v>
      </c>
      <c r="C88" s="6" t="s">
        <v>176</v>
      </c>
      <c r="D88" s="6">
        <f t="shared" si="4"/>
        <v>82</v>
      </c>
      <c r="E88" s="14">
        <f t="shared" si="2"/>
        <v>1594737126.5200975</v>
      </c>
      <c r="F88" s="40">
        <f>'Rate Base'!G36</f>
        <v>803911582.03348553</v>
      </c>
      <c r="G88" s="40">
        <f>'Rate Base'!H36</f>
        <v>196804032.34512368</v>
      </c>
      <c r="H88" s="40">
        <f>'Rate Base'!I36</f>
        <v>215810766.75280032</v>
      </c>
      <c r="I88" s="40">
        <f>'Rate Base'!J36</f>
        <v>129894114.98188943</v>
      </c>
      <c r="J88" s="40">
        <f>'Rate Base'!K36</f>
        <v>90811836.660584718</v>
      </c>
      <c r="K88" s="40">
        <f>'Rate Base'!L36</f>
        <v>196062.20827202342</v>
      </c>
      <c r="L88" s="40">
        <f>'Rate Base'!M36</f>
        <v>5383837.0442059115</v>
      </c>
      <c r="M88" s="40">
        <f>'Rate Base'!N36</f>
        <v>16874539.222459313</v>
      </c>
      <c r="N88" s="40">
        <f>'Rate Base'!O36</f>
        <v>36601574.863815635</v>
      </c>
      <c r="O88" s="40">
        <f>'Rate Base'!P36</f>
        <v>93569086.684107974</v>
      </c>
      <c r="P88" s="40">
        <f>'Rate Base'!Q36</f>
        <v>4362115.0815085638</v>
      </c>
      <c r="Q88" s="40">
        <f>'Rate Base'!R36</f>
        <v>517578.64184447692</v>
      </c>
      <c r="X88" s="14">
        <v>1594737126.5200973</v>
      </c>
      <c r="Y88" s="87">
        <f t="shared" si="3"/>
        <v>0</v>
      </c>
    </row>
    <row r="89" spans="2:25" x14ac:dyDescent="0.25">
      <c r="B89" s="12" t="s">
        <v>179</v>
      </c>
      <c r="C89" s="6" t="s">
        <v>178</v>
      </c>
      <c r="D89" s="6">
        <f t="shared" si="4"/>
        <v>83</v>
      </c>
      <c r="E89" s="14">
        <f t="shared" si="2"/>
        <v>959239340.65362835</v>
      </c>
      <c r="F89" s="40">
        <f>Expenses!G17+Expenses!G26+Expenses!G32+Expenses!G37+Expenses!G52+Expenses!G65+Expenses!G110</f>
        <v>519978330.75896293</v>
      </c>
      <c r="G89" s="40">
        <f>Expenses!H17+Expenses!H26+Expenses!H32+Expenses!H37+Expenses!H52+Expenses!H65+Expenses!H110</f>
        <v>127111807.63486052</v>
      </c>
      <c r="H89" s="40">
        <f>Expenses!I17+Expenses!I26+Expenses!I32+Expenses!I37+Expenses!I52+Expenses!I65+Expenses!I110</f>
        <v>136148340.18696287</v>
      </c>
      <c r="I89" s="40">
        <f>Expenses!J17+Expenses!J26+Expenses!J32+Expenses!J37+Expenses!J52+Expenses!J65+Expenses!J110</f>
        <v>82252765.101446196</v>
      </c>
      <c r="J89" s="40">
        <f>Expenses!K17+Expenses!K26+Expenses!K32+Expenses!K37+Expenses!K52+Expenses!K65+Expenses!K110</f>
        <v>58409633.166953072</v>
      </c>
      <c r="K89" s="40">
        <f>Expenses!L17+Expenses!L26+Expenses!L32+Expenses!L37+Expenses!L52+Expenses!L65+Expenses!L110</f>
        <v>198523.32009766996</v>
      </c>
      <c r="L89" s="40">
        <f>Expenses!M17+Expenses!M26+Expenses!M32+Expenses!M37+Expenses!M52+Expenses!M65+Expenses!M110</f>
        <v>4440656.4885460502</v>
      </c>
      <c r="M89" s="40">
        <f>Expenses!N17+Expenses!N26+Expenses!N32+Expenses!N37+Expenses!N52+Expenses!N65+Expenses!N110</f>
        <v>812388.98947898787</v>
      </c>
      <c r="N89" s="40">
        <f>Expenses!O17+Expenses!O26+Expenses!O32+Expenses!O37+Expenses!O52+Expenses!O65+Expenses!O110</f>
        <v>22875753.206016384</v>
      </c>
      <c r="O89" s="40">
        <f>Expenses!P17+Expenses!P26+Expenses!P32+Expenses!P37+Expenses!P52+Expenses!P65+Expenses!P110</f>
        <v>1568871.0427410591</v>
      </c>
      <c r="P89" s="40">
        <f>Expenses!Q17+Expenses!Q26+Expenses!Q32+Expenses!Q37+Expenses!Q52+Expenses!Q65+Expenses!Q110</f>
        <v>5110210.1372558456</v>
      </c>
      <c r="Q89" s="40">
        <f>Expenses!R17+Expenses!R26+Expenses!R32+Expenses!R37+Expenses!R52+Expenses!R65+Expenses!R110</f>
        <v>332060.62030700181</v>
      </c>
      <c r="X89" s="15">
        <v>959239340.65362847</v>
      </c>
      <c r="Y89" s="87">
        <f t="shared" si="3"/>
        <v>0</v>
      </c>
    </row>
    <row r="90" spans="2:25" x14ac:dyDescent="0.25">
      <c r="B90" s="6" t="s">
        <v>536</v>
      </c>
      <c r="C90" s="6" t="s">
        <v>14</v>
      </c>
      <c r="D90" s="6">
        <f t="shared" si="4"/>
        <v>84</v>
      </c>
      <c r="E90" s="14">
        <f t="shared" si="2"/>
        <v>1997002383.941232</v>
      </c>
      <c r="F90" s="13">
        <f>Revenue!G15</f>
        <v>1105896513.2900393</v>
      </c>
      <c r="G90" s="13">
        <f>Revenue!H15</f>
        <v>263390391.2140398</v>
      </c>
      <c r="H90" s="13">
        <f>Revenue!I15</f>
        <v>270703257.2199825</v>
      </c>
      <c r="I90" s="13">
        <f>Revenue!J15</f>
        <v>160280839.13024956</v>
      </c>
      <c r="J90" s="13">
        <f>Revenue!K15</f>
        <v>113255219.09203497</v>
      </c>
      <c r="K90" s="13">
        <f>Revenue!L15</f>
        <v>268014.00021779712</v>
      </c>
      <c r="L90" s="13">
        <f>Revenue!M15</f>
        <v>10687146.00868473</v>
      </c>
      <c r="M90" s="13">
        <f>Revenue!N15</f>
        <v>5493553</v>
      </c>
      <c r="N90" s="13">
        <f>Revenue!O15</f>
        <v>40128244.032609545</v>
      </c>
      <c r="O90" s="13">
        <f>Revenue!P15</f>
        <v>10117371.780000001</v>
      </c>
      <c r="P90" s="13">
        <f>Revenue!Q15</f>
        <v>16457494.013373908</v>
      </c>
      <c r="Q90" s="13">
        <f>Revenue!R15</f>
        <v>324341.16000000003</v>
      </c>
      <c r="Y90" s="87">
        <f t="shared" si="3"/>
        <v>0</v>
      </c>
    </row>
    <row r="91" spans="2:25" x14ac:dyDescent="0.25">
      <c r="B91" s="12"/>
      <c r="C91" s="6" t="s">
        <v>14</v>
      </c>
      <c r="D91" s="6">
        <f t="shared" si="4"/>
        <v>85</v>
      </c>
      <c r="E91" s="15">
        <v>0</v>
      </c>
    </row>
    <row r="92" spans="2:25" x14ac:dyDescent="0.25">
      <c r="B92" s="13" t="s">
        <v>579</v>
      </c>
      <c r="C92" s="6" t="s">
        <v>14</v>
      </c>
      <c r="D92" s="6">
        <f t="shared" si="4"/>
        <v>86</v>
      </c>
      <c r="E92" s="14">
        <f t="shared" si="2"/>
        <v>193837788.50000021</v>
      </c>
      <c r="F92" s="40">
        <v>97051753.003721014</v>
      </c>
      <c r="G92" s="40">
        <v>26266558.763776418</v>
      </c>
      <c r="H92" s="40">
        <v>29517432.959835123</v>
      </c>
      <c r="I92" s="40">
        <v>19808863.495894063</v>
      </c>
      <c r="J92" s="40">
        <v>13411288.341885353</v>
      </c>
      <c r="K92" s="40">
        <v>58633.826834495128</v>
      </c>
      <c r="L92" s="40">
        <v>998247.05598664621</v>
      </c>
      <c r="M92" s="40">
        <v>0</v>
      </c>
      <c r="N92" s="40">
        <v>5939891.2016375596</v>
      </c>
      <c r="O92" s="40">
        <v>0</v>
      </c>
      <c r="P92" s="40">
        <v>727533.50067128113</v>
      </c>
      <c r="Q92" s="40">
        <v>57586.349758228091</v>
      </c>
      <c r="Y92" s="87">
        <f t="shared" si="3"/>
        <v>0</v>
      </c>
    </row>
    <row r="93" spans="2:25" x14ac:dyDescent="0.25">
      <c r="B93" s="12"/>
      <c r="C93" s="6" t="s">
        <v>14</v>
      </c>
      <c r="D93" s="6">
        <f t="shared" si="4"/>
        <v>87</v>
      </c>
      <c r="E93" s="15">
        <v>0</v>
      </c>
    </row>
    <row r="94" spans="2:25" x14ac:dyDescent="0.25">
      <c r="B94" s="6"/>
      <c r="C94" s="6" t="s">
        <v>14</v>
      </c>
      <c r="D94" s="6">
        <f t="shared" si="4"/>
        <v>88</v>
      </c>
      <c r="E94" s="14">
        <v>0</v>
      </c>
    </row>
    <row r="95" spans="2:25" x14ac:dyDescent="0.25">
      <c r="B95" s="12"/>
      <c r="C95" s="6" t="s">
        <v>14</v>
      </c>
      <c r="D95" s="6">
        <f t="shared" si="4"/>
        <v>89</v>
      </c>
      <c r="E95" s="15">
        <v>0</v>
      </c>
    </row>
  </sheetData>
  <mergeCells count="1">
    <mergeCell ref="S2:U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E5D6F-4882-4729-849B-F934D5BEC7E0}">
  <dimension ref="B3:Q113"/>
  <sheetViews>
    <sheetView topLeftCell="B73" workbookViewId="0">
      <selection activeCell="Q92" sqref="F92:Q92"/>
    </sheetView>
  </sheetViews>
  <sheetFormatPr defaultRowHeight="15" x14ac:dyDescent="0.25"/>
  <cols>
    <col min="2" max="2" width="91.5703125" bestFit="1" customWidth="1"/>
    <col min="3" max="3" width="19.85546875" bestFit="1" customWidth="1"/>
    <col min="5" max="6" width="10.28515625" bestFit="1" customWidth="1"/>
    <col min="8" max="8" width="9.28515625" bestFit="1" customWidth="1"/>
    <col min="10" max="10" width="9.28515625" bestFit="1" customWidth="1"/>
    <col min="11" max="12" width="9.28515625" customWidth="1"/>
    <col min="13" max="13" width="10.28515625" bestFit="1" customWidth="1"/>
    <col min="15" max="15" width="13.5703125" customWidth="1"/>
    <col min="16" max="17" width="10.28515625" bestFit="1" customWidth="1"/>
  </cols>
  <sheetData>
    <row r="3" spans="2:17" ht="39" x14ac:dyDescent="0.25">
      <c r="B3" s="1" t="s">
        <v>0</v>
      </c>
      <c r="C3" s="1" t="s">
        <v>119</v>
      </c>
      <c r="D3" s="1" t="s">
        <v>120</v>
      </c>
      <c r="E3" s="2" t="s">
        <v>1</v>
      </c>
      <c r="F3" s="2" t="s">
        <v>2</v>
      </c>
      <c r="G3" s="2" t="s">
        <v>3</v>
      </c>
      <c r="H3" s="2" t="s">
        <v>4</v>
      </c>
      <c r="I3" s="2" t="s">
        <v>5</v>
      </c>
      <c r="J3" s="98" t="s">
        <v>583</v>
      </c>
      <c r="K3" s="98" t="s">
        <v>584</v>
      </c>
      <c r="L3" s="98" t="s">
        <v>585</v>
      </c>
      <c r="M3" s="2" t="s">
        <v>9</v>
      </c>
      <c r="N3" s="2" t="s">
        <v>10</v>
      </c>
      <c r="O3" s="2" t="s">
        <v>11</v>
      </c>
      <c r="P3" s="2" t="s">
        <v>12</v>
      </c>
      <c r="Q3" s="2" t="s">
        <v>13</v>
      </c>
    </row>
    <row r="4" spans="2:17" x14ac:dyDescent="0.25">
      <c r="B4" s="1"/>
      <c r="C4" s="1"/>
      <c r="D4" s="1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</row>
    <row r="5" spans="2:17" x14ac:dyDescent="0.25">
      <c r="B5" s="1" t="s">
        <v>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2:17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x14ac:dyDescent="0.25">
      <c r="B7" s="16" t="str">
        <f>'Alloc Amt'!B7</f>
        <v>Ave. No. Cust.</v>
      </c>
      <c r="C7" s="16" t="str">
        <f>'Alloc Amt'!C7</f>
        <v>CUST_1</v>
      </c>
      <c r="D7" s="16">
        <f>'Alloc Amt'!D7</f>
        <v>1</v>
      </c>
      <c r="E7" s="17">
        <f>SUM(F7:Q7)</f>
        <v>1</v>
      </c>
      <c r="F7" s="17">
        <f>'Alloc Amt'!F7/'Alloc Amt'!$E7</f>
        <v>0.87891799466163856</v>
      </c>
      <c r="G7" s="17">
        <f>'Alloc Amt'!G7/'Alloc Amt'!$E7</f>
        <v>0.10575661141894484</v>
      </c>
      <c r="H7" s="17">
        <f>'Alloc Amt'!H7/'Alloc Amt'!$E7</f>
        <v>7.1004208590952616E-3</v>
      </c>
      <c r="I7" s="17">
        <f>'Alloc Amt'!I7/'Alloc Amt'!$E7</f>
        <v>7.3230700188121141E-4</v>
      </c>
      <c r="J7" s="17">
        <f>'Alloc Amt'!J7/'Alloc Amt'!$E7</f>
        <v>4.2355523743010687E-4</v>
      </c>
      <c r="K7" s="17">
        <f>'Alloc Amt'!K7/'Alloc Amt'!$E7</f>
        <v>1.7394465602879132E-6</v>
      </c>
      <c r="L7" s="17">
        <f>'Alloc Amt'!L7/'Alloc Amt'!$E7</f>
        <v>1.3480710842231328E-4</v>
      </c>
      <c r="M7" s="17">
        <f>'Alloc Amt'!M7/'Alloc Amt'!$E7</f>
        <v>8.0884265053387963E-5</v>
      </c>
      <c r="N7" s="17">
        <f>'Alloc Amt'!N7/'Alloc Amt'!$E7</f>
        <v>2.1743082003598914E-5</v>
      </c>
      <c r="O7" s="17">
        <f>'Alloc Amt'!O7/'Alloc Amt'!$E7</f>
        <v>1.3915572482303306E-5</v>
      </c>
      <c r="P7" s="17">
        <f>'Alloc Amt'!P7/'Alloc Amt'!$E7</f>
        <v>6.809063560247036E-3</v>
      </c>
      <c r="Q7" s="17">
        <f>'Alloc Amt'!Q7/'Alloc Amt'!$E7</f>
        <v>6.9577862411516528E-6</v>
      </c>
    </row>
    <row r="8" spans="2:17" x14ac:dyDescent="0.25">
      <c r="B8" s="16" t="str">
        <f>'Alloc Amt'!B8</f>
        <v>Ave. No. Cust Incl. RES &amp; SEC Only, No Sch 40</v>
      </c>
      <c r="C8" s="16" t="str">
        <f>'Alloc Amt'!C8</f>
        <v>CUST_2</v>
      </c>
      <c r="D8" s="16">
        <f>'Alloc Amt'!D8</f>
        <v>2</v>
      </c>
      <c r="E8" s="17">
        <f t="shared" ref="E8:E71" si="0">SUM(F8:Q8)</f>
        <v>1</v>
      </c>
      <c r="F8" s="17">
        <f>'Alloc Amt'!F8/'Alloc Amt'!$E8</f>
        <v>0.88555314868171076</v>
      </c>
      <c r="G8" s="17">
        <f>'Alloc Amt'!G8/'Alloc Amt'!$E8</f>
        <v>0.10655499239381129</v>
      </c>
      <c r="H8" s="17">
        <f>'Alloc Amt'!H8/'Alloc Amt'!$E8</f>
        <v>7.1540235686695132E-3</v>
      </c>
      <c r="I8" s="17">
        <f>'Alloc Amt'!I8/'Alloc Amt'!$E8</f>
        <v>7.3783535580839419E-4</v>
      </c>
      <c r="J8" s="17">
        <f>'Alloc Amt'!J8/'Alloc Amt'!$E8</f>
        <v>0</v>
      </c>
      <c r="K8" s="17">
        <f>'Alloc Amt'!K8/'Alloc Amt'!$E8</f>
        <v>0</v>
      </c>
      <c r="L8" s="17">
        <f>'Alloc Amt'!L8/'Alloc Amt'!$E8</f>
        <v>0</v>
      </c>
      <c r="M8" s="17">
        <f>'Alloc Amt'!M8/'Alloc Amt'!$E8</f>
        <v>0</v>
      </c>
      <c r="N8" s="17">
        <f>'Alloc Amt'!N8/'Alloc Amt'!$E8</f>
        <v>0</v>
      </c>
      <c r="O8" s="17">
        <f>'Alloc Amt'!O8/'Alloc Amt'!$E8</f>
        <v>0</v>
      </c>
      <c r="P8" s="17">
        <f>'Alloc Amt'!P8/'Alloc Amt'!$E8</f>
        <v>0</v>
      </c>
      <c r="Q8" s="17">
        <f>'Alloc Amt'!Q8/'Alloc Amt'!$E8</f>
        <v>0</v>
      </c>
    </row>
    <row r="9" spans="2:17" x14ac:dyDescent="0.25">
      <c r="B9" s="16" t="str">
        <f>'Alloc Amt'!B9</f>
        <v>Wtd. Ave. No. Cust. A/C 903 Customer Records Direct Assignment [NEEDS PROFORMA ADJUSTMENT]</v>
      </c>
      <c r="C9" s="16" t="str">
        <f>'Alloc Amt'!C9</f>
        <v>CUST_3</v>
      </c>
      <c r="D9" s="16">
        <f>'Alloc Amt'!D9</f>
        <v>3</v>
      </c>
      <c r="E9" s="17">
        <f t="shared" si="0"/>
        <v>0.99999999999999978</v>
      </c>
      <c r="F9" s="17">
        <f>'Alloc Amt'!F9/'Alloc Amt'!$E9</f>
        <v>0.85415776617976635</v>
      </c>
      <c r="G9" s="17">
        <f>'Alloc Amt'!G9/'Alloc Amt'!$E9</f>
        <v>0.10079256282734517</v>
      </c>
      <c r="H9" s="17">
        <f>'Alloc Amt'!H9/'Alloc Amt'!$E9</f>
        <v>9.1822218457507949E-3</v>
      </c>
      <c r="I9" s="17">
        <f>'Alloc Amt'!I9/'Alloc Amt'!$E9</f>
        <v>9.4889651996162908E-3</v>
      </c>
      <c r="J9" s="17">
        <f>'Alloc Amt'!J9/'Alloc Amt'!$E9</f>
        <v>7.1051849231838892E-3</v>
      </c>
      <c r="K9" s="17">
        <f>'Alloc Amt'!K9/'Alloc Amt'!$E9</f>
        <v>1.1309268713111472E-6</v>
      </c>
      <c r="L9" s="17">
        <f>'Alloc Amt'!L9/'Alloc Amt'!$E9</f>
        <v>5.8190104929613923E-4</v>
      </c>
      <c r="M9" s="17">
        <f>'Alloc Amt'!M9/'Alloc Amt'!$E9</f>
        <v>2.5853474589819054E-3</v>
      </c>
      <c r="N9" s="17">
        <f>'Alloc Amt'!N9/'Alloc Amt'!$E9</f>
        <v>4.1739886374340708E-3</v>
      </c>
      <c r="O9" s="17">
        <f>'Alloc Amt'!O9/'Alloc Amt'!$E9</f>
        <v>7.4567161198464127E-3</v>
      </c>
      <c r="P9" s="17">
        <f>'Alloc Amt'!P9/'Alloc Amt'!$E9</f>
        <v>4.4733610875329587E-3</v>
      </c>
      <c r="Q9" s="17">
        <f>'Alloc Amt'!Q9/'Alloc Amt'!$E9</f>
        <v>8.5374437449295518E-7</v>
      </c>
    </row>
    <row r="10" spans="2:17" x14ac:dyDescent="0.25">
      <c r="B10" s="16" t="str">
        <f>'Alloc Amt'!B10</f>
        <v>Meter Counts. A/C 902</v>
      </c>
      <c r="C10" s="16" t="str">
        <f>'Alloc Amt'!C10</f>
        <v>CUST_4</v>
      </c>
      <c r="D10" s="16">
        <f>'Alloc Amt'!D10</f>
        <v>4</v>
      </c>
      <c r="E10" s="17">
        <f t="shared" si="0"/>
        <v>1</v>
      </c>
      <c r="F10" s="17">
        <f>'Alloc Amt'!F10/'Alloc Amt'!$E10</f>
        <v>0.87912300645490304</v>
      </c>
      <c r="G10" s="17">
        <f>'Alloc Amt'!G10/'Alloc Amt'!$E10</f>
        <v>0.11191483519060683</v>
      </c>
      <c r="H10" s="17">
        <f>'Alloc Amt'!H10/'Alloc Amt'!$E10</f>
        <v>7.4509827331981915E-3</v>
      </c>
      <c r="I10" s="17">
        <f>'Alloc Amt'!I10/'Alloc Amt'!$E10</f>
        <v>7.530293869078635E-4</v>
      </c>
      <c r="J10" s="17">
        <f>'Alloc Amt'!J10/'Alloc Amt'!$E10</f>
        <v>4.5198819372725669E-4</v>
      </c>
      <c r="K10" s="17">
        <f>'Alloc Amt'!K10/'Alloc Amt'!$E10</f>
        <v>1.7056158253858743E-6</v>
      </c>
      <c r="L10" s="17">
        <f>'Alloc Amt'!L10/'Alloc Amt'!$E10</f>
        <v>1.35596458118177E-4</v>
      </c>
      <c r="M10" s="17">
        <f>'Alloc Amt'!M10/'Alloc Amt'!$E10</f>
        <v>8.4427983356600775E-5</v>
      </c>
      <c r="N10" s="17">
        <f>'Alloc Amt'!N10/'Alloc Amt'!$E10</f>
        <v>3.0701084856945739E-5</v>
      </c>
      <c r="O10" s="17">
        <f>'Alloc Amt'!O10/'Alloc Amt'!$E10</f>
        <v>4.690443519811154E-5</v>
      </c>
      <c r="P10" s="17">
        <f>'Alloc Amt'!P10/'Alloc Amt'!$E10</f>
        <v>0</v>
      </c>
      <c r="Q10" s="17">
        <f>'Alloc Amt'!Q10/'Alloc Amt'!$E10</f>
        <v>6.8224633015434971E-6</v>
      </c>
    </row>
    <row r="11" spans="2:17" x14ac:dyDescent="0.25">
      <c r="B11" s="16" t="str">
        <f>'Alloc Amt'!B11</f>
        <v>Direct Assignment Special Contract</v>
      </c>
      <c r="C11" s="16" t="str">
        <f>'Alloc Amt'!C11</f>
        <v>DIR_SC</v>
      </c>
      <c r="D11" s="16">
        <f>'Alloc Amt'!D11</f>
        <v>5</v>
      </c>
      <c r="E11" s="17">
        <f t="shared" si="0"/>
        <v>1</v>
      </c>
      <c r="F11" s="17">
        <f>'Alloc Amt'!F11/'Alloc Amt'!$E11</f>
        <v>0</v>
      </c>
      <c r="G11" s="17">
        <f>'Alloc Amt'!G11/'Alloc Amt'!$E11</f>
        <v>0</v>
      </c>
      <c r="H11" s="17">
        <f>'Alloc Amt'!H11/'Alloc Amt'!$E11</f>
        <v>0</v>
      </c>
      <c r="I11" s="17">
        <f>'Alloc Amt'!I11/'Alloc Amt'!$E11</f>
        <v>0</v>
      </c>
      <c r="J11" s="17">
        <f>'Alloc Amt'!J11/'Alloc Amt'!$E11</f>
        <v>0</v>
      </c>
      <c r="K11" s="17">
        <f>'Alloc Amt'!K11/'Alloc Amt'!$E11</f>
        <v>0</v>
      </c>
      <c r="L11" s="17">
        <f>'Alloc Amt'!L11/'Alloc Amt'!$E11</f>
        <v>0</v>
      </c>
      <c r="M11" s="17">
        <f>'Alloc Amt'!M11/'Alloc Amt'!$E11</f>
        <v>1</v>
      </c>
      <c r="N11" s="17">
        <f>'Alloc Amt'!N11/'Alloc Amt'!$E11</f>
        <v>0</v>
      </c>
      <c r="O11" s="17">
        <f>'Alloc Amt'!O11/'Alloc Amt'!$E11</f>
        <v>0</v>
      </c>
      <c r="P11" s="17">
        <f>'Alloc Amt'!P11/'Alloc Amt'!$E11</f>
        <v>0</v>
      </c>
      <c r="Q11" s="17">
        <f>'Alloc Amt'!Q11/'Alloc Amt'!$E11</f>
        <v>0</v>
      </c>
    </row>
    <row r="12" spans="2:17" x14ac:dyDescent="0.25">
      <c r="B12" s="16" t="str">
        <f>'Alloc Amt'!B12</f>
        <v>Schedule 449 / 459 Retail Revenue</v>
      </c>
      <c r="C12" s="16" t="str">
        <f>'Alloc Amt'!C12</f>
        <v>DIR_449</v>
      </c>
      <c r="D12" s="16">
        <f>'Alloc Amt'!D12</f>
        <v>6</v>
      </c>
      <c r="E12" s="17">
        <f t="shared" si="0"/>
        <v>1</v>
      </c>
      <c r="F12" s="17">
        <f>'Alloc Amt'!F12/'Alloc Amt'!$E12</f>
        <v>0</v>
      </c>
      <c r="G12" s="17">
        <f>'Alloc Amt'!G12/'Alloc Amt'!$E12</f>
        <v>0</v>
      </c>
      <c r="H12" s="17">
        <f>'Alloc Amt'!H12/'Alloc Amt'!$E12</f>
        <v>0</v>
      </c>
      <c r="I12" s="17">
        <f>'Alloc Amt'!I12/'Alloc Amt'!$E12</f>
        <v>0</v>
      </c>
      <c r="J12" s="17">
        <f>'Alloc Amt'!J12/'Alloc Amt'!$E12</f>
        <v>0</v>
      </c>
      <c r="K12" s="17">
        <f>'Alloc Amt'!K12/'Alloc Amt'!$E12</f>
        <v>0</v>
      </c>
      <c r="L12" s="17">
        <f>'Alloc Amt'!L12/'Alloc Amt'!$E12</f>
        <v>0</v>
      </c>
      <c r="M12" s="17">
        <f>'Alloc Amt'!M12/'Alloc Amt'!$E12</f>
        <v>0</v>
      </c>
      <c r="N12" s="17">
        <f>'Alloc Amt'!N12/'Alloc Amt'!$E12</f>
        <v>0</v>
      </c>
      <c r="O12" s="17">
        <f>'Alloc Amt'!O12/'Alloc Amt'!$E12</f>
        <v>1</v>
      </c>
      <c r="P12" s="17">
        <f>'Alloc Amt'!P12/'Alloc Amt'!$E12</f>
        <v>0</v>
      </c>
      <c r="Q12" s="17">
        <f>'Alloc Amt'!Q12/'Alloc Amt'!$E12</f>
        <v>0</v>
      </c>
    </row>
    <row r="13" spans="2:17" x14ac:dyDescent="0.25">
      <c r="B13" s="16" t="str">
        <f>'Alloc Amt'!B13</f>
        <v>Transportation OATT Revenue</v>
      </c>
      <c r="C13" s="16" t="str">
        <f>'Alloc Amt'!C13</f>
        <v>DIR_449_OATT</v>
      </c>
      <c r="D13" s="16">
        <f>'Alloc Amt'!D13</f>
        <v>7</v>
      </c>
      <c r="E13" s="17">
        <f t="shared" si="0"/>
        <v>1</v>
      </c>
      <c r="F13" s="17">
        <f>'Alloc Amt'!F13/'Alloc Amt'!$E13</f>
        <v>0</v>
      </c>
      <c r="G13" s="17">
        <f>'Alloc Amt'!G13/'Alloc Amt'!$E13</f>
        <v>0</v>
      </c>
      <c r="H13" s="17">
        <f>'Alloc Amt'!H13/'Alloc Amt'!$E13</f>
        <v>0</v>
      </c>
      <c r="I13" s="17">
        <f>'Alloc Amt'!I13/'Alloc Amt'!$E13</f>
        <v>0</v>
      </c>
      <c r="J13" s="17">
        <f>'Alloc Amt'!J13/'Alloc Amt'!$E13</f>
        <v>0</v>
      </c>
      <c r="K13" s="17">
        <f>'Alloc Amt'!K13/'Alloc Amt'!$E13</f>
        <v>0</v>
      </c>
      <c r="L13" s="17">
        <f>'Alloc Amt'!L13/'Alloc Amt'!$E13</f>
        <v>0</v>
      </c>
      <c r="M13" s="17">
        <f>'Alloc Amt'!M13/'Alloc Amt'!$E13</f>
        <v>0</v>
      </c>
      <c r="N13" s="17">
        <f>'Alloc Amt'!N13/'Alloc Amt'!$E13</f>
        <v>0</v>
      </c>
      <c r="O13" s="17">
        <f>'Alloc Amt'!O13/'Alloc Amt'!$E13</f>
        <v>1</v>
      </c>
      <c r="P13" s="17">
        <f>'Alloc Amt'!P13/'Alloc Amt'!$E13</f>
        <v>0</v>
      </c>
      <c r="Q13" s="17">
        <f>'Alloc Amt'!Q13/'Alloc Amt'!$E13</f>
        <v>0</v>
      </c>
    </row>
    <row r="14" spans="2:17" x14ac:dyDescent="0.25">
      <c r="B14" s="16" t="str">
        <f>'Alloc Amt'!B14</f>
        <v>Small Firm Resale Allocation Only</v>
      </c>
      <c r="C14" s="16" t="str">
        <f>'Alloc Amt'!C14</f>
        <v>DIR_RESALE_SMALL</v>
      </c>
      <c r="D14" s="16">
        <f>'Alloc Amt'!D14</f>
        <v>8</v>
      </c>
      <c r="E14" s="17">
        <f t="shared" si="0"/>
        <v>1</v>
      </c>
      <c r="F14" s="17">
        <f>'Alloc Amt'!F14/'Alloc Amt'!$E14</f>
        <v>0</v>
      </c>
      <c r="G14" s="17">
        <f>'Alloc Amt'!G14/'Alloc Amt'!$E14</f>
        <v>0</v>
      </c>
      <c r="H14" s="17">
        <f>'Alloc Amt'!H14/'Alloc Amt'!$E14</f>
        <v>0</v>
      </c>
      <c r="I14" s="17">
        <f>'Alloc Amt'!I14/'Alloc Amt'!$E14</f>
        <v>0</v>
      </c>
      <c r="J14" s="17">
        <f>'Alloc Amt'!J14/'Alloc Amt'!$E14</f>
        <v>0</v>
      </c>
      <c r="K14" s="17">
        <f>'Alloc Amt'!K14/'Alloc Amt'!$E14</f>
        <v>0</v>
      </c>
      <c r="L14" s="17">
        <f>'Alloc Amt'!L14/'Alloc Amt'!$E14</f>
        <v>0</v>
      </c>
      <c r="M14" s="17">
        <f>'Alloc Amt'!M14/'Alloc Amt'!$E14</f>
        <v>0</v>
      </c>
      <c r="N14" s="17">
        <f>'Alloc Amt'!N14/'Alloc Amt'!$E14</f>
        <v>0</v>
      </c>
      <c r="O14" s="17">
        <f>'Alloc Amt'!O14/'Alloc Amt'!$E14</f>
        <v>0</v>
      </c>
      <c r="P14" s="17">
        <f>'Alloc Amt'!P14/'Alloc Amt'!$E14</f>
        <v>0</v>
      </c>
      <c r="Q14" s="17">
        <f>'Alloc Amt'!Q14/'Alloc Amt'!$E14</f>
        <v>1</v>
      </c>
    </row>
    <row r="15" spans="2:17" x14ac:dyDescent="0.25">
      <c r="B15" s="16" t="str">
        <f>'Alloc Amt'!B15</f>
        <v>Customer Deposits</v>
      </c>
      <c r="C15" s="16" t="str">
        <f>'Alloc Amt'!C15</f>
        <v>DIR235.00</v>
      </c>
      <c r="D15" s="16">
        <f>'Alloc Amt'!D15</f>
        <v>9</v>
      </c>
      <c r="E15" s="17">
        <f t="shared" si="0"/>
        <v>1</v>
      </c>
      <c r="F15" s="17">
        <f>'Alloc Amt'!F15/'Alloc Amt'!$E15</f>
        <v>0.893896279793293</v>
      </c>
      <c r="G15" s="17">
        <f>'Alloc Amt'!G15/'Alloc Amt'!$E15</f>
        <v>7.2180048419793794E-2</v>
      </c>
      <c r="H15" s="17">
        <f>'Alloc Amt'!H15/'Alloc Amt'!$E15</f>
        <v>2.4703141651805479E-2</v>
      </c>
      <c r="I15" s="17">
        <f>'Alloc Amt'!I15/'Alloc Amt'!$E15</f>
        <v>6.5614628541933694E-3</v>
      </c>
      <c r="J15" s="17">
        <f>'Alloc Amt'!J15/'Alloc Amt'!$E15</f>
        <v>2.228861196584807E-3</v>
      </c>
      <c r="K15" s="17">
        <f>'Alloc Amt'!K15/'Alloc Amt'!$E15</f>
        <v>0</v>
      </c>
      <c r="L15" s="17">
        <f>'Alloc Amt'!L15/'Alloc Amt'!$E15</f>
        <v>0</v>
      </c>
      <c r="M15" s="17">
        <f>'Alloc Amt'!M15/'Alloc Amt'!$E15</f>
        <v>0</v>
      </c>
      <c r="N15" s="17">
        <f>'Alloc Amt'!N15/'Alloc Amt'!$E15</f>
        <v>0</v>
      </c>
      <c r="O15" s="17">
        <f>'Alloc Amt'!O15/'Alloc Amt'!$E15</f>
        <v>0</v>
      </c>
      <c r="P15" s="17">
        <f>'Alloc Amt'!P15/'Alloc Amt'!$E15</f>
        <v>4.3020608432964432E-4</v>
      </c>
      <c r="Q15" s="17">
        <f>'Alloc Amt'!Q15/'Alloc Amt'!$E15</f>
        <v>0</v>
      </c>
    </row>
    <row r="16" spans="2:17" x14ac:dyDescent="0.25">
      <c r="B16" s="16" t="str">
        <f>'Alloc Amt'!B16</f>
        <v>Customer Advances</v>
      </c>
      <c r="C16" s="16" t="str">
        <f>'Alloc Amt'!C16</f>
        <v>DIR252.00</v>
      </c>
      <c r="D16" s="16">
        <f>'Alloc Amt'!D16</f>
        <v>10</v>
      </c>
      <c r="E16" s="17">
        <f t="shared" si="0"/>
        <v>1</v>
      </c>
      <c r="F16" s="17">
        <f>'Alloc Amt'!F16/'Alloc Amt'!$E16</f>
        <v>0.4286586223232956</v>
      </c>
      <c r="G16" s="17">
        <f>'Alloc Amt'!G16/'Alloc Amt'!$E16</f>
        <v>0.53194365289525514</v>
      </c>
      <c r="H16" s="17">
        <f>'Alloc Amt'!H16/'Alloc Amt'!$E16</f>
        <v>3.5714304365506537E-2</v>
      </c>
      <c r="I16" s="17">
        <f>'Alloc Amt'!I16/'Alloc Amt'!$E16</f>
        <v>3.6834204159427362E-3</v>
      </c>
      <c r="J16" s="17">
        <f>'Alloc Amt'!J16/'Alloc Amt'!$E16</f>
        <v>0</v>
      </c>
      <c r="K16" s="17">
        <f>'Alloc Amt'!K16/'Alloc Amt'!$E16</f>
        <v>0</v>
      </c>
      <c r="L16" s="17">
        <f>'Alloc Amt'!L16/'Alloc Amt'!$E16</f>
        <v>0</v>
      </c>
      <c r="M16" s="17">
        <f>'Alloc Amt'!M16/'Alloc Amt'!$E16</f>
        <v>0</v>
      </c>
      <c r="N16" s="17">
        <f>'Alloc Amt'!N16/'Alloc Amt'!$E16</f>
        <v>0</v>
      </c>
      <c r="O16" s="17">
        <f>'Alloc Amt'!O16/'Alloc Amt'!$E16</f>
        <v>0</v>
      </c>
      <c r="P16" s="17">
        <f>'Alloc Amt'!P16/'Alloc Amt'!$E16</f>
        <v>0</v>
      </c>
      <c r="Q16" s="17">
        <f>'Alloc Amt'!Q16/'Alloc Amt'!$E16</f>
        <v>0</v>
      </c>
    </row>
    <row r="17" spans="2:17" x14ac:dyDescent="0.25">
      <c r="B17" s="16" t="str">
        <f>'Alloc Amt'!B17</f>
        <v>Line Transformers - Customer Related</v>
      </c>
      <c r="C17" s="16" t="str">
        <f>'Alloc Amt'!C17</f>
        <v>DIR368.03C</v>
      </c>
      <c r="D17" s="16">
        <f>'Alloc Amt'!D17</f>
        <v>11</v>
      </c>
      <c r="E17" s="17">
        <f t="shared" si="0"/>
        <v>1</v>
      </c>
      <c r="F17" s="17">
        <f>'Alloc Amt'!F17/'Alloc Amt'!$E17</f>
        <v>0</v>
      </c>
      <c r="G17" s="17">
        <f>'Alloc Amt'!G17/'Alloc Amt'!$E17</f>
        <v>0</v>
      </c>
      <c r="H17" s="17">
        <f>'Alloc Amt'!H17/'Alloc Amt'!$E17</f>
        <v>0</v>
      </c>
      <c r="I17" s="17">
        <f>'Alloc Amt'!I17/'Alloc Amt'!$E17</f>
        <v>0</v>
      </c>
      <c r="J17" s="17">
        <f>'Alloc Amt'!J17/'Alloc Amt'!$E17</f>
        <v>0.33092018566195119</v>
      </c>
      <c r="K17" s="17">
        <f>'Alloc Amt'!K17/'Alloc Amt'!$E17</f>
        <v>0</v>
      </c>
      <c r="L17" s="17">
        <f>'Alloc Amt'!L17/'Alloc Amt'!$E17</f>
        <v>1.8965522328649013E-2</v>
      </c>
      <c r="M17" s="17">
        <f>'Alloc Amt'!M17/'Alloc Amt'!$E17</f>
        <v>0.64232845664819072</v>
      </c>
      <c r="N17" s="17">
        <f>'Alloc Amt'!N17/'Alloc Amt'!$E17</f>
        <v>0</v>
      </c>
      <c r="O17" s="17">
        <f>'Alloc Amt'!O17/'Alloc Amt'!$E17</f>
        <v>0</v>
      </c>
      <c r="P17" s="17">
        <f>'Alloc Amt'!P17/'Alloc Amt'!$E17</f>
        <v>0</v>
      </c>
      <c r="Q17" s="17">
        <f>'Alloc Amt'!Q17/'Alloc Amt'!$E17</f>
        <v>7.7858353612091195E-3</v>
      </c>
    </row>
    <row r="18" spans="2:17" x14ac:dyDescent="0.25">
      <c r="B18" s="16" t="str">
        <f>'Alloc Amt'!B18</f>
        <v>Str. &amp; Signal Systems</v>
      </c>
      <c r="C18" s="16" t="str">
        <f>'Alloc Amt'!C18</f>
        <v>DIR373.00</v>
      </c>
      <c r="D18" s="16">
        <f>'Alloc Amt'!D18</f>
        <v>12</v>
      </c>
      <c r="E18" s="17">
        <f t="shared" si="0"/>
        <v>1</v>
      </c>
      <c r="F18" s="17">
        <f>'Alloc Amt'!F18/'Alloc Amt'!$E18</f>
        <v>0</v>
      </c>
      <c r="G18" s="17">
        <f>'Alloc Amt'!G18/'Alloc Amt'!$E18</f>
        <v>0</v>
      </c>
      <c r="H18" s="17">
        <f>'Alloc Amt'!H18/'Alloc Amt'!$E18</f>
        <v>0</v>
      </c>
      <c r="I18" s="17">
        <f>'Alloc Amt'!I18/'Alloc Amt'!$E18</f>
        <v>0</v>
      </c>
      <c r="J18" s="17">
        <f>'Alloc Amt'!J18/'Alloc Amt'!$E18</f>
        <v>0</v>
      </c>
      <c r="K18" s="17">
        <f>'Alloc Amt'!K18/'Alloc Amt'!$E18</f>
        <v>0</v>
      </c>
      <c r="L18" s="17">
        <f>'Alloc Amt'!L18/'Alloc Amt'!$E18</f>
        <v>0</v>
      </c>
      <c r="M18" s="17">
        <f>'Alloc Amt'!M18/'Alloc Amt'!$E18</f>
        <v>0</v>
      </c>
      <c r="N18" s="17">
        <f>'Alloc Amt'!N18/'Alloc Amt'!$E18</f>
        <v>0</v>
      </c>
      <c r="O18" s="17">
        <f>'Alloc Amt'!O18/'Alloc Amt'!$E18</f>
        <v>0</v>
      </c>
      <c r="P18" s="17">
        <f>'Alloc Amt'!P18/'Alloc Amt'!$E18</f>
        <v>1</v>
      </c>
      <c r="Q18" s="17">
        <f>'Alloc Amt'!Q18/'Alloc Amt'!$E18</f>
        <v>0</v>
      </c>
    </row>
    <row r="19" spans="2:17" x14ac:dyDescent="0.25">
      <c r="B19" s="16" t="str">
        <f>'Alloc Amt'!B19</f>
        <v>Late Payment Interest Rev</v>
      </c>
      <c r="C19" s="16" t="str">
        <f>'Alloc Amt'!C19</f>
        <v>DIR450.01</v>
      </c>
      <c r="D19" s="16">
        <f>'Alloc Amt'!D19</f>
        <v>13</v>
      </c>
      <c r="E19" s="17">
        <f t="shared" si="0"/>
        <v>0.99999999999999989</v>
      </c>
      <c r="F19" s="17">
        <f>'Alloc Amt'!F19/'Alloc Amt'!$E19</f>
        <v>0.78186295497184166</v>
      </c>
      <c r="G19" s="17">
        <f>'Alloc Amt'!G19/'Alloc Amt'!$E19</f>
        <v>0.11470982668073583</v>
      </c>
      <c r="H19" s="17">
        <f>'Alloc Amt'!H19/'Alloc Amt'!$E19</f>
        <v>4.2290701416988451E-2</v>
      </c>
      <c r="I19" s="17">
        <f>'Alloc Amt'!I19/'Alloc Amt'!$E19</f>
        <v>1.1147434345394995E-2</v>
      </c>
      <c r="J19" s="17">
        <f>'Alloc Amt'!J19/'Alloc Amt'!$E19</f>
        <v>9.3693768270235334E-3</v>
      </c>
      <c r="K19" s="17">
        <f>'Alloc Amt'!K19/'Alloc Amt'!$E19</f>
        <v>0</v>
      </c>
      <c r="L19" s="17">
        <f>'Alloc Amt'!L19/'Alloc Amt'!$E19</f>
        <v>6.6531897656732655E-5</v>
      </c>
      <c r="M19" s="17">
        <f>'Alloc Amt'!M19/'Alloc Amt'!$E19</f>
        <v>0</v>
      </c>
      <c r="N19" s="17">
        <f>'Alloc Amt'!N19/'Alloc Amt'!$E19</f>
        <v>1.2871713416445587E-3</v>
      </c>
      <c r="O19" s="17">
        <f>'Alloc Amt'!O19/'Alloc Amt'!$E19</f>
        <v>9.261773785028606E-4</v>
      </c>
      <c r="P19" s="17">
        <f>'Alloc Amt'!P19/'Alloc Amt'!$E19</f>
        <v>3.8323346339908901E-2</v>
      </c>
      <c r="Q19" s="17">
        <f>'Alloc Amt'!Q19/'Alloc Amt'!$E19</f>
        <v>1.6478800302392702E-5</v>
      </c>
    </row>
    <row r="20" spans="2:17" x14ac:dyDescent="0.25">
      <c r="B20" s="16" t="str">
        <f>'Alloc Amt'!B20</f>
        <v>Direct Assign  Disconnect Call - A/C 450.02</v>
      </c>
      <c r="C20" s="16" t="str">
        <f>'Alloc Amt'!C20</f>
        <v>DIR450.02</v>
      </c>
      <c r="D20" s="16">
        <f>'Alloc Amt'!D20</f>
        <v>14</v>
      </c>
      <c r="E20" s="17">
        <f t="shared" si="0"/>
        <v>0.99999999999999989</v>
      </c>
      <c r="F20" s="17">
        <f>'Alloc Amt'!F20/'Alloc Amt'!$E20</f>
        <v>0.94011627601407</v>
      </c>
      <c r="G20" s="17">
        <f>'Alloc Amt'!G20/'Alloc Amt'!$E20</f>
        <v>5.8247017381308698E-2</v>
      </c>
      <c r="H20" s="17">
        <f>'Alloc Amt'!H20/'Alloc Amt'!$E20</f>
        <v>1.2504370070590448E-3</v>
      </c>
      <c r="I20" s="17">
        <f>'Alloc Amt'!I20/'Alloc Amt'!$E20</f>
        <v>8.5042634348523691E-5</v>
      </c>
      <c r="J20" s="17">
        <f>'Alloc Amt'!J20/'Alloc Amt'!$E20</f>
        <v>0</v>
      </c>
      <c r="K20" s="17">
        <f>'Alloc Amt'!K20/'Alloc Amt'!$E20</f>
        <v>0</v>
      </c>
      <c r="L20" s="17">
        <f>'Alloc Amt'!L20/'Alloc Amt'!$E20</f>
        <v>0</v>
      </c>
      <c r="M20" s="17">
        <f>'Alloc Amt'!M20/'Alloc Amt'!$E20</f>
        <v>0</v>
      </c>
      <c r="N20" s="17">
        <f>'Alloc Amt'!N20/'Alloc Amt'!$E20</f>
        <v>0</v>
      </c>
      <c r="O20" s="17">
        <f>'Alloc Amt'!O20/'Alloc Amt'!$E20</f>
        <v>0</v>
      </c>
      <c r="P20" s="17">
        <f>'Alloc Amt'!P20/'Alloc Amt'!$E20</f>
        <v>3.0122696321364646E-4</v>
      </c>
      <c r="Q20" s="17">
        <f>'Alloc Amt'!Q20/'Alloc Amt'!$E20</f>
        <v>0</v>
      </c>
    </row>
    <row r="21" spans="2:17" x14ac:dyDescent="0.25">
      <c r="B21" s="16" t="str">
        <f>'Alloc Amt'!B21</f>
        <v>Connect/Reconnect Revenue</v>
      </c>
      <c r="C21" s="16" t="str">
        <f>'Alloc Amt'!C21</f>
        <v>DIR451.02</v>
      </c>
      <c r="D21" s="16">
        <f>'Alloc Amt'!D21</f>
        <v>15</v>
      </c>
      <c r="E21" s="17">
        <f t="shared" si="0"/>
        <v>1</v>
      </c>
      <c r="F21" s="17">
        <f>'Alloc Amt'!F21/'Alloc Amt'!$E21</f>
        <v>0.9767889548549169</v>
      </c>
      <c r="G21" s="17">
        <f>'Alloc Amt'!G21/'Alloc Amt'!$E21</f>
        <v>2.2722889444232744E-2</v>
      </c>
      <c r="H21" s="17">
        <f>'Alloc Amt'!H21/'Alloc Amt'!$E21</f>
        <v>4.8815570085043188E-4</v>
      </c>
      <c r="I21" s="17">
        <f>'Alloc Amt'!I21/'Alloc Amt'!$E21</f>
        <v>0</v>
      </c>
      <c r="J21" s="17">
        <f>'Alloc Amt'!J21/'Alloc Amt'!$E21</f>
        <v>0</v>
      </c>
      <c r="K21" s="17">
        <f>'Alloc Amt'!K21/'Alloc Amt'!$E21</f>
        <v>0</v>
      </c>
      <c r="L21" s="17">
        <f>'Alloc Amt'!L21/'Alloc Amt'!$E21</f>
        <v>0</v>
      </c>
      <c r="M21" s="17">
        <f>'Alloc Amt'!M21/'Alloc Amt'!$E21</f>
        <v>0</v>
      </c>
      <c r="N21" s="17">
        <f>'Alloc Amt'!N21/'Alloc Amt'!$E21</f>
        <v>0</v>
      </c>
      <c r="O21" s="17">
        <f>'Alloc Amt'!O21/'Alloc Amt'!$E21</f>
        <v>0</v>
      </c>
      <c r="P21" s="17">
        <f>'Alloc Amt'!P21/'Alloc Amt'!$E21</f>
        <v>0</v>
      </c>
      <c r="Q21" s="17">
        <f>'Alloc Amt'!Q21/'Alloc Amt'!$E21</f>
        <v>0</v>
      </c>
    </row>
    <row r="22" spans="2:17" x14ac:dyDescent="0.25">
      <c r="B22" s="16" t="str">
        <f>'Alloc Amt'!B22</f>
        <v>Billing Initiation Charge</v>
      </c>
      <c r="C22" s="16" t="str">
        <f>'Alloc Amt'!C22</f>
        <v>DIR451.05</v>
      </c>
      <c r="D22" s="16">
        <f>'Alloc Amt'!D22</f>
        <v>16</v>
      </c>
      <c r="E22" s="17">
        <f t="shared" si="0"/>
        <v>0.99999999999999989</v>
      </c>
      <c r="F22" s="17">
        <f>'Alloc Amt'!F22/'Alloc Amt'!$E22</f>
        <v>0.91515009949966963</v>
      </c>
      <c r="G22" s="17">
        <f>'Alloc Amt'!G22/'Alloc Amt'!$E22</f>
        <v>8.2103481906014422E-2</v>
      </c>
      <c r="H22" s="17">
        <f>'Alloc Amt'!H22/'Alloc Amt'!$E22</f>
        <v>2.4823827627927226E-3</v>
      </c>
      <c r="I22" s="17">
        <f>'Alloc Amt'!I22/'Alloc Amt'!$E22</f>
        <v>1.7960198329893611E-4</v>
      </c>
      <c r="J22" s="17">
        <f>'Alloc Amt'!J22/'Alloc Amt'!$E22</f>
        <v>8.3427508831894302E-5</v>
      </c>
      <c r="K22" s="17">
        <f>'Alloc Amt'!K22/'Alloc Amt'!$E22</f>
        <v>0</v>
      </c>
      <c r="L22" s="17">
        <f>'Alloc Amt'!L22/'Alloc Amt'!$E22</f>
        <v>0</v>
      </c>
      <c r="M22" s="17">
        <f>'Alloc Amt'!M22/'Alloc Amt'!$E22</f>
        <v>0</v>
      </c>
      <c r="N22" s="17">
        <f>'Alloc Amt'!N22/'Alloc Amt'!$E22</f>
        <v>1.0063393922484885E-6</v>
      </c>
      <c r="O22" s="17">
        <f>'Alloc Amt'!O22/'Alloc Amt'!$E22</f>
        <v>0</v>
      </c>
      <c r="P22" s="17">
        <f>'Alloc Amt'!P22/'Alloc Amt'!$E22</f>
        <v>0</v>
      </c>
      <c r="Q22" s="17">
        <f>'Alloc Amt'!Q22/'Alloc Amt'!$E22</f>
        <v>0</v>
      </c>
    </row>
    <row r="23" spans="2:17" x14ac:dyDescent="0.25">
      <c r="B23" s="16" t="str">
        <f>'Alloc Amt'!B23</f>
        <v>NSF Check Charge Revenue</v>
      </c>
      <c r="C23" s="16" t="str">
        <f>'Alloc Amt'!C23</f>
        <v>DIR451.06</v>
      </c>
      <c r="D23" s="16">
        <f>'Alloc Amt'!D23</f>
        <v>17</v>
      </c>
      <c r="E23" s="17">
        <f t="shared" si="0"/>
        <v>0.99999999999999989</v>
      </c>
      <c r="F23" s="17">
        <f>'Alloc Amt'!F23/'Alloc Amt'!$E23</f>
        <v>0.656151494115645</v>
      </c>
      <c r="G23" s="17">
        <f>'Alloc Amt'!G23/'Alloc Amt'!$E23</f>
        <v>0.24904718558474845</v>
      </c>
      <c r="H23" s="17">
        <f>'Alloc Amt'!H23/'Alloc Amt'!$E23</f>
        <v>9.2392948498051158E-2</v>
      </c>
      <c r="I23" s="17">
        <f>'Alloc Amt'!I23/'Alloc Amt'!$E23</f>
        <v>0</v>
      </c>
      <c r="J23" s="17">
        <f>'Alloc Amt'!J23/'Alloc Amt'!$E23</f>
        <v>0</v>
      </c>
      <c r="K23" s="17">
        <f>'Alloc Amt'!K23/'Alloc Amt'!$E23</f>
        <v>0</v>
      </c>
      <c r="L23" s="17">
        <f>'Alloc Amt'!L23/'Alloc Amt'!$E23</f>
        <v>0</v>
      </c>
      <c r="M23" s="17">
        <f>'Alloc Amt'!M23/'Alloc Amt'!$E23</f>
        <v>0</v>
      </c>
      <c r="N23" s="17">
        <f>'Alloc Amt'!N23/'Alloc Amt'!$E23</f>
        <v>0</v>
      </c>
      <c r="O23" s="17">
        <f>'Alloc Amt'!O23/'Alloc Amt'!$E23</f>
        <v>0</v>
      </c>
      <c r="P23" s="17">
        <f>'Alloc Amt'!P23/'Alloc Amt'!$E23</f>
        <v>2.4083718015552955E-3</v>
      </c>
      <c r="Q23" s="17">
        <f>'Alloc Amt'!Q23/'Alloc Amt'!$E23</f>
        <v>0</v>
      </c>
    </row>
    <row r="24" spans="2:17" x14ac:dyDescent="0.25">
      <c r="B24" s="16" t="str">
        <f>'Alloc Amt'!B24</f>
        <v>Direct Assign 904 Uncollectibles</v>
      </c>
      <c r="C24" s="16" t="str">
        <f>'Alloc Amt'!C24</f>
        <v>DIR904.00</v>
      </c>
      <c r="D24" s="16">
        <f>'Alloc Amt'!D24</f>
        <v>18</v>
      </c>
      <c r="E24" s="17">
        <f t="shared" si="0"/>
        <v>0.99999999999999989</v>
      </c>
      <c r="F24" s="17">
        <f>'Alloc Amt'!F24/'Alloc Amt'!$E24</f>
        <v>0.8853825160025196</v>
      </c>
      <c r="G24" s="17">
        <f>'Alloc Amt'!G24/'Alloc Amt'!$E24</f>
        <v>6.3687275902134882E-2</v>
      </c>
      <c r="H24" s="17">
        <f>'Alloc Amt'!H24/'Alloc Amt'!$E24</f>
        <v>1.0297212766650366E-2</v>
      </c>
      <c r="I24" s="17">
        <f>'Alloc Amt'!I24/'Alloc Amt'!$E24</f>
        <v>1.6076706083042191E-2</v>
      </c>
      <c r="J24" s="17">
        <f>'Alloc Amt'!J24/'Alloc Amt'!$E24</f>
        <v>2.2008554317511406E-2</v>
      </c>
      <c r="K24" s="17">
        <f>'Alloc Amt'!K24/'Alloc Amt'!$E24</f>
        <v>0</v>
      </c>
      <c r="L24" s="17">
        <f>'Alloc Amt'!L24/'Alloc Amt'!$E24</f>
        <v>0</v>
      </c>
      <c r="M24" s="17">
        <f>'Alloc Amt'!M24/'Alloc Amt'!$E24</f>
        <v>0</v>
      </c>
      <c r="N24" s="17">
        <f>'Alloc Amt'!N24/'Alloc Amt'!$E24</f>
        <v>0</v>
      </c>
      <c r="O24" s="17">
        <f>'Alloc Amt'!O24/'Alloc Amt'!$E24</f>
        <v>0</v>
      </c>
      <c r="P24" s="17">
        <f>'Alloc Amt'!P24/'Alloc Amt'!$E24</f>
        <v>2.5477349281414732E-3</v>
      </c>
      <c r="Q24" s="17">
        <f>'Alloc Amt'!Q24/'Alloc Amt'!$E24</f>
        <v>0</v>
      </c>
    </row>
    <row r="25" spans="2:17" x14ac:dyDescent="0.25">
      <c r="B25" s="16" t="str">
        <f>'Alloc Amt'!B25</f>
        <v>Meter Investment</v>
      </c>
      <c r="C25" s="16" t="str">
        <f>'Alloc Amt'!C25</f>
        <v>METER</v>
      </c>
      <c r="D25" s="16">
        <f>'Alloc Amt'!D25</f>
        <v>19</v>
      </c>
      <c r="E25" s="17">
        <f t="shared" si="0"/>
        <v>1</v>
      </c>
      <c r="F25" s="17">
        <f>'Alloc Amt'!F25/'Alloc Amt'!$E25</f>
        <v>0.64922596597539906</v>
      </c>
      <c r="G25" s="17">
        <f>'Alloc Amt'!G25/'Alloc Amt'!$E25</f>
        <v>0.18222827816849618</v>
      </c>
      <c r="H25" s="17">
        <f>'Alloc Amt'!H25/'Alloc Amt'!$E25</f>
        <v>5.3855034276632484E-2</v>
      </c>
      <c r="I25" s="17">
        <f>'Alloc Amt'!I25/'Alloc Amt'!$E25</f>
        <v>6.0528439085588354E-3</v>
      </c>
      <c r="J25" s="17">
        <f>'Alloc Amt'!J25/'Alloc Amt'!$E25</f>
        <v>7.2499760370043104E-2</v>
      </c>
      <c r="K25" s="17">
        <f>'Alloc Amt'!K25/'Alloc Amt'!$E25</f>
        <v>2.3506706645110047E-4</v>
      </c>
      <c r="L25" s="17">
        <f>'Alloc Amt'!L25/'Alloc Amt'!$E25</f>
        <v>2.3430594920694079E-2</v>
      </c>
      <c r="M25" s="17">
        <f>'Alloc Amt'!M25/'Alloc Amt'!$E25</f>
        <v>4.7388718767973573E-3</v>
      </c>
      <c r="N25" s="17">
        <f>'Alloc Amt'!N25/'Alloc Amt'!$E25</f>
        <v>2.9428281467111998E-3</v>
      </c>
      <c r="O25" s="17">
        <f>'Alloc Amt'!O25/'Alloc Amt'!$E25</f>
        <v>4.7379279512920367E-3</v>
      </c>
      <c r="P25" s="17">
        <f>'Alloc Amt'!P25/'Alloc Amt'!$E25</f>
        <v>0</v>
      </c>
      <c r="Q25" s="17">
        <f>'Alloc Amt'!Q25/'Alloc Amt'!$E25</f>
        <v>5.2827338924457138E-5</v>
      </c>
    </row>
    <row r="26" spans="2:17" x14ac:dyDescent="0.25">
      <c r="B26" s="16" t="str">
        <f>'Alloc Amt'!B26</f>
        <v>Dist OH Services (Sec Voltage Only)</v>
      </c>
      <c r="C26" s="16" t="str">
        <f>'Alloc Amt'!C26</f>
        <v>OH_SVC</v>
      </c>
      <c r="D26" s="16">
        <f>'Alloc Amt'!D26</f>
        <v>20</v>
      </c>
      <c r="E26" s="17">
        <f t="shared" si="0"/>
        <v>1</v>
      </c>
      <c r="F26" s="17">
        <f>'Alloc Amt'!F26/'Alloc Amt'!$E26</f>
        <v>0.86298384468324196</v>
      </c>
      <c r="G26" s="17">
        <f>'Alloc Amt'!G26/'Alloc Amt'!$E26</f>
        <v>0.13185482105590879</v>
      </c>
      <c r="H26" s="17">
        <f>'Alloc Amt'!H26/'Alloc Amt'!$E26</f>
        <v>5.051880895279884E-3</v>
      </c>
      <c r="I26" s="17">
        <f>'Alloc Amt'!I26/'Alloc Amt'!$E26</f>
        <v>1.094533655693764E-4</v>
      </c>
      <c r="J26" s="17">
        <f>'Alloc Amt'!J26/'Alloc Amt'!$E26</f>
        <v>0</v>
      </c>
      <c r="K26" s="17">
        <f>'Alloc Amt'!K26/'Alloc Amt'!$E26</f>
        <v>0</v>
      </c>
      <c r="L26" s="17">
        <f>'Alloc Amt'!L26/'Alloc Amt'!$E26</f>
        <v>0</v>
      </c>
      <c r="M26" s="17">
        <f>'Alloc Amt'!M26/'Alloc Amt'!$E26</f>
        <v>0</v>
      </c>
      <c r="N26" s="17">
        <f>'Alloc Amt'!N26/'Alloc Amt'!$E26</f>
        <v>0</v>
      </c>
      <c r="O26" s="17">
        <f>'Alloc Amt'!O26/'Alloc Amt'!$E26</f>
        <v>0</v>
      </c>
      <c r="P26" s="17">
        <f>'Alloc Amt'!P26/'Alloc Amt'!$E26</f>
        <v>0</v>
      </c>
      <c r="Q26" s="17">
        <f>'Alloc Amt'!Q26/'Alloc Amt'!$E26</f>
        <v>0</v>
      </c>
    </row>
    <row r="27" spans="2:17" x14ac:dyDescent="0.25">
      <c r="B27" s="16" t="str">
        <f>'Alloc Amt'!B27</f>
        <v>Allocate Overhead Transformers</v>
      </c>
      <c r="C27" s="16" t="str">
        <f>'Alloc Amt'!C27</f>
        <v>OH_TFMRC</v>
      </c>
      <c r="D27" s="16">
        <f>'Alloc Amt'!D27</f>
        <v>21</v>
      </c>
      <c r="E27" s="17" t="e">
        <f t="shared" si="0"/>
        <v>#DIV/0!</v>
      </c>
      <c r="F27" s="17" t="e">
        <f>'Alloc Amt'!F27/'Alloc Amt'!$E27</f>
        <v>#DIV/0!</v>
      </c>
      <c r="G27" s="17" t="e">
        <f>'Alloc Amt'!G27/'Alloc Amt'!$E27</f>
        <v>#DIV/0!</v>
      </c>
      <c r="H27" s="17" t="e">
        <f>'Alloc Amt'!H27/'Alloc Amt'!$E27</f>
        <v>#DIV/0!</v>
      </c>
      <c r="I27" s="17" t="e">
        <f>'Alloc Amt'!I27/'Alloc Amt'!$E27</f>
        <v>#DIV/0!</v>
      </c>
      <c r="J27" s="17" t="e">
        <f>'Alloc Amt'!J27/'Alloc Amt'!$E27</f>
        <v>#DIV/0!</v>
      </c>
      <c r="K27" s="17" t="e">
        <f>'Alloc Amt'!K27/'Alloc Amt'!$E27</f>
        <v>#DIV/0!</v>
      </c>
      <c r="L27" s="17" t="e">
        <f>'Alloc Amt'!L27/'Alloc Amt'!$E27</f>
        <v>#DIV/0!</v>
      </c>
      <c r="M27" s="17" t="e">
        <f>'Alloc Amt'!M27/'Alloc Amt'!$E27</f>
        <v>#DIV/0!</v>
      </c>
      <c r="N27" s="17" t="e">
        <f>'Alloc Amt'!N27/'Alloc Amt'!$E27</f>
        <v>#DIV/0!</v>
      </c>
      <c r="O27" s="17" t="e">
        <f>'Alloc Amt'!O27/'Alloc Amt'!$E27</f>
        <v>#DIV/0!</v>
      </c>
      <c r="P27" s="17" t="e">
        <f>'Alloc Amt'!P27/'Alloc Amt'!$E27</f>
        <v>#DIV/0!</v>
      </c>
      <c r="Q27" s="17" t="e">
        <f>'Alloc Amt'!Q27/'Alloc Amt'!$E27</f>
        <v>#DIV/0!</v>
      </c>
    </row>
    <row r="28" spans="2:17" x14ac:dyDescent="0.25">
      <c r="B28" s="16" t="str">
        <f>'Alloc Amt'!B28</f>
        <v>Proforma Revenue</v>
      </c>
      <c r="C28" s="16" t="str">
        <f>'Alloc Amt'!C28</f>
        <v>PROFORMA</v>
      </c>
      <c r="D28" s="16">
        <f>'Alloc Amt'!D28</f>
        <v>22</v>
      </c>
      <c r="E28" s="17">
        <f t="shared" si="0"/>
        <v>1</v>
      </c>
      <c r="F28" s="17">
        <f>'Alloc Amt'!F28/'Alloc Amt'!$E28</f>
        <v>0.55377826393330232</v>
      </c>
      <c r="G28" s="17">
        <f>'Alloc Amt'!G28/'Alloc Amt'!$E28</f>
        <v>0.13189287770633396</v>
      </c>
      <c r="H28" s="17">
        <f>'Alloc Amt'!H28/'Alloc Amt'!$E28</f>
        <v>0.1355547992265492</v>
      </c>
      <c r="I28" s="17">
        <f>'Alloc Amt'!I28/'Alloc Amt'!$E28</f>
        <v>8.0260714966232771E-2</v>
      </c>
      <c r="J28" s="17">
        <f>'Alloc Amt'!J28/'Alloc Amt'!$E28</f>
        <v>5.6712610860473911E-2</v>
      </c>
      <c r="K28" s="17">
        <f>'Alloc Amt'!K28/'Alloc Amt'!$E28</f>
        <v>1.3420815236036984E-4</v>
      </c>
      <c r="L28" s="17">
        <f>'Alloc Amt'!L28/'Alloc Amt'!$E28</f>
        <v>5.3515940162286941E-3</v>
      </c>
      <c r="M28" s="17">
        <f>'Alloc Amt'!M28/'Alloc Amt'!$E28</f>
        <v>2.7508980702474861E-3</v>
      </c>
      <c r="N28" s="17">
        <f>'Alloc Amt'!N28/'Alloc Amt'!$E28</f>
        <v>2.0094239422963341E-2</v>
      </c>
      <c r="O28" s="17">
        <f>'Alloc Amt'!O28/'Alloc Amt'!$E28</f>
        <v>5.064769120549751E-3</v>
      </c>
      <c r="P28" s="17">
        <f>'Alloc Amt'!P28/'Alloc Amt'!$E28</f>
        <v>8.2410988314859396E-3</v>
      </c>
      <c r="Q28" s="17">
        <f>'Alloc Amt'!Q28/'Alloc Amt'!$E28</f>
        <v>1.6392569327233156E-4</v>
      </c>
    </row>
    <row r="29" spans="2:17" x14ac:dyDescent="0.25">
      <c r="B29" s="16" t="str">
        <f>'Alloc Amt'!B29</f>
        <v>Proforma Retail Revenue - No Transportation &amp; Special Contract</v>
      </c>
      <c r="C29" s="16" t="str">
        <f>'Alloc Amt'!C29</f>
        <v>PROFORMA_RETAIL</v>
      </c>
      <c r="D29" s="16">
        <f>'Alloc Amt'!D29</f>
        <v>23</v>
      </c>
      <c r="E29" s="17">
        <f t="shared" si="0"/>
        <v>1</v>
      </c>
      <c r="F29" s="17">
        <f>'Alloc Amt'!F29/'Alloc Amt'!$E29</f>
        <v>0.55823273388425976</v>
      </c>
      <c r="G29" s="17">
        <f>'Alloc Amt'!G29/'Alloc Amt'!$E29</f>
        <v>0.1329537948617226</v>
      </c>
      <c r="H29" s="17">
        <f>'Alloc Amt'!H29/'Alloc Amt'!$E29</f>
        <v>0.13664517206923532</v>
      </c>
      <c r="I29" s="17">
        <f>'Alloc Amt'!I29/'Alloc Amt'!$E29</f>
        <v>8.0906314417031208E-2</v>
      </c>
      <c r="J29" s="17">
        <f>'Alloc Amt'!J29/'Alloc Amt'!$E29</f>
        <v>5.7168794566789902E-2</v>
      </c>
      <c r="K29" s="17">
        <f>'Alloc Amt'!K29/'Alloc Amt'!$E29</f>
        <v>1.3528769307331989E-4</v>
      </c>
      <c r="L29" s="17">
        <f>'Alloc Amt'!L29/'Alloc Amt'!$E29</f>
        <v>5.3946410556081339E-3</v>
      </c>
      <c r="M29" s="17">
        <f>'Alloc Amt'!M29/'Alloc Amt'!$E29</f>
        <v>0</v>
      </c>
      <c r="N29" s="17">
        <f>'Alloc Amt'!N29/'Alloc Amt'!$E29</f>
        <v>2.025587304336076E-2</v>
      </c>
      <c r="O29" s="17">
        <f>'Alloc Amt'!O29/'Alloc Amt'!$E29</f>
        <v>0</v>
      </c>
      <c r="P29" s="17">
        <f>'Alloc Amt'!P29/'Alloc Amt'!$E29</f>
        <v>8.3073884089189514E-3</v>
      </c>
      <c r="Q29" s="17">
        <f>'Alloc Amt'!Q29/'Alloc Amt'!$E29</f>
        <v>0</v>
      </c>
    </row>
    <row r="30" spans="2:17" x14ac:dyDescent="0.25">
      <c r="B30" s="16" t="str">
        <f>'Alloc Amt'!B30</f>
        <v>Residential Allocation Only</v>
      </c>
      <c r="C30" s="16" t="str">
        <f>'Alloc Amt'!C30</f>
        <v>RESID</v>
      </c>
      <c r="D30" s="16">
        <f>'Alloc Amt'!D30</f>
        <v>24</v>
      </c>
      <c r="E30" s="17">
        <f t="shared" si="0"/>
        <v>1</v>
      </c>
      <c r="F30" s="17">
        <f>'Alloc Amt'!F30/'Alloc Amt'!$E30</f>
        <v>1</v>
      </c>
      <c r="G30" s="17">
        <f>'Alloc Amt'!G30/'Alloc Amt'!$E30</f>
        <v>0</v>
      </c>
      <c r="H30" s="17">
        <f>'Alloc Amt'!H30/'Alloc Amt'!$E30</f>
        <v>0</v>
      </c>
      <c r="I30" s="17">
        <f>'Alloc Amt'!I30/'Alloc Amt'!$E30</f>
        <v>0</v>
      </c>
      <c r="J30" s="17">
        <f>'Alloc Amt'!J30/'Alloc Amt'!$E30</f>
        <v>0</v>
      </c>
      <c r="K30" s="17">
        <f>'Alloc Amt'!K30/'Alloc Amt'!$E30</f>
        <v>0</v>
      </c>
      <c r="L30" s="17">
        <f>'Alloc Amt'!L30/'Alloc Amt'!$E30</f>
        <v>0</v>
      </c>
      <c r="M30" s="17">
        <f>'Alloc Amt'!M30/'Alloc Amt'!$E30</f>
        <v>0</v>
      </c>
      <c r="N30" s="17">
        <f>'Alloc Amt'!N30/'Alloc Amt'!$E30</f>
        <v>0</v>
      </c>
      <c r="O30" s="17">
        <f>'Alloc Amt'!O30/'Alloc Amt'!$E30</f>
        <v>0</v>
      </c>
      <c r="P30" s="17">
        <f>'Alloc Amt'!P30/'Alloc Amt'!$E30</f>
        <v>0</v>
      </c>
      <c r="Q30" s="17">
        <f>'Alloc Amt'!Q30/'Alloc Amt'!$E30</f>
        <v>0</v>
      </c>
    </row>
    <row r="31" spans="2:17" x14ac:dyDescent="0.25">
      <c r="B31" s="16" t="str">
        <f>'Alloc Amt'!B31</f>
        <v>Allocate Underground Transformers</v>
      </c>
      <c r="C31" s="16" t="str">
        <f>'Alloc Amt'!C31</f>
        <v>UG_TFMRC</v>
      </c>
      <c r="D31" s="16">
        <f>'Alloc Amt'!D31</f>
        <v>25</v>
      </c>
      <c r="E31" s="17" t="e">
        <f t="shared" si="0"/>
        <v>#DIV/0!</v>
      </c>
      <c r="F31" s="17" t="e">
        <f>'Alloc Amt'!F31/'Alloc Amt'!$E31</f>
        <v>#DIV/0!</v>
      </c>
      <c r="G31" s="17" t="e">
        <f>'Alloc Amt'!G31/'Alloc Amt'!$E31</f>
        <v>#DIV/0!</v>
      </c>
      <c r="H31" s="17" t="e">
        <f>'Alloc Amt'!H31/'Alloc Amt'!$E31</f>
        <v>#DIV/0!</v>
      </c>
      <c r="I31" s="17" t="e">
        <f>'Alloc Amt'!I31/'Alloc Amt'!$E31</f>
        <v>#DIV/0!</v>
      </c>
      <c r="J31" s="17" t="e">
        <f>'Alloc Amt'!J31/'Alloc Amt'!$E31</f>
        <v>#DIV/0!</v>
      </c>
      <c r="K31" s="17" t="e">
        <f>'Alloc Amt'!K31/'Alloc Amt'!$E31</f>
        <v>#DIV/0!</v>
      </c>
      <c r="L31" s="17" t="e">
        <f>'Alloc Amt'!L31/'Alloc Amt'!$E31</f>
        <v>#DIV/0!</v>
      </c>
      <c r="M31" s="17" t="e">
        <f>'Alloc Amt'!M31/'Alloc Amt'!$E31</f>
        <v>#DIV/0!</v>
      </c>
      <c r="N31" s="17" t="e">
        <f>'Alloc Amt'!N31/'Alloc Amt'!$E31</f>
        <v>#DIV/0!</v>
      </c>
      <c r="O31" s="17" t="e">
        <f>'Alloc Amt'!O31/'Alloc Amt'!$E31</f>
        <v>#DIV/0!</v>
      </c>
      <c r="P31" s="17" t="e">
        <f>'Alloc Amt'!P31/'Alloc Amt'!$E31</f>
        <v>#DIV/0!</v>
      </c>
      <c r="Q31" s="17" t="e">
        <f>'Alloc Amt'!Q31/'Alloc Amt'!$E31</f>
        <v>#DIV/0!</v>
      </c>
    </row>
    <row r="32" spans="2:17" x14ac:dyDescent="0.25">
      <c r="B32" s="16" t="str">
        <f>'Alloc Amt'!B32</f>
        <v>Top 75 CP Hours (not used)</v>
      </c>
      <c r="C32" s="16" t="str">
        <f>'Alloc Amt'!C32</f>
        <v>DEM_1</v>
      </c>
      <c r="D32" s="16">
        <f>'Alloc Amt'!D32</f>
        <v>26</v>
      </c>
      <c r="E32" s="17" t="e">
        <f t="shared" si="0"/>
        <v>#DIV/0!</v>
      </c>
      <c r="F32" s="17" t="e">
        <f>'Alloc Amt'!F32/'Alloc Amt'!$E32</f>
        <v>#DIV/0!</v>
      </c>
      <c r="G32" s="17" t="e">
        <f>'Alloc Amt'!G32/'Alloc Amt'!$E32</f>
        <v>#DIV/0!</v>
      </c>
      <c r="H32" s="17" t="e">
        <f>'Alloc Amt'!H32/'Alloc Amt'!$E32</f>
        <v>#DIV/0!</v>
      </c>
      <c r="I32" s="17" t="e">
        <f>'Alloc Amt'!I32/'Alloc Amt'!$E32</f>
        <v>#DIV/0!</v>
      </c>
      <c r="J32" s="17" t="e">
        <f>'Alloc Amt'!J32/'Alloc Amt'!$E32</f>
        <v>#DIV/0!</v>
      </c>
      <c r="K32" s="17" t="e">
        <f>'Alloc Amt'!K32/'Alloc Amt'!$E32</f>
        <v>#DIV/0!</v>
      </c>
      <c r="L32" s="17" t="e">
        <f>'Alloc Amt'!L32/'Alloc Amt'!$E32</f>
        <v>#DIV/0!</v>
      </c>
      <c r="M32" s="17" t="e">
        <f>'Alloc Amt'!M32/'Alloc Amt'!$E32</f>
        <v>#DIV/0!</v>
      </c>
      <c r="N32" s="17" t="e">
        <f>'Alloc Amt'!N32/'Alloc Amt'!$E32</f>
        <v>#DIV/0!</v>
      </c>
      <c r="O32" s="17" t="e">
        <f>'Alloc Amt'!O32/'Alloc Amt'!$E32</f>
        <v>#DIV/0!</v>
      </c>
      <c r="P32" s="17" t="e">
        <f>'Alloc Amt'!P32/'Alloc Amt'!$E32</f>
        <v>#DIV/0!</v>
      </c>
      <c r="Q32" s="17" t="e">
        <f>'Alloc Amt'!Q32/'Alloc Amt'!$E32</f>
        <v>#DIV/0!</v>
      </c>
    </row>
    <row r="33" spans="2:17" x14ac:dyDescent="0.25">
      <c r="B33" s="16" t="str">
        <f>'Alloc Amt'!B33</f>
        <v>Top 75  CP Hours Excl. Interruptible (Not Used)</v>
      </c>
      <c r="C33" s="16" t="str">
        <f>'Alloc Amt'!C33</f>
        <v>DEM_1A</v>
      </c>
      <c r="D33" s="16">
        <f>'Alloc Amt'!D33</f>
        <v>27</v>
      </c>
      <c r="E33" s="17" t="e">
        <f t="shared" si="0"/>
        <v>#DIV/0!</v>
      </c>
      <c r="F33" s="17" t="e">
        <f>'Alloc Amt'!F33/'Alloc Amt'!$E33</f>
        <v>#DIV/0!</v>
      </c>
      <c r="G33" s="17" t="e">
        <f>'Alloc Amt'!G33/'Alloc Amt'!$E33</f>
        <v>#DIV/0!</v>
      </c>
      <c r="H33" s="17" t="e">
        <f>'Alloc Amt'!H33/'Alloc Amt'!$E33</f>
        <v>#DIV/0!</v>
      </c>
      <c r="I33" s="17" t="e">
        <f>'Alloc Amt'!I33/'Alloc Amt'!$E33</f>
        <v>#DIV/0!</v>
      </c>
      <c r="J33" s="17" t="e">
        <f>'Alloc Amt'!J33/'Alloc Amt'!$E33</f>
        <v>#DIV/0!</v>
      </c>
      <c r="K33" s="17" t="e">
        <f>'Alloc Amt'!K33/'Alloc Amt'!$E33</f>
        <v>#DIV/0!</v>
      </c>
      <c r="L33" s="17" t="e">
        <f>'Alloc Amt'!L33/'Alloc Amt'!$E33</f>
        <v>#DIV/0!</v>
      </c>
      <c r="M33" s="17" t="e">
        <f>'Alloc Amt'!M33/'Alloc Amt'!$E33</f>
        <v>#DIV/0!</v>
      </c>
      <c r="N33" s="17" t="e">
        <f>'Alloc Amt'!N33/'Alloc Amt'!$E33</f>
        <v>#DIV/0!</v>
      </c>
      <c r="O33" s="17" t="e">
        <f>'Alloc Amt'!O33/'Alloc Amt'!$E33</f>
        <v>#DIV/0!</v>
      </c>
      <c r="P33" s="17" t="e">
        <f>'Alloc Amt'!P33/'Alloc Amt'!$E33</f>
        <v>#DIV/0!</v>
      </c>
      <c r="Q33" s="17" t="e">
        <f>'Alloc Amt'!Q33/'Alloc Amt'!$E33</f>
        <v>#DIV/0!</v>
      </c>
    </row>
    <row r="34" spans="2:17" x14ac:dyDescent="0.25">
      <c r="B34" s="16" t="str">
        <f>'Alloc Amt'!B34</f>
        <v>Top 75 CP - No Interruptibles or Transportation (Not Used)</v>
      </c>
      <c r="C34" s="16" t="str">
        <f>'Alloc Amt'!C34</f>
        <v>DEM_1B</v>
      </c>
      <c r="D34" s="16">
        <f>'Alloc Amt'!D34</f>
        <v>28</v>
      </c>
      <c r="E34" s="17" t="e">
        <f t="shared" si="0"/>
        <v>#DIV/0!</v>
      </c>
      <c r="F34" s="17" t="e">
        <f>'Alloc Amt'!F34/'Alloc Amt'!$E34</f>
        <v>#DIV/0!</v>
      </c>
      <c r="G34" s="17" t="e">
        <f>'Alloc Amt'!G34/'Alloc Amt'!$E34</f>
        <v>#DIV/0!</v>
      </c>
      <c r="H34" s="17" t="e">
        <f>'Alloc Amt'!H34/'Alloc Amt'!$E34</f>
        <v>#DIV/0!</v>
      </c>
      <c r="I34" s="17" t="e">
        <f>'Alloc Amt'!I34/'Alloc Amt'!$E34</f>
        <v>#DIV/0!</v>
      </c>
      <c r="J34" s="17" t="e">
        <f>'Alloc Amt'!J34/'Alloc Amt'!$E34</f>
        <v>#DIV/0!</v>
      </c>
      <c r="K34" s="17" t="e">
        <f>'Alloc Amt'!K34/'Alloc Amt'!$E34</f>
        <v>#DIV/0!</v>
      </c>
      <c r="L34" s="17" t="e">
        <f>'Alloc Amt'!L34/'Alloc Amt'!$E34</f>
        <v>#DIV/0!</v>
      </c>
      <c r="M34" s="17" t="e">
        <f>'Alloc Amt'!M34/'Alloc Amt'!$E34</f>
        <v>#DIV/0!</v>
      </c>
      <c r="N34" s="17" t="e">
        <f>'Alloc Amt'!N34/'Alloc Amt'!$E34</f>
        <v>#DIV/0!</v>
      </c>
      <c r="O34" s="17" t="e">
        <f>'Alloc Amt'!O34/'Alloc Amt'!$E34</f>
        <v>#DIV/0!</v>
      </c>
      <c r="P34" s="17" t="e">
        <f>'Alloc Amt'!P34/'Alloc Amt'!$E34</f>
        <v>#DIV/0!</v>
      </c>
      <c r="Q34" s="17" t="e">
        <f>'Alloc Amt'!Q34/'Alloc Amt'!$E34</f>
        <v>#DIV/0!</v>
      </c>
    </row>
    <row r="35" spans="2:17" x14ac:dyDescent="0.25">
      <c r="B35" s="16" t="str">
        <f>'Alloc Amt'!B35</f>
        <v>4 CP Winter Peak - No Interruptibles</v>
      </c>
      <c r="C35" s="16" t="str">
        <f>'Alloc Amt'!C35</f>
        <v>DEM_2A</v>
      </c>
      <c r="D35" s="16">
        <f>'Alloc Amt'!D35</f>
        <v>29</v>
      </c>
      <c r="E35" s="17">
        <f t="shared" si="0"/>
        <v>0.99999999999999989</v>
      </c>
      <c r="F35" s="17">
        <f>'Alloc Amt'!F35/'Alloc Amt'!$E35</f>
        <v>0.5347191170420158</v>
      </c>
      <c r="G35" s="17">
        <f>'Alloc Amt'!G35/'Alloc Amt'!$E35</f>
        <v>0.12328109256695466</v>
      </c>
      <c r="H35" s="17">
        <f>'Alloc Amt'!H35/'Alloc Amt'!$E35</f>
        <v>0.13195243906860502</v>
      </c>
      <c r="I35" s="17">
        <f>'Alloc Amt'!I35/'Alloc Amt'!$E35</f>
        <v>6.9330167177492394E-2</v>
      </c>
      <c r="J35" s="17">
        <f>'Alloc Amt'!J35/'Alloc Amt'!$E35</f>
        <v>4.8976398735908921E-2</v>
      </c>
      <c r="K35" s="17">
        <f>'Alloc Amt'!K35/'Alloc Amt'!$E35</f>
        <v>1.6737343727032755E-6</v>
      </c>
      <c r="L35" s="17">
        <f>'Alloc Amt'!L35/'Alloc Amt'!$E35</f>
        <v>0</v>
      </c>
      <c r="M35" s="17">
        <f>'Alloc Amt'!M35/'Alloc Amt'!$E35</f>
        <v>1.2623042503619774E-2</v>
      </c>
      <c r="N35" s="17">
        <f>'Alloc Amt'!N35/'Alloc Amt'!$E35</f>
        <v>1.6635211493138298E-2</v>
      </c>
      <c r="O35" s="17">
        <f>'Alloc Amt'!O35/'Alloc Amt'!$E35</f>
        <v>6.0212444721210061E-2</v>
      </c>
      <c r="P35" s="17">
        <f>'Alloc Amt'!P35/'Alloc Amt'!$E35</f>
        <v>1.9268931309528894E-3</v>
      </c>
      <c r="Q35" s="17">
        <f>'Alloc Amt'!Q35/'Alloc Amt'!$E35</f>
        <v>3.4151982572964507E-4</v>
      </c>
    </row>
    <row r="36" spans="2:17" x14ac:dyDescent="0.25">
      <c r="B36" s="16" t="str">
        <f>'Alloc Amt'!B36</f>
        <v>4 CP Winter Peak - No Interruptibles or Transportation</v>
      </c>
      <c r="C36" s="16" t="str">
        <f>'Alloc Amt'!C36</f>
        <v>DEM_2B</v>
      </c>
      <c r="D36" s="16">
        <f>'Alloc Amt'!D36</f>
        <v>30</v>
      </c>
      <c r="E36" s="17">
        <f t="shared" si="0"/>
        <v>1</v>
      </c>
      <c r="F36" s="17">
        <f>'Alloc Amt'!F36/'Alloc Amt'!$E36</f>
        <v>0.5767251762489326</v>
      </c>
      <c r="G36" s="17">
        <f>'Alloc Amt'!G36/'Alloc Amt'!$E36</f>
        <v>0.13296571521913858</v>
      </c>
      <c r="H36" s="17">
        <f>'Alloc Amt'!H36/'Alloc Amt'!$E36</f>
        <v>0.14231825878845128</v>
      </c>
      <c r="I36" s="17">
        <f>'Alloc Amt'!I36/'Alloc Amt'!$E36</f>
        <v>7.4776553914876143E-2</v>
      </c>
      <c r="J36" s="17">
        <f>'Alloc Amt'!J36/'Alloc Amt'!$E36</f>
        <v>5.2823849555365038E-2</v>
      </c>
      <c r="K36" s="17">
        <f>'Alloc Amt'!K36/'Alloc Amt'!$E36</f>
        <v>1.8052183292622876E-6</v>
      </c>
      <c r="L36" s="17">
        <f>'Alloc Amt'!L36/'Alloc Amt'!$E36</f>
        <v>0</v>
      </c>
      <c r="M36" s="17">
        <f>'Alloc Amt'!M36/'Alloc Amt'!$E36</f>
        <v>0</v>
      </c>
      <c r="N36" s="17">
        <f>'Alloc Amt'!N36/'Alloc Amt'!$E36</f>
        <v>1.7942027832090035E-2</v>
      </c>
      <c r="O36" s="17">
        <f>'Alloc Amt'!O36/'Alloc Amt'!$E36</f>
        <v>0</v>
      </c>
      <c r="P36" s="17">
        <f>'Alloc Amt'!P36/'Alloc Amt'!$E36</f>
        <v>2.0782645414084621E-3</v>
      </c>
      <c r="Q36" s="17">
        <f>'Alloc Amt'!Q36/'Alloc Amt'!$E36</f>
        <v>3.6834868140866908E-4</v>
      </c>
    </row>
    <row r="37" spans="2:17" x14ac:dyDescent="0.25">
      <c r="B37" s="16" t="str">
        <f>'Alloc Amt'!B37</f>
        <v>Direct Assign Substation Ease - Accum Depr</v>
      </c>
      <c r="C37" s="16" t="str">
        <f>'Alloc Amt'!C37</f>
        <v>DIR108.360</v>
      </c>
      <c r="D37" s="16">
        <f>'Alloc Amt'!D37</f>
        <v>31</v>
      </c>
      <c r="E37" s="17">
        <f t="shared" si="0"/>
        <v>1</v>
      </c>
      <c r="F37" s="17">
        <f>'Alloc Amt'!F37/'Alloc Amt'!$E37</f>
        <v>0</v>
      </c>
      <c r="G37" s="17">
        <f>'Alloc Amt'!G37/'Alloc Amt'!$E37</f>
        <v>0</v>
      </c>
      <c r="H37" s="17">
        <f>'Alloc Amt'!H37/'Alloc Amt'!$E37</f>
        <v>0</v>
      </c>
      <c r="I37" s="17">
        <f>'Alloc Amt'!I37/'Alloc Amt'!$E37</f>
        <v>0</v>
      </c>
      <c r="J37" s="17">
        <f>'Alloc Amt'!J37/'Alloc Amt'!$E37</f>
        <v>0</v>
      </c>
      <c r="K37" s="17">
        <f>'Alloc Amt'!K37/'Alloc Amt'!$E37</f>
        <v>0</v>
      </c>
      <c r="L37" s="17">
        <f>'Alloc Amt'!L37/'Alloc Amt'!$E37</f>
        <v>0</v>
      </c>
      <c r="M37" s="17">
        <f>'Alloc Amt'!M37/'Alloc Amt'!$E37</f>
        <v>0</v>
      </c>
      <c r="N37" s="17">
        <f>'Alloc Amt'!N37/'Alloc Amt'!$E37</f>
        <v>1</v>
      </c>
      <c r="O37" s="17">
        <f>'Alloc Amt'!O37/'Alloc Amt'!$E37</f>
        <v>0</v>
      </c>
      <c r="P37" s="17">
        <f>'Alloc Amt'!P37/'Alloc Amt'!$E37</f>
        <v>0</v>
      </c>
      <c r="Q37" s="17">
        <f>'Alloc Amt'!Q37/'Alloc Amt'!$E37</f>
        <v>0</v>
      </c>
    </row>
    <row r="38" spans="2:17" x14ac:dyDescent="0.25">
      <c r="B38" s="16" t="str">
        <f>'Alloc Amt'!B38</f>
        <v>Direct Assign Substation Structures - Accum Depr</v>
      </c>
      <c r="C38" s="16" t="str">
        <f>'Alloc Amt'!C38</f>
        <v>DIR108.361</v>
      </c>
      <c r="D38" s="16">
        <f>'Alloc Amt'!D38</f>
        <v>32</v>
      </c>
      <c r="E38" s="17">
        <f t="shared" si="0"/>
        <v>1</v>
      </c>
      <c r="F38" s="17">
        <f>'Alloc Amt'!F38/'Alloc Amt'!$E38</f>
        <v>0</v>
      </c>
      <c r="G38" s="17">
        <f>'Alloc Amt'!G38/'Alloc Amt'!$E38</f>
        <v>0</v>
      </c>
      <c r="H38" s="17">
        <f>'Alloc Amt'!H38/'Alloc Amt'!$E38</f>
        <v>0</v>
      </c>
      <c r="I38" s="17">
        <f>'Alloc Amt'!I38/'Alloc Amt'!$E38</f>
        <v>0</v>
      </c>
      <c r="J38" s="17">
        <f>'Alloc Amt'!J38/'Alloc Amt'!$E38</f>
        <v>4.6886941041312587E-2</v>
      </c>
      <c r="K38" s="17">
        <f>'Alloc Amt'!K38/'Alloc Amt'!$E38</f>
        <v>0</v>
      </c>
      <c r="L38" s="17">
        <f>'Alloc Amt'!L38/'Alloc Amt'!$E38</f>
        <v>0</v>
      </c>
      <c r="M38" s="17">
        <f>'Alloc Amt'!M38/'Alloc Amt'!$E38</f>
        <v>0.27495573142717422</v>
      </c>
      <c r="N38" s="17">
        <f>'Alloc Amt'!N38/'Alloc Amt'!$E38</f>
        <v>0.24760512623863282</v>
      </c>
      <c r="O38" s="17">
        <f>'Alloc Amt'!O38/'Alloc Amt'!$E38</f>
        <v>0.43055220129288047</v>
      </c>
      <c r="P38" s="17">
        <f>'Alloc Amt'!P38/'Alloc Amt'!$E38</f>
        <v>0</v>
      </c>
      <c r="Q38" s="17">
        <f>'Alloc Amt'!Q38/'Alloc Amt'!$E38</f>
        <v>0</v>
      </c>
    </row>
    <row r="39" spans="2:17" x14ac:dyDescent="0.25">
      <c r="B39" s="16" t="str">
        <f>'Alloc Amt'!B39</f>
        <v>Direct Assign Substation Equipment - Accum Depr</v>
      </c>
      <c r="C39" s="16" t="str">
        <f>'Alloc Amt'!C39</f>
        <v>DIR108.362</v>
      </c>
      <c r="D39" s="16">
        <f>'Alloc Amt'!D39</f>
        <v>33</v>
      </c>
      <c r="E39" s="17">
        <f t="shared" si="0"/>
        <v>1</v>
      </c>
      <c r="F39" s="17">
        <f>'Alloc Amt'!F39/'Alloc Amt'!$E39</f>
        <v>0</v>
      </c>
      <c r="G39" s="17">
        <f>'Alloc Amt'!G39/'Alloc Amt'!$E39</f>
        <v>0</v>
      </c>
      <c r="H39" s="17">
        <f>'Alloc Amt'!H39/'Alloc Amt'!$E39</f>
        <v>0</v>
      </c>
      <c r="I39" s="17">
        <f>'Alloc Amt'!I39/'Alloc Amt'!$E39</f>
        <v>0</v>
      </c>
      <c r="J39" s="17">
        <f>'Alloc Amt'!J39/'Alloc Amt'!$E39</f>
        <v>6.0319201913891354E-2</v>
      </c>
      <c r="K39" s="17">
        <f>'Alloc Amt'!K39/'Alloc Amt'!$E39</f>
        <v>0</v>
      </c>
      <c r="L39" s="17">
        <f>'Alloc Amt'!L39/'Alloc Amt'!$E39</f>
        <v>0</v>
      </c>
      <c r="M39" s="17">
        <f>'Alloc Amt'!M39/'Alloc Amt'!$E39</f>
        <v>0.26889972902347176</v>
      </c>
      <c r="N39" s="17">
        <f>'Alloc Amt'!N39/'Alloc Amt'!$E39</f>
        <v>0.38043485936098576</v>
      </c>
      <c r="O39" s="17">
        <f>'Alloc Amt'!O39/'Alloc Amt'!$E39</f>
        <v>0.29034620970165109</v>
      </c>
      <c r="P39" s="17">
        <f>'Alloc Amt'!P39/'Alloc Amt'!$E39</f>
        <v>0</v>
      </c>
      <c r="Q39" s="17">
        <f>'Alloc Amt'!Q39/'Alloc Amt'!$E39</f>
        <v>0</v>
      </c>
    </row>
    <row r="40" spans="2:17" x14ac:dyDescent="0.25">
      <c r="B40" s="16" t="str">
        <f>'Alloc Amt'!B40</f>
        <v>Direct Assign OH Dist Lines - Accum Depr</v>
      </c>
      <c r="C40" s="16" t="str">
        <f>'Alloc Amt'!C40</f>
        <v>DIR108.364</v>
      </c>
      <c r="D40" s="16">
        <f>'Alloc Amt'!D40</f>
        <v>34</v>
      </c>
      <c r="E40" s="17">
        <f t="shared" si="0"/>
        <v>1</v>
      </c>
      <c r="F40" s="17">
        <f>'Alloc Amt'!F40/'Alloc Amt'!$E40</f>
        <v>0</v>
      </c>
      <c r="G40" s="17">
        <f>'Alloc Amt'!G40/'Alloc Amt'!$E40</f>
        <v>0</v>
      </c>
      <c r="H40" s="17">
        <f>'Alloc Amt'!H40/'Alloc Amt'!$E40</f>
        <v>0</v>
      </c>
      <c r="I40" s="17">
        <f>'Alloc Amt'!I40/'Alloc Amt'!$E40</f>
        <v>0</v>
      </c>
      <c r="J40" s="17">
        <f>'Alloc Amt'!J40/'Alloc Amt'!$E40</f>
        <v>0</v>
      </c>
      <c r="K40" s="17">
        <f>'Alloc Amt'!K40/'Alloc Amt'!$E40</f>
        <v>0</v>
      </c>
      <c r="L40" s="17">
        <f>'Alloc Amt'!L40/'Alloc Amt'!$E40</f>
        <v>0</v>
      </c>
      <c r="M40" s="17">
        <f>'Alloc Amt'!M40/'Alloc Amt'!$E40</f>
        <v>1</v>
      </c>
      <c r="N40" s="17">
        <f>'Alloc Amt'!N40/'Alloc Amt'!$E40</f>
        <v>0</v>
      </c>
      <c r="O40" s="17">
        <f>'Alloc Amt'!O40/'Alloc Amt'!$E40</f>
        <v>0</v>
      </c>
      <c r="P40" s="17">
        <f>'Alloc Amt'!P40/'Alloc Amt'!$E40</f>
        <v>0</v>
      </c>
      <c r="Q40" s="17">
        <f>'Alloc Amt'!Q40/'Alloc Amt'!$E40</f>
        <v>0</v>
      </c>
    </row>
    <row r="41" spans="2:17" x14ac:dyDescent="0.25">
      <c r="B41" s="16" t="str">
        <f>'Alloc Amt'!B41</f>
        <v>Direct Assign UG Dist Lines</v>
      </c>
      <c r="C41" s="16" t="str">
        <f>'Alloc Amt'!C41</f>
        <v>DIR108.366</v>
      </c>
      <c r="D41" s="16">
        <f>'Alloc Amt'!D41</f>
        <v>35</v>
      </c>
      <c r="E41" s="17">
        <f t="shared" si="0"/>
        <v>1</v>
      </c>
      <c r="F41" s="17">
        <f>'Alloc Amt'!F41/'Alloc Amt'!$E41</f>
        <v>0</v>
      </c>
      <c r="G41" s="17">
        <f>'Alloc Amt'!G41/'Alloc Amt'!$E41</f>
        <v>0</v>
      </c>
      <c r="H41" s="17">
        <f>'Alloc Amt'!H41/'Alloc Amt'!$E41</f>
        <v>0</v>
      </c>
      <c r="I41" s="17">
        <f>'Alloc Amt'!I41/'Alloc Amt'!$E41</f>
        <v>0</v>
      </c>
      <c r="J41" s="17">
        <f>'Alloc Amt'!J41/'Alloc Amt'!$E41</f>
        <v>0</v>
      </c>
      <c r="K41" s="17">
        <f>'Alloc Amt'!K41/'Alloc Amt'!$E41</f>
        <v>0</v>
      </c>
      <c r="L41" s="17">
        <f>'Alloc Amt'!L41/'Alloc Amt'!$E41</f>
        <v>0</v>
      </c>
      <c r="M41" s="17">
        <f>'Alloc Amt'!M41/'Alloc Amt'!$E41</f>
        <v>0.88018848471317346</v>
      </c>
      <c r="N41" s="17">
        <f>'Alloc Amt'!N41/'Alloc Amt'!$E41</f>
        <v>0.11829018331685999</v>
      </c>
      <c r="O41" s="17">
        <f>'Alloc Amt'!O41/'Alloc Amt'!$E41</f>
        <v>1.5213319699665733E-3</v>
      </c>
      <c r="P41" s="17">
        <f>'Alloc Amt'!P41/'Alloc Amt'!$E41</f>
        <v>0</v>
      </c>
      <c r="Q41" s="17">
        <f>'Alloc Amt'!Q41/'Alloc Amt'!$E41</f>
        <v>0</v>
      </c>
    </row>
    <row r="42" spans="2:17" x14ac:dyDescent="0.25">
      <c r="B42" s="16" t="str">
        <f>'Alloc Amt'!B42</f>
        <v>Direct Assign Substation Land</v>
      </c>
      <c r="C42" s="16" t="str">
        <f>'Alloc Amt'!C42</f>
        <v>DIR360.01</v>
      </c>
      <c r="D42" s="16">
        <f>'Alloc Amt'!D42</f>
        <v>36</v>
      </c>
      <c r="E42" s="17">
        <f t="shared" si="0"/>
        <v>0.99999999999999989</v>
      </c>
      <c r="F42" s="17">
        <f>'Alloc Amt'!F42/'Alloc Amt'!$E42</f>
        <v>0</v>
      </c>
      <c r="G42" s="17">
        <f>'Alloc Amt'!G42/'Alloc Amt'!$E42</f>
        <v>0</v>
      </c>
      <c r="H42" s="17">
        <f>'Alloc Amt'!H42/'Alloc Amt'!$E42</f>
        <v>0</v>
      </c>
      <c r="I42" s="17">
        <f>'Alloc Amt'!I42/'Alloc Amt'!$E42</f>
        <v>0</v>
      </c>
      <c r="J42" s="17">
        <f>'Alloc Amt'!J42/'Alloc Amt'!$E42</f>
        <v>0</v>
      </c>
      <c r="K42" s="17">
        <f>'Alloc Amt'!K42/'Alloc Amt'!$E42</f>
        <v>0</v>
      </c>
      <c r="L42" s="17">
        <f>'Alloc Amt'!L42/'Alloc Amt'!$E42</f>
        <v>0</v>
      </c>
      <c r="M42" s="17">
        <f>'Alloc Amt'!M42/'Alloc Amt'!$E42</f>
        <v>0.99635135237631256</v>
      </c>
      <c r="N42" s="17">
        <f>'Alloc Amt'!N42/'Alloc Amt'!$E42</f>
        <v>3.6486476236873761E-3</v>
      </c>
      <c r="O42" s="17">
        <f>'Alloc Amt'!O42/'Alloc Amt'!$E42</f>
        <v>0</v>
      </c>
      <c r="P42" s="17">
        <f>'Alloc Amt'!P42/'Alloc Amt'!$E42</f>
        <v>0</v>
      </c>
      <c r="Q42" s="17">
        <f>'Alloc Amt'!Q42/'Alloc Amt'!$E42</f>
        <v>0</v>
      </c>
    </row>
    <row r="43" spans="2:17" x14ac:dyDescent="0.25">
      <c r="B43" s="16" t="str">
        <f>'Alloc Amt'!B43</f>
        <v>Direct Assign Substation Structures</v>
      </c>
      <c r="C43" s="16" t="str">
        <f>'Alloc Amt'!C43</f>
        <v>DIR361.01</v>
      </c>
      <c r="D43" s="16">
        <f>'Alloc Amt'!D43</f>
        <v>37</v>
      </c>
      <c r="E43" s="17">
        <f t="shared" si="0"/>
        <v>1</v>
      </c>
      <c r="F43" s="17">
        <f>'Alloc Amt'!F43/'Alloc Amt'!$E43</f>
        <v>0</v>
      </c>
      <c r="G43" s="17">
        <f>'Alloc Amt'!G43/'Alloc Amt'!$E43</f>
        <v>0</v>
      </c>
      <c r="H43" s="17">
        <f>'Alloc Amt'!H43/'Alloc Amt'!$E43</f>
        <v>0</v>
      </c>
      <c r="I43" s="17">
        <f>'Alloc Amt'!I43/'Alloc Amt'!$E43</f>
        <v>0</v>
      </c>
      <c r="J43" s="17">
        <f>'Alloc Amt'!J43/'Alloc Amt'!$E43</f>
        <v>0</v>
      </c>
      <c r="K43" s="17">
        <f>'Alloc Amt'!K43/'Alloc Amt'!$E43</f>
        <v>0</v>
      </c>
      <c r="L43" s="17">
        <f>'Alloc Amt'!L43/'Alloc Amt'!$E43</f>
        <v>0</v>
      </c>
      <c r="M43" s="17">
        <f>'Alloc Amt'!M43/'Alloc Amt'!$E43</f>
        <v>0.55038170402135667</v>
      </c>
      <c r="N43" s="17">
        <f>'Alloc Amt'!N43/'Alloc Amt'!$E43</f>
        <v>0.20574785372242668</v>
      </c>
      <c r="O43" s="17">
        <f>'Alloc Amt'!O43/'Alloc Amt'!$E43</f>
        <v>0.24387044225621665</v>
      </c>
      <c r="P43" s="17">
        <f>'Alloc Amt'!P43/'Alloc Amt'!$E43</f>
        <v>0</v>
      </c>
      <c r="Q43" s="17">
        <f>'Alloc Amt'!Q43/'Alloc Amt'!$E43</f>
        <v>0</v>
      </c>
    </row>
    <row r="44" spans="2:17" x14ac:dyDescent="0.25">
      <c r="B44" s="16" t="str">
        <f>'Alloc Amt'!B44</f>
        <v>Direct Assign Substation Equipment</v>
      </c>
      <c r="C44" s="16" t="str">
        <f>'Alloc Amt'!C44</f>
        <v>DIR362.01</v>
      </c>
      <c r="D44" s="16">
        <f>'Alloc Amt'!D44</f>
        <v>38</v>
      </c>
      <c r="E44" s="17">
        <f t="shared" si="0"/>
        <v>1</v>
      </c>
      <c r="F44" s="17">
        <f>'Alloc Amt'!F44/'Alloc Amt'!$E44</f>
        <v>0</v>
      </c>
      <c r="G44" s="17">
        <f>'Alloc Amt'!G44/'Alloc Amt'!$E44</f>
        <v>0</v>
      </c>
      <c r="H44" s="17">
        <f>'Alloc Amt'!H44/'Alloc Amt'!$E44</f>
        <v>0</v>
      </c>
      <c r="I44" s="17">
        <f>'Alloc Amt'!I44/'Alloc Amt'!$E44</f>
        <v>0</v>
      </c>
      <c r="J44" s="17">
        <f>'Alloc Amt'!J44/'Alloc Amt'!$E44</f>
        <v>1.9583659032658348E-2</v>
      </c>
      <c r="K44" s="17">
        <f>'Alloc Amt'!K44/'Alloc Amt'!$E44</f>
        <v>0</v>
      </c>
      <c r="L44" s="17">
        <f>'Alloc Amt'!L44/'Alloc Amt'!$E44</f>
        <v>0</v>
      </c>
      <c r="M44" s="17">
        <f>'Alloc Amt'!M44/'Alloc Amt'!$E44</f>
        <v>0.45345524653613295</v>
      </c>
      <c r="N44" s="17">
        <f>'Alloc Amt'!N44/'Alloc Amt'!$E44</f>
        <v>0.36828954048099954</v>
      </c>
      <c r="O44" s="17">
        <f>'Alloc Amt'!O44/'Alloc Amt'!$E44</f>
        <v>0.1586715539502091</v>
      </c>
      <c r="P44" s="17">
        <f>'Alloc Amt'!P44/'Alloc Amt'!$E44</f>
        <v>0</v>
      </c>
      <c r="Q44" s="17">
        <f>'Alloc Amt'!Q44/'Alloc Amt'!$E44</f>
        <v>0</v>
      </c>
    </row>
    <row r="45" spans="2:17" x14ac:dyDescent="0.25">
      <c r="B45" s="16" t="str">
        <f>'Alloc Amt'!B45</f>
        <v>Direct Assign OH Dist Lines</v>
      </c>
      <c r="C45" s="16" t="str">
        <f>'Alloc Amt'!C45</f>
        <v>DIR364.01</v>
      </c>
      <c r="D45" s="16">
        <f>'Alloc Amt'!D45</f>
        <v>39</v>
      </c>
      <c r="E45" s="17">
        <f t="shared" si="0"/>
        <v>1</v>
      </c>
      <c r="F45" s="17">
        <f>'Alloc Amt'!F45/'Alloc Amt'!$E45</f>
        <v>0</v>
      </c>
      <c r="G45" s="17">
        <f>'Alloc Amt'!G45/'Alloc Amt'!$E45</f>
        <v>0</v>
      </c>
      <c r="H45" s="17">
        <f>'Alloc Amt'!H45/'Alloc Amt'!$E45</f>
        <v>0</v>
      </c>
      <c r="I45" s="17">
        <f>'Alloc Amt'!I45/'Alloc Amt'!$E45</f>
        <v>0</v>
      </c>
      <c r="J45" s="17">
        <f>'Alloc Amt'!J45/'Alloc Amt'!$E45</f>
        <v>0</v>
      </c>
      <c r="K45" s="17">
        <f>'Alloc Amt'!K45/'Alloc Amt'!$E45</f>
        <v>0</v>
      </c>
      <c r="L45" s="17">
        <f>'Alloc Amt'!L45/'Alloc Amt'!$E45</f>
        <v>0</v>
      </c>
      <c r="M45" s="17">
        <f>'Alloc Amt'!M45/'Alloc Amt'!$E45</f>
        <v>1</v>
      </c>
      <c r="N45" s="17">
        <f>'Alloc Amt'!N45/'Alloc Amt'!$E45</f>
        <v>0</v>
      </c>
      <c r="O45" s="17">
        <f>'Alloc Amt'!O45/'Alloc Amt'!$E45</f>
        <v>0</v>
      </c>
      <c r="P45" s="17">
        <f>'Alloc Amt'!P45/'Alloc Amt'!$E45</f>
        <v>0</v>
      </c>
      <c r="Q45" s="17">
        <f>'Alloc Amt'!Q45/'Alloc Amt'!$E45</f>
        <v>0</v>
      </c>
    </row>
    <row r="46" spans="2:17" x14ac:dyDescent="0.25">
      <c r="B46" s="16" t="str">
        <f>'Alloc Amt'!B46</f>
        <v>Direct Assign UG Dist Lines</v>
      </c>
      <c r="C46" s="16" t="str">
        <f>'Alloc Amt'!C46</f>
        <v>DIR366.01</v>
      </c>
      <c r="D46" s="16">
        <f>'Alloc Amt'!D46</f>
        <v>40</v>
      </c>
      <c r="E46" s="17">
        <f t="shared" si="0"/>
        <v>0.99999999999999989</v>
      </c>
      <c r="F46" s="17">
        <f>'Alloc Amt'!F46/'Alloc Amt'!$E46</f>
        <v>0</v>
      </c>
      <c r="G46" s="17">
        <f>'Alloc Amt'!G46/'Alloc Amt'!$E46</f>
        <v>0</v>
      </c>
      <c r="H46" s="17">
        <f>'Alloc Amt'!H46/'Alloc Amt'!$E46</f>
        <v>0</v>
      </c>
      <c r="I46" s="17">
        <f>'Alloc Amt'!I46/'Alloc Amt'!$E46</f>
        <v>0</v>
      </c>
      <c r="J46" s="17">
        <f>'Alloc Amt'!J46/'Alloc Amt'!$E46</f>
        <v>0</v>
      </c>
      <c r="K46" s="17">
        <f>'Alloc Amt'!K46/'Alloc Amt'!$E46</f>
        <v>0</v>
      </c>
      <c r="L46" s="17">
        <f>'Alloc Amt'!L46/'Alloc Amt'!$E46</f>
        <v>0</v>
      </c>
      <c r="M46" s="17">
        <f>'Alloc Amt'!M46/'Alloc Amt'!$E46</f>
        <v>0.80371890283766845</v>
      </c>
      <c r="N46" s="17">
        <f>'Alloc Amt'!N46/'Alloc Amt'!$E46</f>
        <v>0.1951086056121222</v>
      </c>
      <c r="O46" s="17">
        <f>'Alloc Amt'!O46/'Alloc Amt'!$E46</f>
        <v>1.1724915502092632E-3</v>
      </c>
      <c r="P46" s="17">
        <f>'Alloc Amt'!P46/'Alloc Amt'!$E46</f>
        <v>0</v>
      </c>
      <c r="Q46" s="17">
        <f>'Alloc Amt'!Q46/'Alloc Amt'!$E46</f>
        <v>0</v>
      </c>
    </row>
    <row r="47" spans="2:17" x14ac:dyDescent="0.25">
      <c r="B47" s="16" t="str">
        <f>'Alloc Amt'!B47</f>
        <v>Line Transformers</v>
      </c>
      <c r="C47" s="16" t="str">
        <f>'Alloc Amt'!C47</f>
        <v>DIR368.03</v>
      </c>
      <c r="D47" s="16">
        <f>'Alloc Amt'!D47</f>
        <v>41</v>
      </c>
      <c r="E47" s="17">
        <f t="shared" si="0"/>
        <v>1</v>
      </c>
      <c r="F47" s="17">
        <f>'Alloc Amt'!F47/'Alloc Amt'!$E47</f>
        <v>0</v>
      </c>
      <c r="G47" s="17">
        <f>'Alloc Amt'!G47/'Alloc Amt'!$E47</f>
        <v>0</v>
      </c>
      <c r="H47" s="17">
        <f>'Alloc Amt'!H47/'Alloc Amt'!$E47</f>
        <v>0</v>
      </c>
      <c r="I47" s="17">
        <f>'Alloc Amt'!I47/'Alloc Amt'!$E47</f>
        <v>0</v>
      </c>
      <c r="J47" s="17">
        <f>'Alloc Amt'!J47/'Alloc Amt'!$E47</f>
        <v>0.33092018566195119</v>
      </c>
      <c r="K47" s="17">
        <f>'Alloc Amt'!K47/'Alloc Amt'!$E47</f>
        <v>0</v>
      </c>
      <c r="L47" s="17">
        <f>'Alloc Amt'!L47/'Alloc Amt'!$E47</f>
        <v>1.8965522328649013E-2</v>
      </c>
      <c r="M47" s="17">
        <f>'Alloc Amt'!M47/'Alloc Amt'!$E47</f>
        <v>0.64232845664819072</v>
      </c>
      <c r="N47" s="17">
        <f>'Alloc Amt'!N47/'Alloc Amt'!$E47</f>
        <v>0</v>
      </c>
      <c r="O47" s="17">
        <f>'Alloc Amt'!O47/'Alloc Amt'!$E47</f>
        <v>0</v>
      </c>
      <c r="P47" s="17">
        <f>'Alloc Amt'!P47/'Alloc Amt'!$E47</f>
        <v>0</v>
      </c>
      <c r="Q47" s="17">
        <f>'Alloc Amt'!Q47/'Alloc Amt'!$E47</f>
        <v>7.7858353612091195E-3</v>
      </c>
    </row>
    <row r="48" spans="2:17" x14ac:dyDescent="0.25">
      <c r="B48" s="16" t="str">
        <f>'Alloc Amt'!B48</f>
        <v>Allocate Substation Land - 12 NCP</v>
      </c>
      <c r="C48" s="16" t="str">
        <f>'Alloc Amt'!C48</f>
        <v>NCP_360</v>
      </c>
      <c r="D48" s="16">
        <f>'Alloc Amt'!D48</f>
        <v>42</v>
      </c>
      <c r="E48" s="17">
        <f t="shared" si="0"/>
        <v>1</v>
      </c>
      <c r="F48" s="17">
        <f>'Alloc Amt'!F48/'Alloc Amt'!$E48</f>
        <v>0.45386350191334318</v>
      </c>
      <c r="G48" s="17">
        <f>'Alloc Amt'!G48/'Alloc Amt'!$E48</f>
        <v>0.14631471615253269</v>
      </c>
      <c r="H48" s="17">
        <f>'Alloc Amt'!H48/'Alloc Amt'!$E48</f>
        <v>0.19036027100202718</v>
      </c>
      <c r="I48" s="17">
        <f>'Alloc Amt'!I48/'Alloc Amt'!$E48</f>
        <v>0.11187630426084208</v>
      </c>
      <c r="J48" s="17">
        <f>'Alloc Amt'!J48/'Alloc Amt'!$E48</f>
        <v>9.2148778025191558E-2</v>
      </c>
      <c r="K48" s="17">
        <f>'Alloc Amt'!K48/'Alloc Amt'!$E48</f>
        <v>2.0171016944910678E-5</v>
      </c>
      <c r="L48" s="17">
        <f>'Alloc Amt'!L48/'Alloc Amt'!$E48</f>
        <v>4.7108493210432298E-3</v>
      </c>
      <c r="M48" s="17">
        <f>'Alloc Amt'!M48/'Alloc Amt'!$E48</f>
        <v>0</v>
      </c>
      <c r="N48" s="17">
        <f>'Alloc Amt'!N48/'Alloc Amt'!$E48</f>
        <v>0</v>
      </c>
      <c r="O48" s="17">
        <f>'Alloc Amt'!O48/'Alloc Amt'!$E48</f>
        <v>0</v>
      </c>
      <c r="P48" s="17">
        <f>'Alloc Amt'!P48/'Alloc Amt'!$E48</f>
        <v>6.441821404797231E-4</v>
      </c>
      <c r="Q48" s="17">
        <f>'Alloc Amt'!Q48/'Alloc Amt'!$E48</f>
        <v>6.1226167595410694E-5</v>
      </c>
    </row>
    <row r="49" spans="2:17" x14ac:dyDescent="0.25">
      <c r="B49" s="16" t="str">
        <f>'Alloc Amt'!B49</f>
        <v>Allocate Substation Structures - 12 NCP</v>
      </c>
      <c r="C49" s="16" t="str">
        <f>'Alloc Amt'!C49</f>
        <v>NCP_361</v>
      </c>
      <c r="D49" s="16">
        <f>'Alloc Amt'!D49</f>
        <v>43</v>
      </c>
      <c r="E49" s="17">
        <f t="shared" si="0"/>
        <v>1</v>
      </c>
      <c r="F49" s="17">
        <f>'Alloc Amt'!F49/'Alloc Amt'!$E49</f>
        <v>0.50907264722268186</v>
      </c>
      <c r="G49" s="17">
        <f>'Alloc Amt'!G49/'Alloc Amt'!$E49</f>
        <v>0.14013969146770699</v>
      </c>
      <c r="H49" s="17">
        <f>'Alloc Amt'!H49/'Alloc Amt'!$E49</f>
        <v>0.17405056842692465</v>
      </c>
      <c r="I49" s="17">
        <f>'Alloc Amt'!I49/'Alloc Amt'!$E49</f>
        <v>0.10122515458047397</v>
      </c>
      <c r="J49" s="17">
        <f>'Alloc Amt'!J49/'Alloc Amt'!$E49</f>
        <v>6.6454320991222671E-2</v>
      </c>
      <c r="K49" s="17">
        <f>'Alloc Amt'!K49/'Alloc Amt'!$E49</f>
        <v>1.4451838165425855E-7</v>
      </c>
      <c r="L49" s="17">
        <f>'Alloc Amt'!L49/'Alloc Amt'!$E49</f>
        <v>8.1701299292510268E-3</v>
      </c>
      <c r="M49" s="17">
        <f>'Alloc Amt'!M49/'Alloc Amt'!$E49</f>
        <v>0</v>
      </c>
      <c r="N49" s="17">
        <f>'Alloc Amt'!N49/'Alloc Amt'!$E49</f>
        <v>0</v>
      </c>
      <c r="O49" s="17">
        <f>'Alloc Amt'!O49/'Alloc Amt'!$E49</f>
        <v>0</v>
      </c>
      <c r="P49" s="17">
        <f>'Alloc Amt'!P49/'Alloc Amt'!$E49</f>
        <v>7.7353463780441896E-4</v>
      </c>
      <c r="Q49" s="17">
        <f>'Alloc Amt'!Q49/'Alloc Amt'!$E49</f>
        <v>1.1380822555272861E-4</v>
      </c>
    </row>
    <row r="50" spans="2:17" x14ac:dyDescent="0.25">
      <c r="B50" s="16" t="str">
        <f>'Alloc Amt'!B50</f>
        <v>Allocate Substation Equipment - 12 NCP</v>
      </c>
      <c r="C50" s="16" t="str">
        <f>'Alloc Amt'!C50</f>
        <v>NCP_362</v>
      </c>
      <c r="D50" s="16">
        <f>'Alloc Amt'!D50</f>
        <v>44</v>
      </c>
      <c r="E50" s="17">
        <f t="shared" si="0"/>
        <v>1</v>
      </c>
      <c r="F50" s="17">
        <f>'Alloc Amt'!F50/'Alloc Amt'!$E50</f>
        <v>0.55819575126506471</v>
      </c>
      <c r="G50" s="17">
        <f>'Alloc Amt'!G50/'Alloc Amt'!$E50</f>
        <v>0.13495719173795892</v>
      </c>
      <c r="H50" s="17">
        <f>'Alloc Amt'!H50/'Alloc Amt'!$E50</f>
        <v>0.14828956361989737</v>
      </c>
      <c r="I50" s="17">
        <f>'Alloc Amt'!I50/'Alloc Amt'!$E50</f>
        <v>7.8903642153771686E-2</v>
      </c>
      <c r="J50" s="17">
        <f>'Alloc Amt'!J50/'Alloc Amt'!$E50</f>
        <v>7.0246777035593982E-2</v>
      </c>
      <c r="K50" s="17">
        <f>'Alloc Amt'!K50/'Alloc Amt'!$E50</f>
        <v>2.5829713162170485E-4</v>
      </c>
      <c r="L50" s="17">
        <f>'Alloc Amt'!L50/'Alloc Amt'!$E50</f>
        <v>8.0670643143086491E-3</v>
      </c>
      <c r="M50" s="17">
        <f>'Alloc Amt'!M50/'Alloc Amt'!$E50</f>
        <v>0</v>
      </c>
      <c r="N50" s="17">
        <f>'Alloc Amt'!N50/'Alloc Amt'!$E50</f>
        <v>0</v>
      </c>
      <c r="O50" s="17">
        <f>'Alloc Amt'!O50/'Alloc Amt'!$E50</f>
        <v>0</v>
      </c>
      <c r="P50" s="17">
        <f>'Alloc Amt'!P50/'Alloc Amt'!$E50</f>
        <v>8.0672304033179495E-4</v>
      </c>
      <c r="Q50" s="17">
        <f>'Alloc Amt'!Q50/'Alloc Amt'!$E50</f>
        <v>2.74989701451172E-4</v>
      </c>
    </row>
    <row r="51" spans="2:17" x14ac:dyDescent="0.25">
      <c r="B51" s="16" t="str">
        <f>'Alloc Amt'!B51</f>
        <v>Allocate Overhead Lines - 12 NCP</v>
      </c>
      <c r="C51" s="16" t="str">
        <f>'Alloc Amt'!C51</f>
        <v>OH_NCP</v>
      </c>
      <c r="D51" s="16">
        <f>'Alloc Amt'!D51</f>
        <v>45</v>
      </c>
      <c r="E51" s="17">
        <f t="shared" si="0"/>
        <v>0.99999999999999967</v>
      </c>
      <c r="F51" s="17">
        <f>'Alloc Amt'!F51/'Alloc Amt'!$E51</f>
        <v>0.68921305112937814</v>
      </c>
      <c r="G51" s="17">
        <f>'Alloc Amt'!G51/'Alloc Amt'!$E51</f>
        <v>0.1259311043077887</v>
      </c>
      <c r="H51" s="17">
        <f>'Alloc Amt'!H51/'Alloc Amt'!$E51</f>
        <v>9.7902554460059923E-2</v>
      </c>
      <c r="I51" s="17">
        <f>'Alloc Amt'!I51/'Alloc Amt'!$E51</f>
        <v>3.8728716180925514E-2</v>
      </c>
      <c r="J51" s="17">
        <f>'Alloc Amt'!J51/'Alloc Amt'!$E51</f>
        <v>3.6251797925254514E-2</v>
      </c>
      <c r="K51" s="17">
        <f>'Alloc Amt'!K51/'Alloc Amt'!$E51</f>
        <v>9.0800247490940042E-4</v>
      </c>
      <c r="L51" s="17">
        <f>'Alloc Amt'!L51/'Alloc Amt'!$E51</f>
        <v>9.7690620254079971E-3</v>
      </c>
      <c r="M51" s="17">
        <f>'Alloc Amt'!M51/'Alloc Amt'!$E51</f>
        <v>0</v>
      </c>
      <c r="N51" s="17">
        <f>'Alloc Amt'!N51/'Alloc Amt'!$E51</f>
        <v>0</v>
      </c>
      <c r="O51" s="17">
        <f>'Alloc Amt'!O51/'Alloc Amt'!$E51</f>
        <v>0</v>
      </c>
      <c r="P51" s="17">
        <f>'Alloc Amt'!P51/'Alloc Amt'!$E51</f>
        <v>6.0566979244509791E-4</v>
      </c>
      <c r="Q51" s="17">
        <f>'Alloc Amt'!Q51/'Alloc Amt'!$E51</f>
        <v>6.9004170383048463E-4</v>
      </c>
    </row>
    <row r="52" spans="2:17" x14ac:dyDescent="0.25">
      <c r="B52" s="16" t="str">
        <f>'Alloc Amt'!B52</f>
        <v>Allocate Overhead Transformers</v>
      </c>
      <c r="C52" s="16" t="str">
        <f>'Alloc Amt'!C52</f>
        <v>OH_TFMR</v>
      </c>
      <c r="D52" s="16">
        <f>'Alloc Amt'!D52</f>
        <v>46</v>
      </c>
      <c r="E52" s="17">
        <f t="shared" si="0"/>
        <v>1</v>
      </c>
      <c r="F52" s="17">
        <f>'Alloc Amt'!F52/'Alloc Amt'!$E52</f>
        <v>0.74665324496272123</v>
      </c>
      <c r="G52" s="17">
        <f>'Alloc Amt'!G52/'Alloc Amt'!$E52</f>
        <v>0.12228655259406904</v>
      </c>
      <c r="H52" s="17">
        <f>'Alloc Amt'!H52/'Alloc Amt'!$E52</f>
        <v>1.787760126859388E-2</v>
      </c>
      <c r="I52" s="17">
        <f>'Alloc Amt'!I52/'Alloc Amt'!$E52</f>
        <v>2.0159471823135439E-4</v>
      </c>
      <c r="J52" s="17">
        <f>'Alloc Amt'!J52/'Alloc Amt'!$E52</f>
        <v>0</v>
      </c>
      <c r="K52" s="17">
        <f>'Alloc Amt'!K52/'Alloc Amt'!$E52</f>
        <v>0</v>
      </c>
      <c r="L52" s="17">
        <f>'Alloc Amt'!L52/'Alloc Amt'!$E52</f>
        <v>0</v>
      </c>
      <c r="M52" s="17">
        <f>'Alloc Amt'!M52/'Alloc Amt'!$E52</f>
        <v>0</v>
      </c>
      <c r="N52" s="17">
        <f>'Alloc Amt'!N52/'Alloc Amt'!$E52</f>
        <v>0</v>
      </c>
      <c r="O52" s="17">
        <f>'Alloc Amt'!O52/'Alloc Amt'!$E52</f>
        <v>0</v>
      </c>
      <c r="P52" s="17">
        <f>'Alloc Amt'!P52/'Alloc Amt'!$E52</f>
        <v>0.11298100645638461</v>
      </c>
      <c r="Q52" s="17">
        <f>'Alloc Amt'!Q52/'Alloc Amt'!$E52</f>
        <v>0</v>
      </c>
    </row>
    <row r="53" spans="2:17" x14ac:dyDescent="0.25">
      <c r="B53" s="16" t="str">
        <f>'Alloc Amt'!B53</f>
        <v>Allocate Underground Lines - 12 NCP</v>
      </c>
      <c r="C53" s="16" t="str">
        <f>'Alloc Amt'!C53</f>
        <v>UG_NCP</v>
      </c>
      <c r="D53" s="16">
        <f>'Alloc Amt'!D53</f>
        <v>47</v>
      </c>
      <c r="E53" s="17">
        <f t="shared" si="0"/>
        <v>1</v>
      </c>
      <c r="F53" s="17">
        <f>'Alloc Amt'!F53/'Alloc Amt'!$E53</f>
        <v>0.67299453361154526</v>
      </c>
      <c r="G53" s="17">
        <f>'Alloc Amt'!G53/'Alloc Amt'!$E53</f>
        <v>0.11991939258824369</v>
      </c>
      <c r="H53" s="17">
        <f>'Alloc Amt'!H53/'Alloc Amt'!$E53</f>
        <v>0.11190625421483145</v>
      </c>
      <c r="I53" s="17">
        <f>'Alloc Amt'!I53/'Alloc Amt'!$E53</f>
        <v>4.8586593464135255E-2</v>
      </c>
      <c r="J53" s="17">
        <f>'Alloc Amt'!J53/'Alloc Amt'!$E53</f>
        <v>3.4655831739961764E-2</v>
      </c>
      <c r="K53" s="17">
        <f>'Alloc Amt'!K53/'Alloc Amt'!$E53</f>
        <v>4.1156589417897069E-4</v>
      </c>
      <c r="L53" s="17">
        <f>'Alloc Amt'!L53/'Alloc Amt'!$E53</f>
        <v>1.0790960227858746E-2</v>
      </c>
      <c r="M53" s="17">
        <f>'Alloc Amt'!M53/'Alloc Amt'!$E53</f>
        <v>0</v>
      </c>
      <c r="N53" s="17">
        <f>'Alloc Amt'!N53/'Alloc Amt'!$E53</f>
        <v>0</v>
      </c>
      <c r="O53" s="17">
        <f>'Alloc Amt'!O53/'Alloc Amt'!$E53</f>
        <v>0</v>
      </c>
      <c r="P53" s="17">
        <f>'Alloc Amt'!P53/'Alloc Amt'!$E53</f>
        <v>4.6115214648969005E-4</v>
      </c>
      <c r="Q53" s="17">
        <f>'Alloc Amt'!Q53/'Alloc Amt'!$E53</f>
        <v>2.7371611275517083E-4</v>
      </c>
    </row>
    <row r="54" spans="2:17" x14ac:dyDescent="0.25">
      <c r="B54" s="16" t="str">
        <f>'Alloc Amt'!B54</f>
        <v>Allocate Underground Transformers</v>
      </c>
      <c r="C54" s="16" t="str">
        <f>'Alloc Amt'!C54</f>
        <v>UG_TFMR</v>
      </c>
      <c r="D54" s="16">
        <f>'Alloc Amt'!D54</f>
        <v>48</v>
      </c>
      <c r="E54" s="17">
        <f t="shared" si="0"/>
        <v>1</v>
      </c>
      <c r="F54" s="17">
        <f>'Alloc Amt'!F54/'Alloc Amt'!$E54</f>
        <v>0.79887754674390821</v>
      </c>
      <c r="G54" s="17">
        <f>'Alloc Amt'!G54/'Alloc Amt'!$E54</f>
        <v>0.12350228902203479</v>
      </c>
      <c r="H54" s="17">
        <f>'Alloc Amt'!H54/'Alloc Amt'!$E54</f>
        <v>5.8863543514252464E-2</v>
      </c>
      <c r="I54" s="17">
        <f>'Alloc Amt'!I54/'Alloc Amt'!$E54</f>
        <v>1.6265272745806532E-2</v>
      </c>
      <c r="J54" s="17">
        <f>'Alloc Amt'!J54/'Alloc Amt'!$E54</f>
        <v>0</v>
      </c>
      <c r="K54" s="17">
        <f>'Alloc Amt'!K54/'Alloc Amt'!$E54</f>
        <v>0</v>
      </c>
      <c r="L54" s="17">
        <f>'Alloc Amt'!L54/'Alloc Amt'!$E54</f>
        <v>0</v>
      </c>
      <c r="M54" s="17">
        <f>'Alloc Amt'!M54/'Alloc Amt'!$E54</f>
        <v>0</v>
      </c>
      <c r="N54" s="17">
        <f>'Alloc Amt'!N54/'Alloc Amt'!$E54</f>
        <v>0</v>
      </c>
      <c r="O54" s="17">
        <f>'Alloc Amt'!O54/'Alloc Amt'!$E54</f>
        <v>0</v>
      </c>
      <c r="P54" s="17">
        <f>'Alloc Amt'!P54/'Alloc Amt'!$E54</f>
        <v>2.4913479739980173E-3</v>
      </c>
      <c r="Q54" s="17">
        <f>'Alloc Amt'!Q54/'Alloc Amt'!$E54</f>
        <v>0</v>
      </c>
    </row>
    <row r="55" spans="2:17" x14ac:dyDescent="0.25">
      <c r="B55" s="16" t="str">
        <f>'Alloc Amt'!B55</f>
        <v>Equip. (Transformer &amp; Substation) Rentals</v>
      </c>
      <c r="C55" s="16" t="str">
        <f>'Alloc Amt'!C55</f>
        <v>DIR454.05</v>
      </c>
      <c r="D55" s="16">
        <f>'Alloc Amt'!D55</f>
        <v>49</v>
      </c>
      <c r="E55" s="17">
        <f t="shared" si="0"/>
        <v>1</v>
      </c>
      <c r="F55" s="17">
        <f>'Alloc Amt'!F55/'Alloc Amt'!$E55</f>
        <v>0</v>
      </c>
      <c r="G55" s="17">
        <f>'Alloc Amt'!G55/'Alloc Amt'!$E55</f>
        <v>0</v>
      </c>
      <c r="H55" s="17">
        <f>'Alloc Amt'!H55/'Alloc Amt'!$E55</f>
        <v>0</v>
      </c>
      <c r="I55" s="17">
        <f>'Alloc Amt'!I55/'Alloc Amt'!$E55</f>
        <v>0</v>
      </c>
      <c r="J55" s="17">
        <f>'Alloc Amt'!J55/'Alloc Amt'!$E55</f>
        <v>0.10144294625330887</v>
      </c>
      <c r="K55" s="17">
        <f>'Alloc Amt'!K55/'Alloc Amt'!$E55</f>
        <v>0</v>
      </c>
      <c r="L55" s="17">
        <f>'Alloc Amt'!L55/'Alloc Amt'!$E55</f>
        <v>2.799036703816662E-3</v>
      </c>
      <c r="M55" s="17">
        <f>'Alloc Amt'!M55/'Alloc Amt'!$E55</f>
        <v>1.7590802956872518E-2</v>
      </c>
      <c r="N55" s="17">
        <f>'Alloc Amt'!N55/'Alloc Amt'!$E55</f>
        <v>0.64840571020737992</v>
      </c>
      <c r="O55" s="17">
        <f>'Alloc Amt'!O55/'Alloc Amt'!$E55</f>
        <v>0.22898862239199153</v>
      </c>
      <c r="P55" s="17">
        <f>'Alloc Amt'!P55/'Alloc Amt'!$E55</f>
        <v>0</v>
      </c>
      <c r="Q55" s="17">
        <f>'Alloc Amt'!Q55/'Alloc Amt'!$E55</f>
        <v>7.7288148663056267E-4</v>
      </c>
    </row>
    <row r="56" spans="2:17" x14ac:dyDescent="0.25">
      <c r="B56" s="16" t="str">
        <f>'Alloc Amt'!B56</f>
        <v>BPA Residential Exchange kWh</v>
      </c>
      <c r="C56" s="16" t="str">
        <f>'Alloc Amt'!C56</f>
        <v>BPAX</v>
      </c>
      <c r="D56" s="16">
        <f>'Alloc Amt'!D56</f>
        <v>50</v>
      </c>
      <c r="E56" s="17">
        <f t="shared" si="0"/>
        <v>1.0000000000000002</v>
      </c>
      <c r="F56" s="17">
        <f>'Alloc Amt'!F56/'Alloc Amt'!$E56</f>
        <v>0.95739981183891798</v>
      </c>
      <c r="G56" s="17">
        <f>'Alloc Amt'!G56/'Alloc Amt'!$E56</f>
        <v>2.2868341466137396E-2</v>
      </c>
      <c r="H56" s="17">
        <f>'Alloc Amt'!H56/'Alloc Amt'!$E56</f>
        <v>1.4828277473490617E-2</v>
      </c>
      <c r="I56" s="17">
        <f>'Alloc Amt'!I56/'Alloc Amt'!$E56</f>
        <v>1.53118061956057E-3</v>
      </c>
      <c r="J56" s="17">
        <f>'Alloc Amt'!J56/'Alloc Amt'!$E56</f>
        <v>2.7939624691731232E-3</v>
      </c>
      <c r="K56" s="17">
        <f>'Alloc Amt'!K56/'Alloc Amt'!$E56</f>
        <v>4.053721618877991E-4</v>
      </c>
      <c r="L56" s="17">
        <f>'Alloc Amt'!L56/'Alloc Amt'!$E56</f>
        <v>0</v>
      </c>
      <c r="M56" s="17">
        <f>'Alloc Amt'!M56/'Alloc Amt'!$E56</f>
        <v>0</v>
      </c>
      <c r="N56" s="17">
        <f>'Alloc Amt'!N56/'Alloc Amt'!$E56</f>
        <v>0</v>
      </c>
      <c r="O56" s="17">
        <f>'Alloc Amt'!O56/'Alloc Amt'!$E56</f>
        <v>0</v>
      </c>
      <c r="P56" s="17">
        <f>'Alloc Amt'!P56/'Alloc Amt'!$E56</f>
        <v>1.730539708326799E-4</v>
      </c>
      <c r="Q56" s="17">
        <f>'Alloc Amt'!Q56/'Alloc Amt'!$E56</f>
        <v>0</v>
      </c>
    </row>
    <row r="57" spans="2:17" x14ac:dyDescent="0.25">
      <c r="B57" s="16" t="str">
        <f>'Alloc Amt'!B57</f>
        <v>Annual kWhs</v>
      </c>
      <c r="C57" s="16" t="str">
        <f>'Alloc Amt'!C57</f>
        <v>ENERGY_1</v>
      </c>
      <c r="D57" s="16">
        <f>'Alloc Amt'!D57</f>
        <v>51</v>
      </c>
      <c r="E57" s="17">
        <f t="shared" si="0"/>
        <v>1.0000000000000002</v>
      </c>
      <c r="F57" s="17">
        <f>'Alloc Amt'!F57/'Alloc Amt'!$E57</f>
        <v>0.46946948808579064</v>
      </c>
      <c r="G57" s="17">
        <f>'Alloc Amt'!G57/'Alloc Amt'!$E57</f>
        <v>0.11928668823213764</v>
      </c>
      <c r="H57" s="17">
        <f>'Alloc Amt'!H57/'Alloc Amt'!$E57</f>
        <v>0.13265593226868866</v>
      </c>
      <c r="I57" s="17">
        <f>'Alloc Amt'!I57/'Alloc Amt'!$E57</f>
        <v>8.5611604249118026E-2</v>
      </c>
      <c r="J57" s="17">
        <f>'Alloc Amt'!J57/'Alloc Amt'!$E57</f>
        <v>5.9563656321470794E-2</v>
      </c>
      <c r="K57" s="17">
        <f>'Alloc Amt'!K57/'Alloc Amt'!$E57</f>
        <v>1.8807869934750154E-4</v>
      </c>
      <c r="L57" s="17">
        <f>'Alloc Amt'!L57/'Alloc Amt'!$E57</f>
        <v>5.1908808400267454E-3</v>
      </c>
      <c r="M57" s="17">
        <f>'Alloc Amt'!M57/'Alloc Amt'!$E57</f>
        <v>1.4321216171680274E-2</v>
      </c>
      <c r="N57" s="17">
        <f>'Alloc Amt'!N57/'Alloc Amt'!$E57</f>
        <v>2.5781572231941885E-2</v>
      </c>
      <c r="O57" s="17">
        <f>'Alloc Amt'!O57/'Alloc Amt'!$E57</f>
        <v>8.4522636161368028E-2</v>
      </c>
      <c r="P57" s="17">
        <f>'Alloc Amt'!P57/'Alloc Amt'!$E57</f>
        <v>3.1044209190118507E-3</v>
      </c>
      <c r="Q57" s="17">
        <f>'Alloc Amt'!Q57/'Alloc Amt'!$E57</f>
        <v>3.038258194181609E-4</v>
      </c>
    </row>
    <row r="58" spans="2:17" x14ac:dyDescent="0.25">
      <c r="B58" s="16" t="str">
        <f>'Alloc Amt'!B58</f>
        <v>Energy - NO RETAIL WHEELING</v>
      </c>
      <c r="C58" s="16" t="str">
        <f>'Alloc Amt'!C58</f>
        <v>ENERGY_2</v>
      </c>
      <c r="D58" s="16">
        <f>'Alloc Amt'!D58</f>
        <v>52</v>
      </c>
      <c r="E58" s="17">
        <f t="shared" si="0"/>
        <v>1.0000000000000004</v>
      </c>
      <c r="F58" s="17">
        <f>'Alloc Amt'!F58/'Alloc Amt'!$E58</f>
        <v>0.52096353035067644</v>
      </c>
      <c r="G58" s="17">
        <f>'Alloc Amt'!G58/'Alloc Amt'!$E58</f>
        <v>0.13237072014762916</v>
      </c>
      <c r="H58" s="17">
        <f>'Alloc Amt'!H58/'Alloc Amt'!$E58</f>
        <v>0.14720637773168196</v>
      </c>
      <c r="I58" s="17">
        <f>'Alloc Amt'!I58/'Alloc Amt'!$E58</f>
        <v>9.5001964388482726E-2</v>
      </c>
      <c r="J58" s="17">
        <f>'Alloc Amt'!J58/'Alloc Amt'!$E58</f>
        <v>6.6096931675690307E-2</v>
      </c>
      <c r="K58" s="17">
        <f>'Alloc Amt'!K58/'Alloc Amt'!$E58</f>
        <v>2.0870822424551828E-4</v>
      </c>
      <c r="L58" s="17">
        <f>'Alloc Amt'!L58/'Alloc Amt'!$E58</f>
        <v>5.760245717088738E-3</v>
      </c>
      <c r="M58" s="17">
        <f>'Alloc Amt'!M58/'Alloc Amt'!$E58</f>
        <v>0</v>
      </c>
      <c r="N58" s="17">
        <f>'Alloc Amt'!N58/'Alloc Amt'!$E58</f>
        <v>2.8609439439201616E-2</v>
      </c>
      <c r="O58" s="17">
        <f>'Alloc Amt'!O58/'Alloc Amt'!$E58</f>
        <v>0</v>
      </c>
      <c r="P58" s="17">
        <f>'Alloc Amt'!P58/'Alloc Amt'!$E58</f>
        <v>3.4449311887279929E-3</v>
      </c>
      <c r="Q58" s="17">
        <f>'Alloc Amt'!Q58/'Alloc Amt'!$E58</f>
        <v>3.3715113657577629E-4</v>
      </c>
    </row>
    <row r="59" spans="2:17" x14ac:dyDescent="0.25">
      <c r="B59" s="16"/>
      <c r="C59" s="16" t="str">
        <f>'Alloc Amt'!C59</f>
        <v/>
      </c>
      <c r="D59" s="16">
        <f>'Alloc Amt'!D59</f>
        <v>53</v>
      </c>
      <c r="E59" s="17"/>
      <c r="F59" s="17"/>
      <c r="G59" s="17"/>
      <c r="H59" s="17"/>
      <c r="I59" s="17"/>
      <c r="J59" s="17"/>
      <c r="K59" s="17" t="e">
        <f>'Alloc Amt'!K59/'Alloc Amt'!$E59</f>
        <v>#DIV/0!</v>
      </c>
      <c r="L59" s="17" t="e">
        <f>'Alloc Amt'!L59/'Alloc Amt'!$E59</f>
        <v>#DIV/0!</v>
      </c>
      <c r="M59" s="17"/>
      <c r="N59" s="17"/>
      <c r="O59" s="17"/>
      <c r="P59" s="17"/>
      <c r="Q59" s="17"/>
    </row>
    <row r="60" spans="2:17" x14ac:dyDescent="0.25">
      <c r="B60" s="16" t="str">
        <f>'Alloc Amt'!B60</f>
        <v>Total Struct and Improvements</v>
      </c>
      <c r="C60" s="16" t="str">
        <f>'Alloc Amt'!C60</f>
        <v>D360.T</v>
      </c>
      <c r="D60" s="16">
        <f>'Alloc Amt'!D60</f>
        <v>54</v>
      </c>
      <c r="E60" s="17">
        <f t="shared" si="0"/>
        <v>1</v>
      </c>
      <c r="F60" s="17">
        <f>'Alloc Amt'!F60/'Alloc Amt'!$E60</f>
        <v>0.41509586189218001</v>
      </c>
      <c r="G60" s="17">
        <f>'Alloc Amt'!G60/'Alloc Amt'!$E60</f>
        <v>0.13381695807838143</v>
      </c>
      <c r="H60" s="17">
        <f>'Alloc Amt'!H60/'Alloc Amt'!$E60</f>
        <v>0.174100275586166</v>
      </c>
      <c r="I60" s="17">
        <f>'Alloc Amt'!I60/'Alloc Amt'!$E60</f>
        <v>0.10232017059466648</v>
      </c>
      <c r="J60" s="17">
        <f>'Alloc Amt'!J60/'Alloc Amt'!$E60</f>
        <v>8.4277709653730451E-2</v>
      </c>
      <c r="K60" s="17">
        <f>'Alloc Amt'!K60/'Alloc Amt'!$E60</f>
        <v>1.8448070022577224E-5</v>
      </c>
      <c r="L60" s="17">
        <f>'Alloc Amt'!L60/'Alloc Amt'!$E60</f>
        <v>4.3084628989091709E-3</v>
      </c>
      <c r="M60" s="17">
        <f>'Alloc Amt'!M60/'Alloc Amt'!$E60</f>
        <v>8.5105302366655061E-2</v>
      </c>
      <c r="N60" s="17">
        <f>'Alloc Amt'!N60/'Alloc Amt'!$E60</f>
        <v>3.1165638356659895E-4</v>
      </c>
      <c r="O60" s="17">
        <f>'Alloc Amt'!O60/'Alloc Amt'!$E60</f>
        <v>0</v>
      </c>
      <c r="P60" s="17">
        <f>'Alloc Amt'!P60/'Alloc Amt'!$E60</f>
        <v>5.8915806115873715E-4</v>
      </c>
      <c r="Q60" s="17">
        <f>'Alloc Amt'!Q60/'Alloc Amt'!$E60</f>
        <v>5.5996414563479347E-5</v>
      </c>
    </row>
    <row r="61" spans="2:17" x14ac:dyDescent="0.25">
      <c r="B61" s="16" t="str">
        <f>'Alloc Amt'!B61</f>
        <v>Total Struct and Improvements</v>
      </c>
      <c r="C61" s="16" t="str">
        <f>'Alloc Amt'!C61</f>
        <v>D361.T</v>
      </c>
      <c r="D61" s="16">
        <f>'Alloc Amt'!D61</f>
        <v>55</v>
      </c>
      <c r="E61" s="17">
        <f t="shared" si="0"/>
        <v>0.99999999999999978</v>
      </c>
      <c r="F61" s="17">
        <f>'Alloc Amt'!F61/'Alloc Amt'!$E61</f>
        <v>0.4680858253113081</v>
      </c>
      <c r="G61" s="17">
        <f>'Alloc Amt'!G61/'Alloc Amt'!$E61</f>
        <v>0.12885666416651859</v>
      </c>
      <c r="H61" s="17">
        <f>'Alloc Amt'!H61/'Alloc Amt'!$E61</f>
        <v>0.16003728429035383</v>
      </c>
      <c r="I61" s="17">
        <f>'Alloc Amt'!I61/'Alloc Amt'!$E61</f>
        <v>9.3075242369758934E-2</v>
      </c>
      <c r="J61" s="17">
        <f>'Alloc Amt'!J61/'Alloc Amt'!$E61</f>
        <v>6.1103903060563222E-2</v>
      </c>
      <c r="K61" s="17">
        <f>'Alloc Amt'!K61/'Alloc Amt'!$E61</f>
        <v>1.3288281410982515E-7</v>
      </c>
      <c r="L61" s="17">
        <f>'Alloc Amt'!L61/'Alloc Amt'!$E61</f>
        <v>7.5123305714778002E-3</v>
      </c>
      <c r="M61" s="17">
        <f>'Alloc Amt'!M61/'Alloc Amt'!$E61</f>
        <v>4.4312726305513132E-2</v>
      </c>
      <c r="N61" s="17">
        <f>'Alloc Amt'!N61/'Alloc Amt'!$E61</f>
        <v>1.6565318693069903E-2</v>
      </c>
      <c r="O61" s="17">
        <f>'Alloc Amt'!O61/'Alloc Amt'!$E61</f>
        <v>1.9634671869987963E-2</v>
      </c>
      <c r="P61" s="17">
        <f>'Alloc Amt'!P61/'Alloc Amt'!$E61</f>
        <v>7.1125526252283913E-4</v>
      </c>
      <c r="Q61" s="17">
        <f>'Alloc Amt'!Q61/'Alloc Amt'!$E61</f>
        <v>1.0464521611148729E-4</v>
      </c>
    </row>
    <row r="62" spans="2:17" x14ac:dyDescent="0.25">
      <c r="B62" s="16" t="str">
        <f>'Alloc Amt'!B62</f>
        <v>Total Station Equip</v>
      </c>
      <c r="C62" s="16" t="str">
        <f>'Alloc Amt'!C62</f>
        <v>D362.T</v>
      </c>
      <c r="D62" s="16">
        <f>'Alloc Amt'!D62</f>
        <v>56</v>
      </c>
      <c r="E62" s="17">
        <f t="shared" si="0"/>
        <v>1</v>
      </c>
      <c r="F62" s="17">
        <f>'Alloc Amt'!F62/'Alloc Amt'!$E62</f>
        <v>0.51858841423055357</v>
      </c>
      <c r="G62" s="17">
        <f>'Alloc Amt'!G62/'Alloc Amt'!$E62</f>
        <v>0.12538116940836902</v>
      </c>
      <c r="H62" s="17">
        <f>'Alloc Amt'!H62/'Alloc Amt'!$E62</f>
        <v>0.13776752952758692</v>
      </c>
      <c r="I62" s="17">
        <f>'Alloc Amt'!I62/'Alloc Amt'!$E62</f>
        <v>7.3304955418961912E-2</v>
      </c>
      <c r="J62" s="17">
        <f>'Alloc Amt'!J62/'Alloc Amt'!$E62</f>
        <v>6.6651924897408121E-2</v>
      </c>
      <c r="K62" s="17">
        <f>'Alloc Amt'!K62/'Alloc Amt'!$E62</f>
        <v>2.3996940067068528E-4</v>
      </c>
      <c r="L62" s="17">
        <f>'Alloc Amt'!L62/'Alloc Amt'!$E62</f>
        <v>7.4946577088270258E-3</v>
      </c>
      <c r="M62" s="17">
        <f>'Alloc Amt'!M62/'Alloc Amt'!$E62</f>
        <v>3.2175369910860237E-2</v>
      </c>
      <c r="N62" s="17">
        <f>'Alloc Amt'!N62/'Alloc Amt'!$E62</f>
        <v>2.61323521776314E-2</v>
      </c>
      <c r="O62" s="17">
        <f>'Alloc Amt'!O62/'Alloc Amt'!$E62</f>
        <v>1.125869858531273E-2</v>
      </c>
      <c r="P62" s="17">
        <f>'Alloc Amt'!P62/'Alloc Amt'!$E62</f>
        <v>7.4948120128247883E-4</v>
      </c>
      <c r="Q62" s="17">
        <f>'Alloc Amt'!Q62/'Alloc Amt'!$E62</f>
        <v>2.5547753253603425E-4</v>
      </c>
    </row>
    <row r="63" spans="2:17" x14ac:dyDescent="0.25">
      <c r="B63" s="16" t="str">
        <f>'Alloc Amt'!B63</f>
        <v>Total OVHD Lines</v>
      </c>
      <c r="C63" s="16" t="str">
        <f>'Alloc Amt'!C63</f>
        <v>D364.T</v>
      </c>
      <c r="D63" s="16">
        <f>'Alloc Amt'!D63</f>
        <v>57</v>
      </c>
      <c r="E63" s="17">
        <f t="shared" si="0"/>
        <v>1</v>
      </c>
      <c r="F63" s="17">
        <f>'Alloc Amt'!F63/'Alloc Amt'!$E63</f>
        <v>0.68915445542510678</v>
      </c>
      <c r="G63" s="17">
        <f>'Alloc Amt'!G63/'Alloc Amt'!$E63</f>
        <v>0.12592039786261258</v>
      </c>
      <c r="H63" s="17">
        <f>'Alloc Amt'!H63/'Alloc Amt'!$E63</f>
        <v>9.7894230953824588E-2</v>
      </c>
      <c r="I63" s="17">
        <f>'Alloc Amt'!I63/'Alloc Amt'!$E63</f>
        <v>3.8725423532307748E-2</v>
      </c>
      <c r="J63" s="17">
        <f>'Alloc Amt'!J63/'Alloc Amt'!$E63</f>
        <v>3.6248715859952575E-2</v>
      </c>
      <c r="K63" s="17">
        <f>'Alloc Amt'!K63/'Alloc Amt'!$E63</f>
        <v>9.0792527810587185E-4</v>
      </c>
      <c r="L63" s="17">
        <f>'Alloc Amt'!L63/'Alloc Amt'!$E63</f>
        <v>9.7682314766125121E-3</v>
      </c>
      <c r="M63" s="17">
        <f>'Alloc Amt'!M63/'Alloc Amt'!$E63</f>
        <v>8.5018274357135282E-5</v>
      </c>
      <c r="N63" s="17">
        <f>'Alloc Amt'!N63/'Alloc Amt'!$E63</f>
        <v>0</v>
      </c>
      <c r="O63" s="17">
        <f>'Alloc Amt'!O63/'Alloc Amt'!$E63</f>
        <v>0</v>
      </c>
      <c r="P63" s="17">
        <f>'Alloc Amt'!P63/'Alloc Amt'!$E63</f>
        <v>6.0561829944451404E-4</v>
      </c>
      <c r="Q63" s="17">
        <f>'Alloc Amt'!Q63/'Alloc Amt'!$E63</f>
        <v>6.8998303767559075E-4</v>
      </c>
    </row>
    <row r="64" spans="2:17" x14ac:dyDescent="0.25">
      <c r="B64" s="16" t="str">
        <f>'Alloc Amt'!B64</f>
        <v>Total UNGD Lines</v>
      </c>
      <c r="C64" s="16" t="str">
        <f>'Alloc Amt'!C64</f>
        <v>D366.T</v>
      </c>
      <c r="D64" s="16">
        <f>'Alloc Amt'!D64</f>
        <v>58</v>
      </c>
      <c r="E64" s="17">
        <f t="shared" si="0"/>
        <v>0.99999999999999989</v>
      </c>
      <c r="F64" s="17">
        <f>'Alloc Amt'!F64/'Alloc Amt'!$E64</f>
        <v>0.6618345248286378</v>
      </c>
      <c r="G64" s="17">
        <f>'Alloc Amt'!G64/'Alloc Amt'!$E64</f>
        <v>0.1179308155527901</v>
      </c>
      <c r="H64" s="17">
        <f>'Alloc Amt'!H64/'Alloc Amt'!$E64</f>
        <v>0.11005055596242834</v>
      </c>
      <c r="I64" s="17">
        <f>'Alloc Amt'!I64/'Alloc Amt'!$E64</f>
        <v>4.7780900724134073E-2</v>
      </c>
      <c r="J64" s="17">
        <f>'Alloc Amt'!J64/'Alloc Amt'!$E64</f>
        <v>3.4081147448662343E-2</v>
      </c>
      <c r="K64" s="17">
        <f>'Alloc Amt'!K64/'Alloc Amt'!$E64</f>
        <v>4.0474105569308542E-4</v>
      </c>
      <c r="L64" s="17">
        <f>'Alloc Amt'!L64/'Alloc Amt'!$E64</f>
        <v>1.0612017896377017E-2</v>
      </c>
      <c r="M64" s="17">
        <f>'Alloc Amt'!M64/'Alloc Amt'!$E64</f>
        <v>1.3327760578564132E-2</v>
      </c>
      <c r="N64" s="17">
        <f>'Alloc Amt'!N64/'Alloc Amt'!$E64</f>
        <v>3.2354107552215535E-3</v>
      </c>
      <c r="O64" s="17">
        <f>'Alloc Amt'!O64/'Alloc Amt'!$E64</f>
        <v>1.9442975157615245E-5</v>
      </c>
      <c r="P64" s="17">
        <f>'Alloc Amt'!P64/'Alloc Amt'!$E64</f>
        <v>4.5350503830671017E-4</v>
      </c>
      <c r="Q64" s="17">
        <f>'Alloc Amt'!Q64/'Alloc Amt'!$E64</f>
        <v>2.6917718402720857E-4</v>
      </c>
    </row>
    <row r="65" spans="2:17" x14ac:dyDescent="0.25">
      <c r="B65" s="16" t="str">
        <f>'Alloc Amt'!B65</f>
        <v>Total Transformers</v>
      </c>
      <c r="C65" s="16" t="str">
        <f>'Alloc Amt'!C65</f>
        <v>D368.T</v>
      </c>
      <c r="D65" s="16">
        <f>'Alloc Amt'!D65</f>
        <v>59</v>
      </c>
      <c r="E65" s="17">
        <f t="shared" si="0"/>
        <v>1</v>
      </c>
      <c r="F65" s="17">
        <f>'Alloc Amt'!F65/'Alloc Amt'!$E65</f>
        <v>0.76860895667659923</v>
      </c>
      <c r="G65" s="17">
        <f>'Alloc Amt'!G65/'Alloc Amt'!$E65</f>
        <v>0.12120626823507302</v>
      </c>
      <c r="H65" s="17">
        <f>'Alloc Amt'!H65/'Alloc Amt'!$E65</f>
        <v>4.372656758925398E-2</v>
      </c>
      <c r="I65" s="17">
        <f>'Alloc Amt'!I65/'Alloc Amt'!$E65</f>
        <v>1.0435850275683337E-2</v>
      </c>
      <c r="J65" s="17">
        <f>'Alloc Amt'!J65/'Alloc Amt'!$E65</f>
        <v>5.0200078368246824E-3</v>
      </c>
      <c r="K65" s="17">
        <f>'Alloc Amt'!K65/'Alloc Amt'!$E65</f>
        <v>0</v>
      </c>
      <c r="L65" s="17">
        <f>'Alloc Amt'!L65/'Alloc Amt'!$E65</f>
        <v>2.8770402908134937E-4</v>
      </c>
      <c r="M65" s="17">
        <f>'Alloc Amt'!M65/'Alloc Amt'!$E65</f>
        <v>9.7440229574976001E-3</v>
      </c>
      <c r="N65" s="17">
        <f>'Alloc Amt'!N65/'Alloc Amt'!$E65</f>
        <v>0</v>
      </c>
      <c r="O65" s="17">
        <f>'Alloc Amt'!O65/'Alloc Amt'!$E65</f>
        <v>0</v>
      </c>
      <c r="P65" s="17">
        <f>'Alloc Amt'!P65/'Alloc Amt'!$E65</f>
        <v>4.0852512486409677E-2</v>
      </c>
      <c r="Q65" s="17">
        <f>'Alloc Amt'!Q65/'Alloc Amt'!$E65</f>
        <v>1.1810991357723771E-4</v>
      </c>
    </row>
    <row r="66" spans="2:17" x14ac:dyDescent="0.25">
      <c r="B66" s="16" t="str">
        <f>'Alloc Amt'!B66</f>
        <v>Total Services</v>
      </c>
      <c r="C66" s="16" t="str">
        <f>'Alloc Amt'!C66</f>
        <v>D369.T</v>
      </c>
      <c r="D66" s="16">
        <f>'Alloc Amt'!D66</f>
        <v>60</v>
      </c>
      <c r="E66" s="17">
        <f t="shared" si="0"/>
        <v>0.99999999999999989</v>
      </c>
      <c r="F66" s="17">
        <f>'Alloc Amt'!F66/'Alloc Amt'!$E66</f>
        <v>0.97036166720357897</v>
      </c>
      <c r="G66" s="17">
        <f>'Alloc Amt'!G66/'Alloc Amt'!$E66</f>
        <v>2.852187071103433E-2</v>
      </c>
      <c r="H66" s="17">
        <f>'Alloc Amt'!H66/'Alloc Amt'!$E66</f>
        <v>1.0927859337173638E-3</v>
      </c>
      <c r="I66" s="17">
        <f>'Alloc Amt'!I66/'Alloc Amt'!$E66</f>
        <v>2.3676151669369943E-5</v>
      </c>
      <c r="J66" s="17">
        <f>'Alloc Amt'!J66/'Alloc Amt'!$E66</f>
        <v>0</v>
      </c>
      <c r="K66" s="17">
        <f>'Alloc Amt'!K66/'Alloc Amt'!$E66</f>
        <v>0</v>
      </c>
      <c r="L66" s="17">
        <f>'Alloc Amt'!L66/'Alloc Amt'!$E66</f>
        <v>0</v>
      </c>
      <c r="M66" s="17">
        <f>'Alloc Amt'!M66/'Alloc Amt'!$E66</f>
        <v>0</v>
      </c>
      <c r="N66" s="17">
        <f>'Alloc Amt'!N66/'Alloc Amt'!$E66</f>
        <v>0</v>
      </c>
      <c r="O66" s="17">
        <f>'Alloc Amt'!O66/'Alloc Amt'!$E66</f>
        <v>0</v>
      </c>
      <c r="P66" s="17">
        <f>'Alloc Amt'!P66/'Alloc Amt'!$E66</f>
        <v>0</v>
      </c>
      <c r="Q66" s="17">
        <f>'Alloc Amt'!Q66/'Alloc Amt'!$E66</f>
        <v>0</v>
      </c>
    </row>
    <row r="67" spans="2:17" x14ac:dyDescent="0.25">
      <c r="B67" s="16" t="str">
        <f>'Alloc Amt'!B67</f>
        <v>Total Meters</v>
      </c>
      <c r="C67" s="16" t="str">
        <f>'Alloc Amt'!C67</f>
        <v>D370.T</v>
      </c>
      <c r="D67" s="16">
        <f>'Alloc Amt'!D67</f>
        <v>61</v>
      </c>
      <c r="E67" s="17">
        <f t="shared" si="0"/>
        <v>1</v>
      </c>
      <c r="F67" s="17">
        <f>'Alloc Amt'!F67/'Alloc Amt'!$E67</f>
        <v>0.64922596597539906</v>
      </c>
      <c r="G67" s="17">
        <f>'Alloc Amt'!G67/'Alloc Amt'!$E67</f>
        <v>0.18222827816849618</v>
      </c>
      <c r="H67" s="17">
        <f>'Alloc Amt'!H67/'Alloc Amt'!$E67</f>
        <v>5.3855034276632484E-2</v>
      </c>
      <c r="I67" s="17">
        <f>'Alloc Amt'!I67/'Alloc Amt'!$E67</f>
        <v>6.0528439085588345E-3</v>
      </c>
      <c r="J67" s="17">
        <f>'Alloc Amt'!J67/'Alloc Amt'!$E67</f>
        <v>7.2499760370043104E-2</v>
      </c>
      <c r="K67" s="17">
        <f>'Alloc Amt'!K67/'Alloc Amt'!$E67</f>
        <v>2.3506706645110047E-4</v>
      </c>
      <c r="L67" s="17">
        <f>'Alloc Amt'!L67/'Alloc Amt'!$E67</f>
        <v>2.3430594920694083E-2</v>
      </c>
      <c r="M67" s="17">
        <f>'Alloc Amt'!M67/'Alloc Amt'!$E67</f>
        <v>4.7388718767973573E-3</v>
      </c>
      <c r="N67" s="17">
        <f>'Alloc Amt'!N67/'Alloc Amt'!$E67</f>
        <v>2.9428281467112002E-3</v>
      </c>
      <c r="O67" s="17">
        <f>'Alloc Amt'!O67/'Alloc Amt'!$E67</f>
        <v>4.7379279512920367E-3</v>
      </c>
      <c r="P67" s="17">
        <f>'Alloc Amt'!P67/'Alloc Amt'!$E67</f>
        <v>0</v>
      </c>
      <c r="Q67" s="17">
        <f>'Alloc Amt'!Q67/'Alloc Amt'!$E67</f>
        <v>5.2827338924457138E-5</v>
      </c>
    </row>
    <row r="68" spans="2:17" x14ac:dyDescent="0.25">
      <c r="B68" s="16" t="str">
        <f>'Alloc Amt'!B68</f>
        <v>Adj Total Prod Trans Dist &amp; Cust Exp</v>
      </c>
      <c r="C68" s="16" t="str">
        <f>'Alloc Amt'!C68</f>
        <v>ADJPTDCE.T</v>
      </c>
      <c r="D68" s="16">
        <f>'Alloc Amt'!D68</f>
        <v>62</v>
      </c>
      <c r="E68" s="17">
        <f t="shared" si="0"/>
        <v>1</v>
      </c>
      <c r="F68" s="17">
        <f>'Alloc Amt'!F68/'Alloc Amt'!$E68</f>
        <v>0.6376775469585414</v>
      </c>
      <c r="G68" s="17">
        <f>'Alloc Amt'!G68/'Alloc Amt'!$E68</f>
        <v>0.12211226593177807</v>
      </c>
      <c r="H68" s="17">
        <f>'Alloc Amt'!H68/'Alloc Amt'!$E68</f>
        <v>0.1010020344055093</v>
      </c>
      <c r="I68" s="17">
        <f>'Alloc Amt'!I68/'Alloc Amt'!$E68</f>
        <v>5.5568589328310831E-2</v>
      </c>
      <c r="J68" s="17">
        <f>'Alloc Amt'!J68/'Alloc Amt'!$E68</f>
        <v>4.4319252053344547E-2</v>
      </c>
      <c r="K68" s="17">
        <f>'Alloc Amt'!K68/'Alloc Amt'!$E68</f>
        <v>2.5208272754795921E-4</v>
      </c>
      <c r="L68" s="17">
        <f>'Alloc Amt'!L68/'Alloc Amt'!$E68</f>
        <v>5.3760012152860902E-3</v>
      </c>
      <c r="M68" s="17">
        <f>'Alloc Amt'!M68/'Alloc Amt'!$E68</f>
        <v>3.1730962940555948E-3</v>
      </c>
      <c r="N68" s="17">
        <f>'Alloc Amt'!N68/'Alloc Amt'!$E68</f>
        <v>1.3143135841417661E-2</v>
      </c>
      <c r="O68" s="17">
        <f>'Alloc Amt'!O68/'Alloc Amt'!$E68</f>
        <v>6.3326574068415017E-3</v>
      </c>
      <c r="P68" s="17">
        <f>'Alloc Amt'!P68/'Alloc Amt'!$E68</f>
        <v>1.0739890641714274E-2</v>
      </c>
      <c r="Q68" s="17">
        <f>'Alloc Amt'!Q68/'Alloc Amt'!$E68</f>
        <v>3.0344719565264386E-4</v>
      </c>
    </row>
    <row r="69" spans="2:17" x14ac:dyDescent="0.25">
      <c r="B69" s="16" t="str">
        <f>'Alloc Amt'!B69</f>
        <v>Cust Accts Exp - Total</v>
      </c>
      <c r="C69" s="16" t="str">
        <f>'Alloc Amt'!C69</f>
        <v>CAE.T</v>
      </c>
      <c r="D69" s="16">
        <f>'Alloc Amt'!D69</f>
        <v>63</v>
      </c>
      <c r="E69" s="17">
        <f t="shared" si="0"/>
        <v>0.99999999999999989</v>
      </c>
      <c r="F69" s="17">
        <f>'Alloc Amt'!F69/'Alloc Amt'!$E69</f>
        <v>0.86981467817275548</v>
      </c>
      <c r="G69" s="17">
        <f>'Alloc Amt'!G69/'Alloc Amt'!$E69</f>
        <v>9.111468829229491E-2</v>
      </c>
      <c r="H69" s="17">
        <f>'Alloc Amt'!H69/'Alloc Amt'!$E69</f>
        <v>9.1672643211608285E-3</v>
      </c>
      <c r="I69" s="17">
        <f>'Alloc Amt'!I69/'Alloc Amt'!$E69</f>
        <v>9.7273275592434372E-3</v>
      </c>
      <c r="J69" s="17">
        <f>'Alloc Amt'!J69/'Alloc Amt'!$E69</f>
        <v>1.0513868848967706E-2</v>
      </c>
      <c r="K69" s="17">
        <f>'Alloc Amt'!K69/'Alloc Amt'!$E69</f>
        <v>8.8754372700977676E-7</v>
      </c>
      <c r="L69" s="17">
        <f>'Alloc Amt'!L69/'Alloc Amt'!$E69</f>
        <v>2.9426708546199514E-4</v>
      </c>
      <c r="M69" s="17">
        <f>'Alloc Amt'!M69/'Alloc Amt'!$E69</f>
        <v>1.1940283351342337E-3</v>
      </c>
      <c r="N69" s="17">
        <f>'Alloc Amt'!N69/'Alloc Amt'!$E69</f>
        <v>1.9046189960965059E-3</v>
      </c>
      <c r="O69" s="17">
        <f>'Alloc Amt'!O69/'Alloc Amt'!$E69</f>
        <v>3.4008112095299044E-3</v>
      </c>
      <c r="P69" s="17">
        <f>'Alloc Amt'!P69/'Alloc Amt'!$E69</f>
        <v>2.8656781812476215E-3</v>
      </c>
      <c r="Q69" s="17">
        <f>'Alloc Amt'!Q69/'Alloc Amt'!$E69</f>
        <v>1.8814543801692721E-6</v>
      </c>
    </row>
    <row r="70" spans="2:17" x14ac:dyDescent="0.25">
      <c r="B70" s="16" t="str">
        <f>'Alloc Amt'!B70</f>
        <v>Cust Accts Exp - Subtotal ID902.00 to ID905.00</v>
      </c>
      <c r="C70" s="16" t="str">
        <f>'Alloc Amt'!C70</f>
        <v>CAES1.T</v>
      </c>
      <c r="D70" s="16">
        <f>'Alloc Amt'!D70</f>
        <v>64</v>
      </c>
      <c r="E70" s="17">
        <f t="shared" si="0"/>
        <v>0.99999999999999967</v>
      </c>
      <c r="F70" s="17">
        <f>'Alloc Amt'!F70/'Alloc Amt'!$E70</f>
        <v>0.86981467817275548</v>
      </c>
      <c r="G70" s="17">
        <f>'Alloc Amt'!G70/'Alloc Amt'!$E70</f>
        <v>9.1114688292294868E-2</v>
      </c>
      <c r="H70" s="17">
        <f>'Alloc Amt'!H70/'Alloc Amt'!$E70</f>
        <v>9.1672643211608267E-3</v>
      </c>
      <c r="I70" s="17">
        <f>'Alloc Amt'!I70/'Alloc Amt'!$E70</f>
        <v>9.7273275592434354E-3</v>
      </c>
      <c r="J70" s="17">
        <f>'Alloc Amt'!J70/'Alloc Amt'!$E70</f>
        <v>1.0513868848967704E-2</v>
      </c>
      <c r="K70" s="17">
        <f>'Alloc Amt'!K70/'Alloc Amt'!$E70</f>
        <v>8.8754372700977655E-7</v>
      </c>
      <c r="L70" s="17">
        <f>'Alloc Amt'!L70/'Alloc Amt'!$E70</f>
        <v>2.9426708546199509E-4</v>
      </c>
      <c r="M70" s="17">
        <f>'Alloc Amt'!M70/'Alloc Amt'!$E70</f>
        <v>1.1940283351342335E-3</v>
      </c>
      <c r="N70" s="17">
        <f>'Alloc Amt'!N70/'Alloc Amt'!$E70</f>
        <v>1.9046189960965057E-3</v>
      </c>
      <c r="O70" s="17">
        <f>'Alloc Amt'!O70/'Alloc Amt'!$E70</f>
        <v>3.400811209529904E-3</v>
      </c>
      <c r="P70" s="17">
        <f>'Alloc Amt'!P70/'Alloc Amt'!$E70</f>
        <v>2.8656781812476211E-3</v>
      </c>
      <c r="Q70" s="17">
        <f>'Alloc Amt'!Q70/'Alloc Amt'!$E70</f>
        <v>1.8814543801692717E-6</v>
      </c>
    </row>
    <row r="71" spans="2:17" x14ac:dyDescent="0.25">
      <c r="B71" s="16" t="str">
        <f>'Alloc Amt'!B71</f>
        <v>Dist O&amp;M - ID581.00 to ID589.00 Subtotal</v>
      </c>
      <c r="C71" s="16" t="str">
        <f>'Alloc Amt'!C71</f>
        <v>DES1.T</v>
      </c>
      <c r="D71" s="16">
        <f>'Alloc Amt'!D71</f>
        <v>65</v>
      </c>
      <c r="E71" s="17">
        <f t="shared" si="0"/>
        <v>1</v>
      </c>
      <c r="F71" s="17">
        <f>'Alloc Amt'!F71/'Alloc Amt'!$E71</f>
        <v>0.63791850672776029</v>
      </c>
      <c r="G71" s="17">
        <f>'Alloc Amt'!G71/'Alloc Amt'!$E71</f>
        <v>0.14193773399213874</v>
      </c>
      <c r="H71" s="17">
        <f>'Alloc Amt'!H71/'Alloc Amt'!$E71</f>
        <v>9.0248647923643205E-2</v>
      </c>
      <c r="I71" s="17">
        <f>'Alloc Amt'!I71/'Alloc Amt'!$E71</f>
        <v>3.4027662723436394E-2</v>
      </c>
      <c r="J71" s="17">
        <f>'Alloc Amt'!J71/'Alloc Amt'!$E71</f>
        <v>5.1815078526806814E-2</v>
      </c>
      <c r="K71" s="17">
        <f>'Alloc Amt'!K71/'Alloc Amt'!$E71</f>
        <v>4.1279590150155112E-4</v>
      </c>
      <c r="L71" s="17">
        <f>'Alloc Amt'!L71/'Alloc Amt'!$E71</f>
        <v>1.4504145516311984E-2</v>
      </c>
      <c r="M71" s="17">
        <f>'Alloc Amt'!M71/'Alloc Amt'!$E71</f>
        <v>1.005874397898507E-2</v>
      </c>
      <c r="N71" s="17">
        <f>'Alloc Amt'!N71/'Alloc Amt'!$E71</f>
        <v>5.3574830812850348E-3</v>
      </c>
      <c r="O71" s="17">
        <f>'Alloc Amt'!O71/'Alloc Amt'!$E71</f>
        <v>3.0890515854744413E-3</v>
      </c>
      <c r="P71" s="17">
        <f>'Alloc Amt'!P71/'Alloc Amt'!$E71</f>
        <v>1.0364455766666744E-2</v>
      </c>
      <c r="Q71" s="17">
        <f>'Alloc Amt'!Q71/'Alloc Amt'!$E71</f>
        <v>2.6569427598971429E-4</v>
      </c>
    </row>
    <row r="72" spans="2:17" x14ac:dyDescent="0.25">
      <c r="B72" s="16" t="str">
        <f>'Alloc Amt'!B72</f>
        <v>Dist O&amp;M - ID591.00 to ID597.00 Subtotal</v>
      </c>
      <c r="C72" s="16" t="str">
        <f>'Alloc Amt'!C72</f>
        <v>DES2.T</v>
      </c>
      <c r="D72" s="16">
        <f>'Alloc Amt'!D72</f>
        <v>66</v>
      </c>
      <c r="E72" s="17">
        <f t="shared" ref="E72:E89" si="1">SUM(F72:Q72)</f>
        <v>1</v>
      </c>
      <c r="F72" s="17">
        <f>'Alloc Amt'!F72/'Alloc Amt'!$E72</f>
        <v>0.65130328511795621</v>
      </c>
      <c r="G72" s="17">
        <f>'Alloc Amt'!G72/'Alloc Amt'!$E72</f>
        <v>0.11976905406642015</v>
      </c>
      <c r="H72" s="17">
        <f>'Alloc Amt'!H72/'Alloc Amt'!$E72</f>
        <v>9.7544704720781666E-2</v>
      </c>
      <c r="I72" s="17">
        <f>'Alloc Amt'!I72/'Alloc Amt'!$E72</f>
        <v>3.9954445330627156E-2</v>
      </c>
      <c r="J72" s="17">
        <f>'Alloc Amt'!J72/'Alloc Amt'!$E72</f>
        <v>3.5499321543843922E-2</v>
      </c>
      <c r="K72" s="17">
        <f>'Alloc Amt'!K72/'Alloc Amt'!$E72</f>
        <v>7.2548402402601011E-4</v>
      </c>
      <c r="L72" s="17">
        <f>'Alloc Amt'!L72/'Alloc Amt'!$E72</f>
        <v>9.6354133987915022E-3</v>
      </c>
      <c r="M72" s="17">
        <f>'Alloc Amt'!M72/'Alloc Amt'!$E72</f>
        <v>4.2106247898252101E-3</v>
      </c>
      <c r="N72" s="17">
        <f>'Alloc Amt'!N72/'Alloc Amt'!$E72</f>
        <v>1.5493649050378087E-3</v>
      </c>
      <c r="O72" s="17">
        <f>'Alloc Amt'!O72/'Alloc Amt'!$E72</f>
        <v>3.7906142375871517E-4</v>
      </c>
      <c r="P72" s="17">
        <f>'Alloc Amt'!P72/'Alloc Amt'!$E72</f>
        <v>3.8885721341828612E-2</v>
      </c>
      <c r="Q72" s="17">
        <f>'Alloc Amt'!Q72/'Alloc Amt'!$E72</f>
        <v>5.4351933710287319E-4</v>
      </c>
    </row>
    <row r="73" spans="2:17" x14ac:dyDescent="0.25">
      <c r="B73" s="16" t="str">
        <f>'Alloc Amt'!B73</f>
        <v>Dist O&amp;M - ID582.00 to ID587.00 Subtotal</v>
      </c>
      <c r="C73" s="16" t="str">
        <f>'Alloc Amt'!C73</f>
        <v>DES3.T</v>
      </c>
      <c r="D73" s="16">
        <f>'Alloc Amt'!D73</f>
        <v>67</v>
      </c>
      <c r="E73" s="17">
        <f t="shared" si="1"/>
        <v>1</v>
      </c>
      <c r="F73" s="17">
        <f>'Alloc Amt'!F73/'Alloc Amt'!$E73</f>
        <v>0.63791850672776029</v>
      </c>
      <c r="G73" s="17">
        <f>'Alloc Amt'!G73/'Alloc Amt'!$E73</f>
        <v>0.14193773399213874</v>
      </c>
      <c r="H73" s="17">
        <f>'Alloc Amt'!H73/'Alloc Amt'!$E73</f>
        <v>9.0248647923643219E-2</v>
      </c>
      <c r="I73" s="17">
        <f>'Alloc Amt'!I73/'Alloc Amt'!$E73</f>
        <v>3.4027662723436401E-2</v>
      </c>
      <c r="J73" s="17">
        <f>'Alloc Amt'!J73/'Alloc Amt'!$E73</f>
        <v>5.1815078526806814E-2</v>
      </c>
      <c r="K73" s="17">
        <f>'Alloc Amt'!K73/'Alloc Amt'!$E73</f>
        <v>4.1279590150155118E-4</v>
      </c>
      <c r="L73" s="17">
        <f>'Alloc Amt'!L73/'Alloc Amt'!$E73</f>
        <v>1.4504145516311984E-2</v>
      </c>
      <c r="M73" s="17">
        <f>'Alloc Amt'!M73/'Alloc Amt'!$E73</f>
        <v>1.005874397898507E-2</v>
      </c>
      <c r="N73" s="17">
        <f>'Alloc Amt'!N73/'Alloc Amt'!$E73</f>
        <v>5.3574830812850348E-3</v>
      </c>
      <c r="O73" s="17">
        <f>'Alloc Amt'!O73/'Alloc Amt'!$E73</f>
        <v>3.0890515854744413E-3</v>
      </c>
      <c r="P73" s="17">
        <f>'Alloc Amt'!P73/'Alloc Amt'!$E73</f>
        <v>1.0364455766666742E-2</v>
      </c>
      <c r="Q73" s="17">
        <f>'Alloc Amt'!Q73/'Alloc Amt'!$E73</f>
        <v>2.6569427598971423E-4</v>
      </c>
    </row>
    <row r="74" spans="2:17" x14ac:dyDescent="0.25">
      <c r="B74" s="16" t="str">
        <f>'Alloc Amt'!B74</f>
        <v>Total Distribution Plant</v>
      </c>
      <c r="C74" s="16" t="str">
        <f>'Alloc Amt'!C74</f>
        <v>DP.T</v>
      </c>
      <c r="D74" s="16">
        <f>'Alloc Amt'!D74</f>
        <v>68</v>
      </c>
      <c r="E74" s="17">
        <f t="shared" si="1"/>
        <v>0.99999999999999978</v>
      </c>
      <c r="F74" s="17">
        <f>'Alloc Amt'!F74/'Alloc Amt'!$E74</f>
        <v>0.66491244668152705</v>
      </c>
      <c r="G74" s="17">
        <f>'Alloc Amt'!G74/'Alloc Amt'!$E74</f>
        <v>0.11853744496083253</v>
      </c>
      <c r="H74" s="17">
        <f>'Alloc Amt'!H74/'Alloc Amt'!$E74</f>
        <v>9.4111643484344754E-2</v>
      </c>
      <c r="I74" s="17">
        <f>'Alloc Amt'!I74/'Alloc Amt'!$E74</f>
        <v>4.0075662163653825E-2</v>
      </c>
      <c r="J74" s="17">
        <f>'Alloc Amt'!J74/'Alloc Amt'!$E74</f>
        <v>3.531440032373355E-2</v>
      </c>
      <c r="K74" s="17">
        <f>'Alloc Amt'!K74/'Alloc Amt'!$E74</f>
        <v>4.0270752239432493E-4</v>
      </c>
      <c r="L74" s="17">
        <f>'Alloc Amt'!L74/'Alloc Amt'!$E74</f>
        <v>8.7358834803655111E-3</v>
      </c>
      <c r="M74" s="17">
        <f>'Alloc Amt'!M74/'Alloc Amt'!$E74</f>
        <v>1.2023740341066116E-2</v>
      </c>
      <c r="N74" s="17">
        <f>'Alloc Amt'!N74/'Alloc Amt'!$E74</f>
        <v>4.5822861460597308E-3</v>
      </c>
      <c r="O74" s="17">
        <f>'Alloc Amt'!O74/'Alloc Amt'!$E74</f>
        <v>1.5831997561676374E-3</v>
      </c>
      <c r="P74" s="17">
        <f>'Alloc Amt'!P74/'Alloc Amt'!$E74</f>
        <v>1.9413729980217238E-2</v>
      </c>
      <c r="Q74" s="17">
        <f>'Alloc Amt'!Q74/'Alloc Amt'!$E74</f>
        <v>3.0685515963754768E-4</v>
      </c>
    </row>
    <row r="75" spans="2:17" x14ac:dyDescent="0.25">
      <c r="B75" s="16" t="str">
        <f>'Alloc Amt'!B75</f>
        <v>Total Elec Plant In Service</v>
      </c>
      <c r="C75" s="16" t="str">
        <f>'Alloc Amt'!C75</f>
        <v>EPIS.T</v>
      </c>
      <c r="D75" s="16">
        <f>'Alloc Amt'!D75</f>
        <v>69</v>
      </c>
      <c r="E75" s="17">
        <f t="shared" si="1"/>
        <v>0.99999999999999989</v>
      </c>
      <c r="F75" s="17">
        <f>'Alloc Amt'!F75/'Alloc Amt'!$E75</f>
        <v>0.58926162608731081</v>
      </c>
      <c r="G75" s="17">
        <f>'Alloc Amt'!G75/'Alloc Amt'!$E75</f>
        <v>0.12492247071930217</v>
      </c>
      <c r="H75" s="17">
        <f>'Alloc Amt'!H75/'Alloc Amt'!$E75</f>
        <v>0.12134053674750171</v>
      </c>
      <c r="I75" s="17">
        <f>'Alloc Amt'!I75/'Alloc Amt'!$E75</f>
        <v>6.6231897198347475E-2</v>
      </c>
      <c r="J75" s="17">
        <f>'Alloc Amt'!J75/'Alloc Amt'!$E75</f>
        <v>4.9354228630090036E-2</v>
      </c>
      <c r="K75" s="17">
        <f>'Alloc Amt'!K75/'Alloc Amt'!$E75</f>
        <v>2.4205270535106771E-4</v>
      </c>
      <c r="L75" s="17">
        <f>'Alloc Amt'!L75/'Alloc Amt'!$E75</f>
        <v>5.6866032411509162E-3</v>
      </c>
      <c r="M75" s="17">
        <f>'Alloc Amt'!M75/'Alloc Amt'!$E75</f>
        <v>6.6712896658989457E-3</v>
      </c>
      <c r="N75" s="17">
        <f>'Alloc Amt'!N75/'Alloc Amt'!$E75</f>
        <v>1.5885927719915045E-2</v>
      </c>
      <c r="O75" s="17">
        <f>'Alloc Amt'!O75/'Alloc Amt'!$E75</f>
        <v>9.9942955026642646E-3</v>
      </c>
      <c r="P75" s="17">
        <f>'Alloc Amt'!P75/'Alloc Amt'!$E75</f>
        <v>1.0084684739935056E-2</v>
      </c>
      <c r="Q75" s="17">
        <f>'Alloc Amt'!Q75/'Alloc Amt'!$E75</f>
        <v>3.2438704253253314E-4</v>
      </c>
    </row>
    <row r="76" spans="2:17" x14ac:dyDescent="0.25">
      <c r="B76" s="16" t="str">
        <f>'Alloc Amt'!B76</f>
        <v>Total General Plant</v>
      </c>
      <c r="C76" s="16" t="str">
        <f>'Alloc Amt'!C76</f>
        <v>GP.T</v>
      </c>
      <c r="D76" s="16">
        <f>'Alloc Amt'!D76</f>
        <v>70</v>
      </c>
      <c r="E76" s="17">
        <f t="shared" si="1"/>
        <v>1.0000000000000002</v>
      </c>
      <c r="F76" s="17">
        <f>'Alloc Amt'!F76/'Alloc Amt'!$E76</f>
        <v>0.6163185981204734</v>
      </c>
      <c r="G76" s="17">
        <f>'Alloc Amt'!G76/'Alloc Amt'!$E76</f>
        <v>0.12117285807068047</v>
      </c>
      <c r="H76" s="17">
        <f>'Alloc Amt'!H76/'Alloc Amt'!$E76</f>
        <v>0.10930840966374956</v>
      </c>
      <c r="I76" s="17">
        <f>'Alloc Amt'!I76/'Alloc Amt'!$E76</f>
        <v>5.9945510033288296E-2</v>
      </c>
      <c r="J76" s="17">
        <f>'Alloc Amt'!J76/'Alloc Amt'!$E76</f>
        <v>4.5013356250231784E-2</v>
      </c>
      <c r="K76" s="17">
        <f>'Alloc Amt'!K76/'Alloc Amt'!$E76</f>
        <v>2.1841273771634656E-4</v>
      </c>
      <c r="L76" s="17">
        <f>'Alloc Amt'!L76/'Alloc Amt'!$E76</f>
        <v>5.1499077985602409E-3</v>
      </c>
      <c r="M76" s="17">
        <f>'Alloc Amt'!M76/'Alloc Amt'!$E76</f>
        <v>6.0481057072253007E-3</v>
      </c>
      <c r="N76" s="17">
        <f>'Alloc Amt'!N76/'Alloc Amt'!$E76</f>
        <v>1.4290094755100341E-2</v>
      </c>
      <c r="O76" s="17">
        <f>'Alloc Amt'!O76/'Alloc Amt'!$E76</f>
        <v>8.7008890899213914E-3</v>
      </c>
      <c r="P76" s="17">
        <f>'Alloc Amt'!P76/'Alloc Amt'!$E76</f>
        <v>1.3543274928264461E-2</v>
      </c>
      <c r="Q76" s="17">
        <f>'Alloc Amt'!Q76/'Alloc Amt'!$E76</f>
        <v>2.9058284478855265E-4</v>
      </c>
    </row>
    <row r="77" spans="2:17" x14ac:dyDescent="0.25">
      <c r="B77" s="16" t="str">
        <f>'Alloc Amt'!B77</f>
        <v>Total Distribution OH &amp; UG Lines</v>
      </c>
      <c r="C77" s="16" t="str">
        <f>'Alloc Amt'!C77</f>
        <v>LINE.T</v>
      </c>
      <c r="D77" s="16">
        <f>'Alloc Amt'!D77</f>
        <v>71</v>
      </c>
      <c r="E77" s="17">
        <f t="shared" si="1"/>
        <v>0.99999999999999978</v>
      </c>
      <c r="F77" s="17">
        <f>'Alloc Amt'!F77/'Alloc Amt'!$E77</f>
        <v>0.67078395683268888</v>
      </c>
      <c r="G77" s="17">
        <f>'Alloc Amt'!G77/'Alloc Amt'!$E77</f>
        <v>0.12054803390076668</v>
      </c>
      <c r="H77" s="17">
        <f>'Alloc Amt'!H77/'Alloc Amt'!$E77</f>
        <v>0.10606840074795988</v>
      </c>
      <c r="I77" s="17">
        <f>'Alloc Amt'!I77/'Alloc Amt'!$E77</f>
        <v>4.4814517734751223E-2</v>
      </c>
      <c r="J77" s="17">
        <f>'Alloc Amt'!J77/'Alloc Amt'!$E77</f>
        <v>3.4791197060335885E-2</v>
      </c>
      <c r="K77" s="17">
        <f>'Alloc Amt'!K77/'Alloc Amt'!$E77</f>
        <v>5.6957357487146844E-4</v>
      </c>
      <c r="L77" s="17">
        <f>'Alloc Amt'!L77/'Alloc Amt'!$E77</f>
        <v>1.0335611294136226E-2</v>
      </c>
      <c r="M77" s="17">
        <f>'Alloc Amt'!M77/'Alloc Amt'!$E77</f>
        <v>8.9897180136247635E-3</v>
      </c>
      <c r="N77" s="17">
        <f>'Alloc Amt'!N77/'Alloc Amt'!$E77</f>
        <v>2.1755585547634255E-3</v>
      </c>
      <c r="O77" s="17">
        <f>'Alloc Amt'!O77/'Alloc Amt'!$E77</f>
        <v>1.3073867318372702E-5</v>
      </c>
      <c r="P77" s="17">
        <f>'Alloc Amt'!P77/'Alloc Amt'!$E77</f>
        <v>5.0333412856227598E-4</v>
      </c>
      <c r="Q77" s="17">
        <f>'Alloc Amt'!Q77/'Alloc Amt'!$E77</f>
        <v>4.0702429022079534E-4</v>
      </c>
    </row>
    <row r="78" spans="2:17" x14ac:dyDescent="0.25">
      <c r="B78" s="16" t="str">
        <f>'Alloc Amt'!B78</f>
        <v>Sales of Electricity - Non Firm</v>
      </c>
      <c r="C78" s="16" t="str">
        <f>'Alloc Amt'!C78</f>
        <v>POWER.T</v>
      </c>
      <c r="D78" s="16">
        <f>'Alloc Amt'!D78</f>
        <v>72</v>
      </c>
      <c r="E78" s="17">
        <f t="shared" si="1"/>
        <v>0.99999999999999967</v>
      </c>
      <c r="F78" s="17">
        <f>'Alloc Amt'!F78/'Alloc Amt'!$E78</f>
        <v>0.53187580767974318</v>
      </c>
      <c r="G78" s="17">
        <f>'Alloc Amt'!G78/'Alloc Amt'!$E78</f>
        <v>0.13293260850761285</v>
      </c>
      <c r="H78" s="17">
        <f>'Alloc Amt'!H78/'Alloc Amt'!$E78</f>
        <v>0.14655391709121901</v>
      </c>
      <c r="I78" s="17">
        <f>'Alloc Amt'!I78/'Alloc Amt'!$E78</f>
        <v>9.0454549314650287E-2</v>
      </c>
      <c r="J78" s="17">
        <f>'Alloc Amt'!J78/'Alloc Amt'!$E78</f>
        <v>6.2768673333671962E-2</v>
      </c>
      <c r="K78" s="17">
        <f>'Alloc Amt'!K78/'Alloc Amt'!$E78</f>
        <v>1.6786263304887115E-4</v>
      </c>
      <c r="L78" s="17">
        <f>'Alloc Amt'!L78/'Alloc Amt'!$E78</f>
        <v>3.9570490554937535E-3</v>
      </c>
      <c r="M78" s="17">
        <f>'Alloc Amt'!M78/'Alloc Amt'!$E78</f>
        <v>2.9884999170786092E-4</v>
      </c>
      <c r="N78" s="17">
        <f>'Alloc Amt'!N78/'Alloc Amt'!$E78</f>
        <v>2.5889400228844204E-2</v>
      </c>
      <c r="O78" s="17">
        <f>'Alloc Amt'!O78/'Alloc Amt'!$E78</f>
        <v>1.6572944410403851E-3</v>
      </c>
      <c r="P78" s="17">
        <f>'Alloc Amt'!P78/'Alloc Amt'!$E78</f>
        <v>3.1067600961442237E-3</v>
      </c>
      <c r="Q78" s="17">
        <f>'Alloc Amt'!Q78/'Alloc Amt'!$E78</f>
        <v>3.3722762682318781E-4</v>
      </c>
    </row>
    <row r="79" spans="2:17" x14ac:dyDescent="0.25">
      <c r="B79" s="16" t="str">
        <f>'Alloc Amt'!B79</f>
        <v>Total Production Plant</v>
      </c>
      <c r="C79" s="16" t="str">
        <f>'Alloc Amt'!C79</f>
        <v>PP.T</v>
      </c>
      <c r="D79" s="16">
        <f>'Alloc Amt'!D79</f>
        <v>73</v>
      </c>
      <c r="E79" s="17">
        <f t="shared" si="1"/>
        <v>1</v>
      </c>
      <c r="F79" s="17">
        <f>'Alloc Amt'!F79/'Alloc Amt'!$E79</f>
        <v>0.54133325959730927</v>
      </c>
      <c r="G79" s="17">
        <f>'Alloc Amt'!G79/'Alloc Amt'!$E79</f>
        <v>0.13258807184725152</v>
      </c>
      <c r="H79" s="17">
        <f>'Alloc Amt'!H79/'Alloc Amt'!$E79</f>
        <v>0.14542074788171977</v>
      </c>
      <c r="I79" s="17">
        <f>'Alloc Amt'!I79/'Alloc Amt'!$E79</f>
        <v>8.7613621942474226E-2</v>
      </c>
      <c r="J79" s="17">
        <f>'Alloc Amt'!J79/'Alloc Amt'!$E79</f>
        <v>6.1248274777135472E-2</v>
      </c>
      <c r="K79" s="17">
        <f>'Alloc Amt'!K79/'Alloc Amt'!$E79</f>
        <v>1.3312655618430994E-4</v>
      </c>
      <c r="L79" s="17">
        <f>'Alloc Amt'!L79/'Alloc Amt'!$E79</f>
        <v>3.6560279566362213E-3</v>
      </c>
      <c r="M79" s="17">
        <f>'Alloc Amt'!M79/'Alloc Amt'!$E79</f>
        <v>0</v>
      </c>
      <c r="N79" s="17">
        <f>'Alloc Amt'!N79/'Alloc Amt'!$E79</f>
        <v>2.4712633979123749E-2</v>
      </c>
      <c r="O79" s="17">
        <f>'Alloc Amt'!O79/'Alloc Amt'!$E79</f>
        <v>0</v>
      </c>
      <c r="P79" s="17">
        <f>'Alloc Amt'!P79/'Alloc Amt'!$E79</f>
        <v>2.9456878624621674E-3</v>
      </c>
      <c r="Q79" s="17">
        <f>'Alloc Amt'!Q79/'Alloc Amt'!$E79</f>
        <v>3.4854759970323195E-4</v>
      </c>
    </row>
    <row r="80" spans="2:17" x14ac:dyDescent="0.25">
      <c r="B80" s="16" t="str">
        <f>'Alloc Amt'!B80</f>
        <v>Total Prod, Trans, Dist &amp; Gen Plant</v>
      </c>
      <c r="C80" s="16" t="str">
        <f>'Alloc Amt'!C80</f>
        <v>PTDGP.T</v>
      </c>
      <c r="D80" s="16">
        <f>'Alloc Amt'!D80</f>
        <v>74</v>
      </c>
      <c r="E80" s="17">
        <f t="shared" si="1"/>
        <v>0.99999999999999989</v>
      </c>
      <c r="F80" s="17">
        <f>'Alloc Amt'!F80/'Alloc Amt'!$E80</f>
        <v>0.5884634857623261</v>
      </c>
      <c r="G80" s="17">
        <f>'Alloc Amt'!G80/'Alloc Amt'!$E80</f>
        <v>0.12500604811471361</v>
      </c>
      <c r="H80" s="17">
        <f>'Alloc Amt'!H80/'Alloc Amt'!$E80</f>
        <v>0.12164440233331665</v>
      </c>
      <c r="I80" s="17">
        <f>'Alloc Amt'!I80/'Alloc Amt'!$E80</f>
        <v>6.6380630197566501E-2</v>
      </c>
      <c r="J80" s="17">
        <f>'Alloc Amt'!J80/'Alloc Amt'!$E80</f>
        <v>4.9459587259772252E-2</v>
      </c>
      <c r="K80" s="17">
        <f>'Alloc Amt'!K80/'Alloc Amt'!$E80</f>
        <v>2.4281660805180606E-4</v>
      </c>
      <c r="L80" s="17">
        <f>'Alloc Amt'!L80/'Alloc Amt'!$E80</f>
        <v>5.7034344282413142E-3</v>
      </c>
      <c r="M80" s="17">
        <f>'Alloc Amt'!M80/'Alloc Amt'!$E80</f>
        <v>6.7147723511888019E-3</v>
      </c>
      <c r="N80" s="17">
        <f>'Alloc Amt'!N80/'Alloc Amt'!$E80</f>
        <v>1.59200774405968E-2</v>
      </c>
      <c r="O80" s="17">
        <f>'Alloc Amt'!O80/'Alloc Amt'!$E80</f>
        <v>1.0147561606242366E-2</v>
      </c>
      <c r="P80" s="17">
        <f>'Alloc Amt'!P80/'Alloc Amt'!$E80</f>
        <v>9.991893638278215E-3</v>
      </c>
      <c r="Q80" s="17">
        <f>'Alloc Amt'!Q80/'Alloc Amt'!$E80</f>
        <v>3.2529025970547701E-4</v>
      </c>
    </row>
    <row r="81" spans="2:17" x14ac:dyDescent="0.25">
      <c r="B81" s="16" t="str">
        <f>'Alloc Amt'!B81</f>
        <v>Prod Trans Dist Allocation Factor</v>
      </c>
      <c r="C81" s="16" t="str">
        <f>'Alloc Amt'!C81</f>
        <v>PTDP.T</v>
      </c>
      <c r="D81" s="16">
        <f>'Alloc Amt'!D81</f>
        <v>75</v>
      </c>
      <c r="E81" s="17">
        <f t="shared" si="1"/>
        <v>1.0000000000000004</v>
      </c>
      <c r="F81" s="17">
        <f>'Alloc Amt'!F81/'Alloc Amt'!$E81</f>
        <v>0.58692554239540584</v>
      </c>
      <c r="G81" s="17">
        <f>'Alloc Amt'!G81/'Alloc Amt'!$E81</f>
        <v>0.12521768715341397</v>
      </c>
      <c r="H81" s="17">
        <f>'Alloc Amt'!H81/'Alloc Amt'!$E81</f>
        <v>0.12232550021784895</v>
      </c>
      <c r="I81" s="17">
        <f>'Alloc Amt'!I81/'Alloc Amt'!$E81</f>
        <v>6.6735927646908694E-2</v>
      </c>
      <c r="J81" s="17">
        <f>'Alloc Amt'!J81/'Alloc Amt'!$E81</f>
        <v>4.970507366819165E-2</v>
      </c>
      <c r="K81" s="17">
        <f>'Alloc Amt'!K81/'Alloc Amt'!$E81</f>
        <v>2.4416400058884018E-4</v>
      </c>
      <c r="L81" s="17">
        <f>'Alloc Amt'!L81/'Alloc Amt'!$E81</f>
        <v>5.7339958777011665E-3</v>
      </c>
      <c r="M81" s="17">
        <f>'Alloc Amt'!M81/'Alloc Amt'!$E81</f>
        <v>6.7515805151569901E-3</v>
      </c>
      <c r="N81" s="17">
        <f>'Alloc Amt'!N81/'Alloc Amt'!$E81</f>
        <v>1.6010072448591154E-2</v>
      </c>
      <c r="O81" s="17">
        <f>'Alloc Amt'!O81/'Alloc Amt'!$E81</f>
        <v>1.0227435647745977E-2</v>
      </c>
      <c r="P81" s="17">
        <f>'Alloc Amt'!P81/'Alloc Amt'!$E81</f>
        <v>9.7958138943477404E-3</v>
      </c>
      <c r="Q81" s="17">
        <f>'Alloc Amt'!Q81/'Alloc Amt'!$E81</f>
        <v>3.2720653409949643E-4</v>
      </c>
    </row>
    <row r="82" spans="2:17" x14ac:dyDescent="0.25">
      <c r="B82" s="16" t="str">
        <f>'Alloc Amt'!B82</f>
        <v>Total Ratebase</v>
      </c>
      <c r="C82" s="16" t="str">
        <f>'Alloc Amt'!C82</f>
        <v>RB.T</v>
      </c>
      <c r="D82" s="16">
        <f>'Alloc Amt'!D82</f>
        <v>76</v>
      </c>
      <c r="E82" s="17">
        <f t="shared" si="1"/>
        <v>0.99999999999999956</v>
      </c>
      <c r="F82" s="17">
        <f>'Alloc Amt'!F82/'Alloc Amt'!$E82</f>
        <v>0.5856721544346557</v>
      </c>
      <c r="G82" s="17">
        <f>'Alloc Amt'!G82/'Alloc Amt'!$E82</f>
        <v>0.12028502590913481</v>
      </c>
      <c r="H82" s="17">
        <f>'Alloc Amt'!H82/'Alloc Amt'!$E82</f>
        <v>0.12374339960337857</v>
      </c>
      <c r="I82" s="17">
        <f>'Alloc Amt'!I82/'Alloc Amt'!$E82</f>
        <v>6.7638348919946065E-2</v>
      </c>
      <c r="J82" s="17">
        <f>'Alloc Amt'!J82/'Alloc Amt'!$E82</f>
        <v>5.115900516781284E-2</v>
      </c>
      <c r="K82" s="17">
        <f>'Alloc Amt'!K82/'Alloc Amt'!$E82</f>
        <v>2.5299051107749519E-4</v>
      </c>
      <c r="L82" s="17">
        <f>'Alloc Amt'!L82/'Alloc Amt'!$E82</f>
        <v>6.0158883560816117E-3</v>
      </c>
      <c r="M82" s="17">
        <f>'Alloc Amt'!M82/'Alloc Amt'!$E82</f>
        <v>6.9686722321846825E-3</v>
      </c>
      <c r="N82" s="17">
        <f>'Alloc Amt'!N82/'Alloc Amt'!$E82</f>
        <v>1.608103877534936E-2</v>
      </c>
      <c r="O82" s="17">
        <f>'Alloc Amt'!O82/'Alloc Amt'!$E82</f>
        <v>1.1422845799487673E-2</v>
      </c>
      <c r="P82" s="17">
        <f>'Alloc Amt'!P82/'Alloc Amt'!$E82</f>
        <v>1.0424852850755496E-2</v>
      </c>
      <c r="Q82" s="17">
        <f>'Alloc Amt'!Q82/'Alloc Amt'!$E82</f>
        <v>3.3577744013540885E-4</v>
      </c>
    </row>
    <row r="83" spans="2:17" x14ac:dyDescent="0.25">
      <c r="B83" s="16" t="str">
        <f>'Alloc Amt'!B83</f>
        <v>REVFAC1 = (OME.T+DAE.T+RRB.T)</v>
      </c>
      <c r="C83" s="16" t="str">
        <f>'Alloc Amt'!C83</f>
        <v>REVFAC1.T</v>
      </c>
      <c r="D83" s="16">
        <f>'Alloc Amt'!D83</f>
        <v>77</v>
      </c>
      <c r="E83" s="17">
        <f t="shared" si="1"/>
        <v>0.99999999999999989</v>
      </c>
      <c r="F83" s="17">
        <f>'Alloc Amt'!F83/'Alloc Amt'!$E83</f>
        <v>0.5780907075221221</v>
      </c>
      <c r="G83" s="17">
        <f>'Alloc Amt'!G83/'Alloc Amt'!$E83</f>
        <v>0.12668907901822055</v>
      </c>
      <c r="H83" s="17">
        <f>'Alloc Amt'!H83/'Alloc Amt'!$E83</f>
        <v>0.12673940605545267</v>
      </c>
      <c r="I83" s="17">
        <f>'Alloc Amt'!I83/'Alloc Amt'!$E83</f>
        <v>7.3168786498810034E-2</v>
      </c>
      <c r="J83" s="17">
        <f>'Alloc Amt'!J83/'Alloc Amt'!$E83</f>
        <v>5.367891396032589E-2</v>
      </c>
      <c r="K83" s="17">
        <f>'Alloc Amt'!K83/'Alloc Amt'!$E83</f>
        <v>2.1897130253466528E-4</v>
      </c>
      <c r="L83" s="17">
        <f>'Alloc Amt'!L83/'Alloc Amt'!$E83</f>
        <v>5.1112212905077481E-3</v>
      </c>
      <c r="M83" s="17">
        <f>'Alloc Amt'!M83/'Alloc Amt'!$E83</f>
        <v>3.0945821983433845E-3</v>
      </c>
      <c r="N83" s="17">
        <f>'Alloc Amt'!N83/'Alloc Amt'!$E83</f>
        <v>1.8979713617917161E-2</v>
      </c>
      <c r="O83" s="17">
        <f>'Alloc Amt'!O83/'Alloc Amt'!$E83</f>
        <v>5.5030257167067885E-3</v>
      </c>
      <c r="P83" s="17">
        <f>'Alloc Amt'!P83/'Alloc Amt'!$E83</f>
        <v>8.4013905652417439E-3</v>
      </c>
      <c r="Q83" s="17">
        <f>'Alloc Amt'!Q83/'Alloc Amt'!$E83</f>
        <v>3.2420225381716108E-4</v>
      </c>
    </row>
    <row r="84" spans="2:17" x14ac:dyDescent="0.25">
      <c r="B84" s="16" t="str">
        <f>'Alloc Amt'!B84</f>
        <v>Salary &amp; Wages - Total</v>
      </c>
      <c r="C84" s="16" t="str">
        <f>'Alloc Amt'!C84</f>
        <v>SW.T</v>
      </c>
      <c r="D84" s="16">
        <f>'Alloc Amt'!D84</f>
        <v>78</v>
      </c>
      <c r="E84" s="17">
        <f t="shared" si="1"/>
        <v>1.0000000000000002</v>
      </c>
      <c r="F84" s="17">
        <f>'Alloc Amt'!F84/'Alloc Amt'!$E84</f>
        <v>0.6178017260192239</v>
      </c>
      <c r="G84" s="17">
        <f>'Alloc Amt'!G84/'Alloc Amt'!$E84</f>
        <v>0.12095265742146309</v>
      </c>
      <c r="H84" s="17">
        <f>'Alloc Amt'!H84/'Alloc Amt'!$E84</f>
        <v>0.10862268524879397</v>
      </c>
      <c r="I84" s="17">
        <f>'Alloc Amt'!I84/'Alloc Amt'!$E84</f>
        <v>5.9597187070815398E-2</v>
      </c>
      <c r="J84" s="17">
        <f>'Alloc Amt'!J84/'Alloc Amt'!$E84</f>
        <v>4.47692126127439E-2</v>
      </c>
      <c r="K84" s="17">
        <f>'Alloc Amt'!K84/'Alloc Amt'!$E84</f>
        <v>2.1688210962801668E-4</v>
      </c>
      <c r="L84" s="17">
        <f>'Alloc Amt'!L84/'Alloc Amt'!$E84</f>
        <v>5.1156533670450232E-3</v>
      </c>
      <c r="M84" s="17">
        <f>'Alloc Amt'!M84/'Alloc Amt'!$E84</f>
        <v>6.0150948737898099E-3</v>
      </c>
      <c r="N84" s="17">
        <f>'Alloc Amt'!N84/'Alloc Amt'!$E84</f>
        <v>1.4205674395269154E-2</v>
      </c>
      <c r="O84" s="17">
        <f>'Alloc Amt'!O84/'Alloc Amt'!$E84</f>
        <v>8.6779643703135123E-3</v>
      </c>
      <c r="P84" s="17">
        <f>'Alloc Amt'!P84/'Alloc Amt'!$E84</f>
        <v>1.3736655381558853E-2</v>
      </c>
      <c r="Q84" s="17">
        <f>'Alloc Amt'!Q84/'Alloc Amt'!$E84</f>
        <v>2.886071293554212E-4</v>
      </c>
    </row>
    <row r="85" spans="2:17" x14ac:dyDescent="0.25">
      <c r="B85" s="16" t="str">
        <f>'Alloc Amt'!B85</f>
        <v>Salary &amp; Wages - PTD Subtotal</v>
      </c>
      <c r="C85" s="16" t="str">
        <f>'Alloc Amt'!C85</f>
        <v>SWPTD.T</v>
      </c>
      <c r="D85" s="16">
        <f>'Alloc Amt'!D85</f>
        <v>79</v>
      </c>
      <c r="E85" s="17">
        <f t="shared" si="1"/>
        <v>0.99999999999999989</v>
      </c>
      <c r="F85" s="17">
        <f>'Alloc Amt'!F85/'Alloc Amt'!$E85</f>
        <v>0.58878766684589101</v>
      </c>
      <c r="G85" s="17">
        <f>'Alloc Amt'!G85/'Alloc Amt'!$E85</f>
        <v>0.125263100419647</v>
      </c>
      <c r="H85" s="17">
        <f>'Alloc Amt'!H85/'Alloc Amt'!$E85</f>
        <v>0.12204220870383749</v>
      </c>
      <c r="I85" s="17">
        <f>'Alloc Amt'!I85/'Alloc Amt'!$E85</f>
        <v>6.6412300177884007E-2</v>
      </c>
      <c r="J85" s="17">
        <f>'Alloc Amt'!J85/'Alloc Amt'!$E85</f>
        <v>4.954658108216798E-2</v>
      </c>
      <c r="K85" s="17">
        <f>'Alloc Amt'!K85/'Alloc Amt'!$E85</f>
        <v>2.4686435947981626E-4</v>
      </c>
      <c r="L85" s="17">
        <f>'Alloc Amt'!L85/'Alloc Amt'!$E85</f>
        <v>5.7865698071935326E-3</v>
      </c>
      <c r="M85" s="17">
        <f>'Alloc Amt'!M85/'Alloc Amt'!$E85</f>
        <v>6.6604588549528335E-3</v>
      </c>
      <c r="N85" s="17">
        <f>'Alloc Amt'!N85/'Alloc Amt'!$E85</f>
        <v>1.5856769989803142E-2</v>
      </c>
      <c r="O85" s="17">
        <f>'Alloc Amt'!O85/'Alloc Amt'!$E85</f>
        <v>9.1173211821390619E-3</v>
      </c>
      <c r="P85" s="17">
        <f>'Alloc Amt'!P85/'Alloc Amt'!$E85</f>
        <v>9.9528795036831121E-3</v>
      </c>
      <c r="Q85" s="17">
        <f>'Alloc Amt'!Q85/'Alloc Amt'!$E85</f>
        <v>3.2727907332086385E-4</v>
      </c>
    </row>
    <row r="86" spans="2:17" x14ac:dyDescent="0.25">
      <c r="B86" s="16" t="str">
        <f>'Alloc Amt'!B86</f>
        <v>Total Transmission &amp; Distribution Plant</v>
      </c>
      <c r="C86" s="16" t="str">
        <f>'Alloc Amt'!C86</f>
        <v>TDP.T</v>
      </c>
      <c r="D86" s="16">
        <f>'Alloc Amt'!D86</f>
        <v>80</v>
      </c>
      <c r="E86" s="17">
        <f t="shared" si="1"/>
        <v>1</v>
      </c>
      <c r="F86" s="17">
        <f>'Alloc Amt'!F86/'Alloc Amt'!$E86</f>
        <v>0.61979485993069749</v>
      </c>
      <c r="G86" s="17">
        <f>'Alloc Amt'!G86/'Alloc Amt'!$E86</f>
        <v>0.11990407923577924</v>
      </c>
      <c r="H86" s="17">
        <f>'Alloc Amt'!H86/'Alloc Amt'!$E86</f>
        <v>0.10567520366696685</v>
      </c>
      <c r="I86" s="17">
        <f>'Alloc Amt'!I86/'Alloc Amt'!$E86</f>
        <v>5.1684354856735691E-2</v>
      </c>
      <c r="J86" s="17">
        <f>'Alloc Amt'!J86/'Alloc Amt'!$E86</f>
        <v>4.1383113912330224E-2</v>
      </c>
      <c r="K86" s="17">
        <f>'Alloc Amt'!K86/'Alloc Amt'!$E86</f>
        <v>3.2421537758618176E-4</v>
      </c>
      <c r="L86" s="17">
        <f>'Alloc Amt'!L86/'Alloc Amt'!$E86</f>
        <v>7.232086853494241E-3</v>
      </c>
      <c r="M86" s="17">
        <f>'Alloc Amt'!M86/'Alloc Amt'!$E86</f>
        <v>1.1619067515107145E-2</v>
      </c>
      <c r="N86" s="17">
        <f>'Alloc Amt'!N86/'Alloc Amt'!$E86</f>
        <v>9.7360444604721492E-3</v>
      </c>
      <c r="O86" s="17">
        <f>'Alloc Amt'!O86/'Alloc Amt'!$E86</f>
        <v>1.7600806956356189E-2</v>
      </c>
      <c r="P86" s="17">
        <f>'Alloc Amt'!P86/'Alloc Amt'!$E86</f>
        <v>1.4734346336250766E-2</v>
      </c>
      <c r="Q86" s="17">
        <f>'Alloc Amt'!Q86/'Alloc Amt'!$E86</f>
        <v>3.1182089822385698E-4</v>
      </c>
    </row>
    <row r="87" spans="2:17" x14ac:dyDescent="0.25">
      <c r="B87" s="16" t="str">
        <f>'Alloc Amt'!B87</f>
        <v>Total Expenses Before FIT</v>
      </c>
      <c r="C87" s="16" t="str">
        <f>'Alloc Amt'!C87</f>
        <v>EBFIT.T</v>
      </c>
      <c r="D87" s="16">
        <f>'Alloc Amt'!D87</f>
        <v>81</v>
      </c>
      <c r="E87" s="17">
        <f t="shared" si="1"/>
        <v>1.0000000000000002</v>
      </c>
      <c r="F87" s="17">
        <f>'Alloc Amt'!F87/'Alloc Amt'!$E87</f>
        <v>0.57531200036854313</v>
      </c>
      <c r="G87" s="17">
        <f>'Alloc Amt'!G87/'Alloc Amt'!$E87</f>
        <v>0.12843806971309724</v>
      </c>
      <c r="H87" s="17">
        <f>'Alloc Amt'!H87/'Alloc Amt'!$E87</f>
        <v>0.12779035532282154</v>
      </c>
      <c r="I87" s="17">
        <f>'Alloc Amt'!I87/'Alloc Amt'!$E87</f>
        <v>7.4768298816221684E-2</v>
      </c>
      <c r="J87" s="17">
        <f>'Alloc Amt'!J87/'Alloc Amt'!$E87</f>
        <v>5.4388326430876127E-2</v>
      </c>
      <c r="K87" s="17">
        <f>'Alloc Amt'!K87/'Alloc Amt'!$E87</f>
        <v>2.0695590824424003E-4</v>
      </c>
      <c r="L87" s="17">
        <f>'Alloc Amt'!L87/'Alloc Amt'!$E87</f>
        <v>4.9057193971329986E-3</v>
      </c>
      <c r="M87" s="17">
        <f>'Alloc Amt'!M87/'Alloc Amt'!$E87</f>
        <v>2.1618272709003771E-3</v>
      </c>
      <c r="N87" s="17">
        <f>'Alloc Amt'!N87/'Alloc Amt'!$E87</f>
        <v>1.9708850840831332E-2</v>
      </c>
      <c r="O87" s="17">
        <f>'Alloc Amt'!O87/'Alloc Amt'!$E87</f>
        <v>4.0759856755052462E-3</v>
      </c>
      <c r="P87" s="17">
        <f>'Alloc Amt'!P87/'Alloc Amt'!$E87</f>
        <v>7.9296783344697322E-3</v>
      </c>
      <c r="Q87" s="17">
        <f>'Alloc Amt'!Q87/'Alloc Amt'!$E87</f>
        <v>3.1393192135642837E-4</v>
      </c>
    </row>
    <row r="88" spans="2:17" x14ac:dyDescent="0.25">
      <c r="B88" s="16" t="str">
        <f>'Alloc Amt'!B88</f>
        <v>Total Transmission Plant</v>
      </c>
      <c r="C88" s="16" t="str">
        <f>'Alloc Amt'!C88</f>
        <v>TP.T</v>
      </c>
      <c r="D88" s="16">
        <f>'Alloc Amt'!D88</f>
        <v>82</v>
      </c>
      <c r="E88" s="17">
        <f t="shared" si="1"/>
        <v>1</v>
      </c>
      <c r="F88" s="17">
        <f>'Alloc Amt'!F88/'Alloc Amt'!$E88</f>
        <v>0.50410288232751843</v>
      </c>
      <c r="G88" s="17">
        <f>'Alloc Amt'!G88/'Alloc Amt'!$E88</f>
        <v>0.1234084471179103</v>
      </c>
      <c r="H88" s="17">
        <f>'Alloc Amt'!H88/'Alloc Amt'!$E88</f>
        <v>0.13532685930735469</v>
      </c>
      <c r="I88" s="17">
        <f>'Alloc Amt'!I88/'Alloc Amt'!$E88</f>
        <v>8.1451740742584669E-2</v>
      </c>
      <c r="J88" s="17">
        <f>'Alloc Amt'!J88/'Alloc Amt'!$E88</f>
        <v>5.6944705901935538E-2</v>
      </c>
      <c r="K88" s="17">
        <f>'Alloc Amt'!K88/'Alloc Amt'!$E88</f>
        <v>1.2294327699001654E-4</v>
      </c>
      <c r="L88" s="17">
        <f>'Alloc Amt'!L88/'Alloc Amt'!$E88</f>
        <v>3.3760028249634295E-3</v>
      </c>
      <c r="M88" s="17">
        <f>'Alloc Amt'!M88/'Alloc Amt'!$E88</f>
        <v>1.058139234475686E-2</v>
      </c>
      <c r="N88" s="17">
        <f>'Alloc Amt'!N88/'Alloc Amt'!$E88</f>
        <v>2.2951478494568283E-2</v>
      </c>
      <c r="O88" s="17">
        <f>'Alloc Amt'!O88/'Alloc Amt'!$E88</f>
        <v>5.8673674255196304E-2</v>
      </c>
      <c r="P88" s="17">
        <f>'Alloc Amt'!P88/'Alloc Amt'!$E88</f>
        <v>2.7353192002416149E-3</v>
      </c>
      <c r="Q88" s="17">
        <f>'Alloc Amt'!Q88/'Alloc Amt'!$E88</f>
        <v>3.2455420597994974E-4</v>
      </c>
    </row>
    <row r="89" spans="2:17" x14ac:dyDescent="0.25">
      <c r="B89" s="16" t="str">
        <f>'Alloc Amt'!B89</f>
        <v>Prod Trans Dist Exp Allocation Factor</v>
      </c>
      <c r="C89" s="16" t="str">
        <f>'Alloc Amt'!C89</f>
        <v>PTDE.T</v>
      </c>
      <c r="D89" s="16">
        <f>'Alloc Amt'!D89</f>
        <v>83</v>
      </c>
      <c r="E89" s="17">
        <f t="shared" si="1"/>
        <v>1.0000000000000004</v>
      </c>
      <c r="F89" s="17">
        <f>'Alloc Amt'!F89/'Alloc Amt'!$E89</f>
        <v>0.54207360845380703</v>
      </c>
      <c r="G89" s="17">
        <f>'Alloc Amt'!G89/'Alloc Amt'!$E89</f>
        <v>0.13251313019360339</v>
      </c>
      <c r="H89" s="17">
        <f>'Alloc Amt'!H89/'Alloc Amt'!$E89</f>
        <v>0.14193364931654182</v>
      </c>
      <c r="I89" s="17">
        <f>'Alloc Amt'!I89/'Alloc Amt'!$E89</f>
        <v>8.5747906299796811E-2</v>
      </c>
      <c r="J89" s="17">
        <f>'Alloc Amt'!J89/'Alloc Amt'!$E89</f>
        <v>6.0891615566092801E-2</v>
      </c>
      <c r="K89" s="17">
        <f>'Alloc Amt'!K89/'Alloc Amt'!$E89</f>
        <v>2.0695910987386694E-4</v>
      </c>
      <c r="L89" s="17">
        <f>'Alloc Amt'!L89/'Alloc Amt'!$E89</f>
        <v>4.6293519253705487E-3</v>
      </c>
      <c r="M89" s="17">
        <f>'Alloc Amt'!M89/'Alloc Amt'!$E89</f>
        <v>8.469095824671075E-4</v>
      </c>
      <c r="N89" s="17">
        <f>'Alloc Amt'!N89/'Alloc Amt'!$E89</f>
        <v>2.3847805481402359E-2</v>
      </c>
      <c r="O89" s="17">
        <f>'Alloc Amt'!O89/'Alloc Amt'!$E89</f>
        <v>1.6355365926422763E-3</v>
      </c>
      <c r="P89" s="17">
        <f>'Alloc Amt'!P89/'Alloc Amt'!$E89</f>
        <v>5.3273567093002402E-3</v>
      </c>
      <c r="Q89" s="17">
        <f>'Alloc Amt'!Q89/'Alloc Amt'!$E89</f>
        <v>3.4617076910204163E-4</v>
      </c>
    </row>
    <row r="90" spans="2:17" x14ac:dyDescent="0.25">
      <c r="B90" s="16" t="str">
        <f>'Alloc Amt'!B90</f>
        <v>Firm Sales Revenue</v>
      </c>
      <c r="C90" s="16" t="str">
        <f>'Alloc Amt'!C90</f>
        <v>~</v>
      </c>
      <c r="D90" s="16">
        <f>'Alloc Amt'!D90</f>
        <v>84</v>
      </c>
      <c r="E90" s="17">
        <f t="shared" ref="E90" si="2">SUM(F90:Q90)</f>
        <v>1.0000000000000002</v>
      </c>
      <c r="F90" s="17">
        <f>'Alloc Amt'!F90/'Alloc Amt'!$E90</f>
        <v>0.55377826395353158</v>
      </c>
      <c r="G90" s="17">
        <f>'Alloc Amt'!G90/'Alloc Amt'!$E90</f>
        <v>0.13189287771115193</v>
      </c>
      <c r="H90" s="17">
        <f>'Alloc Amt'!H90/'Alloc Amt'!$E90</f>
        <v>0.13555479923150096</v>
      </c>
      <c r="I90" s="17">
        <f>'Alloc Amt'!I90/'Alloc Amt'!$E90</f>
        <v>8.0260714969164662E-2</v>
      </c>
      <c r="J90" s="17">
        <f>'Alloc Amt'!J90/'Alloc Amt'!$E90</f>
        <v>5.6712610862545594E-2</v>
      </c>
      <c r="K90" s="17">
        <f>'Alloc Amt'!K90/'Alloc Amt'!$E90</f>
        <v>1.3420815236527242E-4</v>
      </c>
      <c r="L90" s="17">
        <f>'Alloc Amt'!L90/'Alloc Amt'!$E90</f>
        <v>5.3515940164241852E-3</v>
      </c>
      <c r="M90" s="17">
        <f>'Alloc Amt'!M90/'Alloc Amt'!$E90</f>
        <v>2.7508995703640908E-3</v>
      </c>
      <c r="N90" s="17">
        <f>'Alloc Amt'!N90/'Alloc Amt'!$E90</f>
        <v>2.0094239423697376E-2</v>
      </c>
      <c r="O90" s="17">
        <f>'Alloc Amt'!O90/'Alloc Amt'!$E90</f>
        <v>5.0662792700490516E-3</v>
      </c>
      <c r="P90" s="17">
        <f>'Alloc Amt'!P90/'Alloc Amt'!$E90</f>
        <v>8.2410988317869836E-3</v>
      </c>
      <c r="Q90" s="17">
        <f>'Alloc Amt'!Q90/'Alloc Amt'!$E90</f>
        <v>1.6241400741840315E-4</v>
      </c>
    </row>
    <row r="91" spans="2:17" x14ac:dyDescent="0.25">
      <c r="B91" s="16">
        <f>'Alloc Amt'!B91</f>
        <v>0</v>
      </c>
      <c r="C91" s="16" t="str">
        <f>'Alloc Amt'!C91</f>
        <v>~</v>
      </c>
      <c r="D91" s="16">
        <f>'Alloc Amt'!D91</f>
        <v>85</v>
      </c>
      <c r="E91" s="18"/>
      <c r="F91" s="18"/>
      <c r="G91" s="18"/>
      <c r="H91" s="18"/>
      <c r="I91" s="18"/>
      <c r="J91" s="18"/>
      <c r="K91" s="17"/>
      <c r="L91" s="17"/>
      <c r="M91" s="18"/>
      <c r="N91" s="18"/>
      <c r="O91" s="18"/>
      <c r="P91" s="18"/>
      <c r="Q91" s="18"/>
    </row>
    <row r="92" spans="2:17" x14ac:dyDescent="0.25">
      <c r="B92" s="16" t="str">
        <f>'Alloc Amt'!B92</f>
        <v>Time Differentiated Fuel Costs Adj. TY Loads</v>
      </c>
      <c r="C92" s="16" t="str">
        <f>'Alloc Amt'!C92</f>
        <v>~</v>
      </c>
      <c r="D92" s="16">
        <f>'Alloc Amt'!D92</f>
        <v>86</v>
      </c>
      <c r="E92" s="17">
        <f t="shared" ref="E92" si="3">SUM(F92:Q92)</f>
        <v>0.99999999999999989</v>
      </c>
      <c r="F92" s="17">
        <f>'Alloc Amt'!F92/'Alloc Amt'!$E92</f>
        <v>0.50068541203832873</v>
      </c>
      <c r="G92" s="17">
        <f>'Alloc Amt'!G92/'Alloc Amt'!$E92</f>
        <v>0.1355079366466069</v>
      </c>
      <c r="H92" s="17">
        <f>'Alloc Amt'!H92/'Alloc Amt'!$E92</f>
        <v>0.1522790431538332</v>
      </c>
      <c r="I92" s="17">
        <f>'Alloc Amt'!I92/'Alloc Amt'!$E92</f>
        <v>0.10219299162038284</v>
      </c>
      <c r="J92" s="17">
        <f>'Alloc Amt'!J92/'Alloc Amt'!$E92</f>
        <v>6.9188203423427616E-2</v>
      </c>
      <c r="K92" s="17">
        <f>'Alloc Amt'!K92/'Alloc Amt'!$E92</f>
        <v>3.0248914459986764E-4</v>
      </c>
      <c r="L92" s="17">
        <f>'Alloc Amt'!L92/'Alloc Amt'!$E92</f>
        <v>5.14990943567562E-3</v>
      </c>
      <c r="M92" s="17">
        <f>'Alloc Amt'!M92/'Alloc Amt'!$E92</f>
        <v>0</v>
      </c>
      <c r="N92" s="17">
        <f>'Alloc Amt'!N92/'Alloc Amt'!$E92</f>
        <v>3.064361829343484E-2</v>
      </c>
      <c r="O92" s="17">
        <f>'Alloc Amt'!O92/'Alloc Amt'!$E92</f>
        <v>0</v>
      </c>
      <c r="P92" s="17">
        <f>'Alloc Amt'!P92/'Alloc Amt'!$E92</f>
        <v>3.7533109838966223E-3</v>
      </c>
      <c r="Q92" s="17">
        <f>'Alloc Amt'!Q92/'Alloc Amt'!$E92</f>
        <v>2.970852598136613E-4</v>
      </c>
    </row>
    <row r="93" spans="2:17" x14ac:dyDescent="0.25">
      <c r="B93" s="16">
        <f>'Alloc Amt'!B93</f>
        <v>0</v>
      </c>
      <c r="C93" s="16" t="str">
        <f>'Alloc Amt'!C93</f>
        <v>~</v>
      </c>
      <c r="D93" s="16">
        <f>'Alloc Amt'!D93</f>
        <v>87</v>
      </c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</row>
    <row r="94" spans="2:17" x14ac:dyDescent="0.25">
      <c r="B94" s="16">
        <f>'Alloc Amt'!B94</f>
        <v>0</v>
      </c>
      <c r="C94" s="16" t="str">
        <f>'Alloc Amt'!C94</f>
        <v>~</v>
      </c>
      <c r="D94" s="16">
        <f>'Alloc Amt'!D94</f>
        <v>88</v>
      </c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</row>
    <row r="95" spans="2:17" x14ac:dyDescent="0.25">
      <c r="B95" s="16">
        <f>'Alloc Amt'!B95</f>
        <v>0</v>
      </c>
      <c r="C95" s="16" t="str">
        <f>'Alloc Amt'!C95</f>
        <v>~</v>
      </c>
      <c r="D95" s="16">
        <f>'Alloc Amt'!D95</f>
        <v>89</v>
      </c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</row>
    <row r="96" spans="2:17" x14ac:dyDescent="0.25">
      <c r="B96" s="16">
        <f>'Alloc Amt'!B96</f>
        <v>0</v>
      </c>
      <c r="C96" s="16">
        <f>'Alloc Amt'!C96</f>
        <v>0</v>
      </c>
      <c r="D96" s="16">
        <f>'Alloc Amt'!D96</f>
        <v>0</v>
      </c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</row>
    <row r="97" spans="2:17" x14ac:dyDescent="0.25">
      <c r="B97" s="16">
        <f>'Alloc Amt'!B97</f>
        <v>0</v>
      </c>
      <c r="C97" s="16">
        <f>'Alloc Amt'!C97</f>
        <v>0</v>
      </c>
      <c r="D97" s="16">
        <f>'Alloc Amt'!D97</f>
        <v>0</v>
      </c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</row>
    <row r="98" spans="2:17" x14ac:dyDescent="0.25">
      <c r="B98" s="16">
        <f>'Alloc Amt'!B98</f>
        <v>0</v>
      </c>
      <c r="C98" s="16">
        <f>'Alloc Amt'!C98</f>
        <v>0</v>
      </c>
      <c r="D98" s="16">
        <f>'Alloc Amt'!D98</f>
        <v>0</v>
      </c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</row>
    <row r="99" spans="2:17" x14ac:dyDescent="0.25">
      <c r="B99" s="16">
        <f>'Alloc Amt'!B99</f>
        <v>0</v>
      </c>
      <c r="C99" s="16">
        <f>'Alloc Amt'!C99</f>
        <v>0</v>
      </c>
      <c r="D99" s="16">
        <f>'Alloc Amt'!D99</f>
        <v>0</v>
      </c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</row>
    <row r="100" spans="2:17" x14ac:dyDescent="0.25">
      <c r="B100" s="16">
        <f>'Alloc Amt'!B100</f>
        <v>0</v>
      </c>
      <c r="C100" s="16">
        <f>'Alloc Amt'!C100</f>
        <v>0</v>
      </c>
      <c r="D100" s="16">
        <f>'Alloc Amt'!D100</f>
        <v>0</v>
      </c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</row>
    <row r="101" spans="2:17" x14ac:dyDescent="0.25">
      <c r="B101" s="16">
        <f>'Alloc Amt'!B101</f>
        <v>0</v>
      </c>
      <c r="C101" s="16">
        <f>'Alloc Amt'!C101</f>
        <v>0</v>
      </c>
      <c r="D101" s="16">
        <f>'Alloc Amt'!D101</f>
        <v>0</v>
      </c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</row>
    <row r="102" spans="2:17" x14ac:dyDescent="0.25">
      <c r="B102" s="16">
        <f>'Alloc Amt'!B102</f>
        <v>0</v>
      </c>
      <c r="C102" s="16">
        <f>'Alloc Amt'!C102</f>
        <v>0</v>
      </c>
      <c r="D102" s="16">
        <f>'Alloc Amt'!D102</f>
        <v>0</v>
      </c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</row>
    <row r="103" spans="2:17" x14ac:dyDescent="0.25">
      <c r="B103" s="16">
        <f>'Alloc Amt'!B103</f>
        <v>0</v>
      </c>
      <c r="C103" s="16">
        <f>'Alloc Amt'!C103</f>
        <v>0</v>
      </c>
      <c r="D103" s="16">
        <f>'Alloc Amt'!D103</f>
        <v>0</v>
      </c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</row>
    <row r="104" spans="2:17" x14ac:dyDescent="0.25">
      <c r="B104" s="16">
        <f>'Alloc Amt'!B104</f>
        <v>0</v>
      </c>
      <c r="C104" s="16">
        <f>'Alloc Amt'!C104</f>
        <v>0</v>
      </c>
      <c r="D104" s="16">
        <f>'Alloc Amt'!D104</f>
        <v>0</v>
      </c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</row>
    <row r="105" spans="2:17" x14ac:dyDescent="0.25">
      <c r="B105" s="16">
        <f>'Alloc Amt'!B105</f>
        <v>0</v>
      </c>
      <c r="C105" s="16">
        <f>'Alloc Amt'!C105</f>
        <v>0</v>
      </c>
      <c r="D105" s="16">
        <f>'Alloc Amt'!D105</f>
        <v>0</v>
      </c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</row>
    <row r="106" spans="2:17" x14ac:dyDescent="0.25">
      <c r="B106" s="16">
        <f>'Alloc Amt'!B106</f>
        <v>0</v>
      </c>
      <c r="C106" s="16">
        <f>'Alloc Amt'!C106</f>
        <v>0</v>
      </c>
      <c r="D106" s="16">
        <f>'Alloc Amt'!D106</f>
        <v>0</v>
      </c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</row>
    <row r="107" spans="2:17" x14ac:dyDescent="0.25">
      <c r="B107" s="16">
        <f>'Alloc Amt'!B107</f>
        <v>0</v>
      </c>
      <c r="C107" s="16">
        <f>'Alloc Amt'!C107</f>
        <v>0</v>
      </c>
      <c r="D107" s="16">
        <f>'Alloc Amt'!D107</f>
        <v>0</v>
      </c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</row>
    <row r="108" spans="2:17" x14ac:dyDescent="0.25">
      <c r="B108" s="16">
        <f>'Alloc Amt'!B108</f>
        <v>0</v>
      </c>
      <c r="C108" s="16">
        <f>'Alloc Amt'!C108</f>
        <v>0</v>
      </c>
      <c r="D108" s="16">
        <f>'Alloc Amt'!D108</f>
        <v>0</v>
      </c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</row>
    <row r="109" spans="2:17" x14ac:dyDescent="0.25">
      <c r="B109" s="16">
        <f>'Alloc Amt'!B109</f>
        <v>0</v>
      </c>
      <c r="C109" s="16">
        <f>'Alloc Amt'!C109</f>
        <v>0</v>
      </c>
      <c r="D109" s="16">
        <f>'Alloc Amt'!D109</f>
        <v>0</v>
      </c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</row>
    <row r="110" spans="2:17" x14ac:dyDescent="0.25">
      <c r="B110" s="16">
        <f>'Alloc Amt'!B110</f>
        <v>0</v>
      </c>
      <c r="C110" s="16">
        <f>'Alloc Amt'!C110</f>
        <v>0</v>
      </c>
      <c r="D110" s="16">
        <f>'Alloc Amt'!D110</f>
        <v>0</v>
      </c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</row>
    <row r="111" spans="2:17" x14ac:dyDescent="0.25">
      <c r="B111" s="16">
        <f>'Alloc Amt'!B111</f>
        <v>0</v>
      </c>
      <c r="C111" s="16">
        <f>'Alloc Amt'!C111</f>
        <v>0</v>
      </c>
      <c r="D111" s="16">
        <f>'Alloc Amt'!D111</f>
        <v>0</v>
      </c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</row>
    <row r="112" spans="2:17" x14ac:dyDescent="0.25"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</row>
    <row r="113" spans="5:17" x14ac:dyDescent="0.25"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Date1 xmlns="dc463f71-b30c-4ab2-9473-d307f9d35888">2019-11-22T08:00:00+00:00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190529</DocketNumber>
    <DelegatedOrder xmlns="dc463f71-b30c-4ab2-9473-d307f9d35888">false</DelegatedOrder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6950FED-B92D-4DC3-AEBC-A43E645CF34D}"/>
</file>

<file path=customXml/itemProps2.xml><?xml version="1.0" encoding="utf-8"?>
<ds:datastoreItem xmlns:ds="http://schemas.openxmlformats.org/officeDocument/2006/customXml" ds:itemID="{A3DA7F78-E2B6-4BCD-88CA-529289B2893E}">
  <ds:schemaRefs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0bb6117c-7237-4594-87be-1a98bf45b026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A83D9CF-E732-4815-888F-E17D28859A2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29063B3-7957-4EF0-9D67-127DB52C5D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TOC</vt:lpstr>
      <vt:lpstr>Summary</vt:lpstr>
      <vt:lpstr>Rate Base</vt:lpstr>
      <vt:lpstr>Expenses</vt:lpstr>
      <vt:lpstr>Labor</vt:lpstr>
      <vt:lpstr>Revenue</vt:lpstr>
      <vt:lpstr>Alloc Amt</vt:lpstr>
      <vt:lpstr>Alloc Pct</vt:lpstr>
      <vt:lpstr>Alloc</vt:lpstr>
      <vt:lpstr>Summary!Print_Area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Patrick Horne</dc:creator>
  <cp:lastModifiedBy>Jenny Dolen</cp:lastModifiedBy>
  <cp:lastPrinted>2019-11-15T15:09:25Z</cp:lastPrinted>
  <dcterms:created xsi:type="dcterms:W3CDTF">2019-11-06T14:37:25Z</dcterms:created>
  <dcterms:modified xsi:type="dcterms:W3CDTF">2019-11-19T16:50:13Z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Order">
    <vt:r8>400800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docset_NoMedatataSyncRequired">
    <vt:lpwstr>False</vt:lpwstr>
  </property>
  <property fmtid="{D5CDD505-2E9C-101B-9397-08002B2CF9AE}" pid="9" name="IsEFSEC">
    <vt:bool>false</vt:bool>
  </property>
</Properties>
</file>